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tables/table1.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drawings/drawing2.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threadedComments/threadedComment5.xml" ContentType="application/vnd.ms-excel.threadedcomments+xml"/>
  <Override PartName="/xl/comments8.xml" ContentType="application/vnd.openxmlformats-officedocument.spreadsheetml.comments+xml"/>
  <Override PartName="/xl/threadedComments/threadedComment6.xml" ContentType="application/vnd.ms-excel.threadedcomments+xml"/>
  <Override PartName="/xl/comments9.xml" ContentType="application/vnd.openxmlformats-officedocument.spreadsheetml.comments+xml"/>
  <Override PartName="/xl/threadedComments/threadedComment7.xml" ContentType="application/vnd.ms-excel.threadedcomments+xml"/>
  <Override PartName="/xl/tables/table2.xml" ContentType="application/vnd.openxmlformats-officedocument.spreadsheetml.table+xml"/>
  <Override PartName="/xl/comments10.xml" ContentType="application/vnd.openxmlformats-officedocument.spreadsheetml.comments+xml"/>
  <Override PartName="/xl/threadedComments/threadedComment8.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omments11.xml" ContentType="application/vnd.openxmlformats-officedocument.spreadsheetml.comments+xml"/>
  <Override PartName="/xl/threadedComments/threadedComment9.xml" ContentType="application/vnd.ms-excel.threadedcomments+xml"/>
  <Override PartName="/xl/comments12.xml" ContentType="application/vnd.openxmlformats-officedocument.spreadsheetml.comments+xml"/>
  <Override PartName="/xl/threadedComments/threadedComment10.xml" ContentType="application/vnd.ms-excel.threadedcomments+xml"/>
  <Override PartName="/xl/tables/table3.xml" ContentType="application/vnd.openxmlformats-officedocument.spreadsheetml.table+xml"/>
  <Override PartName="/xl/drawings/drawing3.xml" ContentType="application/vnd.openxmlformats-officedocument.drawing+xml"/>
  <Override PartName="/xl/tables/table4.xml" ContentType="application/vnd.openxmlformats-officedocument.spreadsheetml.table+xml"/>
  <Override PartName="/xl/comments13.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Users\darvi.sunny\Downloads\"/>
    </mc:Choice>
  </mc:AlternateContent>
  <xr:revisionPtr revIDLastSave="0" documentId="13_ncr:1_{F119A2D6-1A1E-41FD-A2FD-705B1A015C02}" xr6:coauthVersionLast="47" xr6:coauthVersionMax="47" xr10:uidLastSave="{00000000-0000-0000-0000-000000000000}"/>
  <bookViews>
    <workbookView xWindow="-108" yWindow="-108" windowWidth="23256" windowHeight="12456" activeTab="5" xr2:uid="{A8AF974F-AB15-FF41-AD2D-69681E97BA15}"/>
  </bookViews>
  <sheets>
    <sheet name="How to Use Guide" sheetId="5" r:id="rId1"/>
    <sheet name="1. Project Inputs" sheetId="20" r:id="rId2"/>
    <sheet name="Rates &amp; Drop Downs INT" sheetId="1" r:id="rId3"/>
    <sheet name="2. Roles &amp; Pricing" sheetId="13" r:id="rId4"/>
    <sheet name="FORMULA REFS" sheetId="23" state="hidden" r:id="rId5"/>
    <sheet name="Resource Loading" sheetId="28" r:id="rId6"/>
    <sheet name="3. Financial Inputs" sheetId="31" r:id="rId7"/>
    <sheet name="4. Summary &amp; Totals" sheetId="10" r:id="rId8"/>
    <sheet name="5. Import Checklist" sheetId="26" r:id="rId9"/>
    <sheet name="6. Commercial Review" sheetId="27" r:id="rId10"/>
    <sheet name="KPI Sheet" sheetId="32" state="hidden" r:id="rId11"/>
    <sheet name="Optional - Scope Estimation" sheetId="9" r:id="rId12"/>
    <sheet name="Optional - Scope Options Review" sheetId="15" r:id="rId13"/>
    <sheet name="Hidden -&gt;" sheetId="21" state="hidden" r:id="rId14"/>
    <sheet name="Optional Pricing Scenarios Eval" sheetId="22" r:id="rId15"/>
    <sheet name="Standard Roles and Rates" sheetId="34" r:id="rId16"/>
    <sheet name="Updated Rate Card Import" sheetId="25" state="hidden" r:id="rId17"/>
    <sheet name="Digital Resource Roster" sheetId="33" r:id="rId18"/>
    <sheet name="Client Rate Cards" sheetId="17" r:id="rId19"/>
    <sheet name="Role Descriptions" sheetId="35" state="hidden" r:id="rId20"/>
    <sheet name="Definitions" sheetId="7" state="hidden" r:id="rId21"/>
    <sheet name="hTAD Info" sheetId="18" state="hidden" r:id="rId22"/>
    <sheet name="Complexity Factors" sheetId="6" state="hidden" r:id="rId23"/>
  </sheets>
  <externalReferences>
    <externalReference r:id="rId24"/>
  </externalReferences>
  <definedNames>
    <definedName name="_2023_AllStar_Auto_Parts_Rate_Card">'Client Rate Cards'!$D$8:$D$30</definedName>
    <definedName name="_2023_Army_Rate_Card">'Client Rate Cards'!$D$31:$D$40</definedName>
    <definedName name="_2023_Army_Strategy_Rate_Card">'Client Rate Cards'!$D$41:$D$45</definedName>
    <definedName name="_2023_Becton_Dickinson_Rate_Card">'Client Rate Cards'!$D$46:$D$56</definedName>
    <definedName name="_2023_BGSF_Rate_Card">'Client Rate Cards'!$D$57:$D$87</definedName>
    <definedName name="_2023_Brinker_Rate_Card">'Client Rate Cards'!$D$88:$D$141</definedName>
    <definedName name="_2023_C_Spire_Rate_Card">'Client Rate Cards'!$D$142:$D$152</definedName>
    <definedName name="_2023_EmployBridge_Rate_Card">'Client Rate Cards'!$D$153:$D$268</definedName>
    <definedName name="_2023_Hilton_Worldwide_Rate_Card">'Client Rate Cards'!$D$269:$D$277</definedName>
    <definedName name="_2023_MBUSA_team_X_Rate_Card">'Client Rate Cards'!$D$278:$D$303</definedName>
    <definedName name="_2023_Motion_Recruitment_Partners_Rate_Card">'Client Rate Cards'!$D$304:$D$338</definedName>
    <definedName name="_2023_Novartis_Rate_Card">'Client Rate Cards'!$D$339:$D$364</definedName>
    <definedName name="_2023_NRG_Rate_Card">'Client Rate Cards'!$D$365:$D$374</definedName>
    <definedName name="_2023_Path_Tec_Rate_Card">'Client Rate Cards'!$D$375:$D$400</definedName>
    <definedName name="_2023_Pro_Frac_Rate_Card">'Client Rate Cards'!$D$401:$D$424</definedName>
    <definedName name="_2023_Red_Lobster_Rate_Card">'Client Rate Cards'!$D$425:$D$450</definedName>
    <definedName name="_2023_Stuller_Rate_Card">'Client Rate Cards'!$D$451:$D$458</definedName>
    <definedName name="_2023_Triumph_Factoring_Division_Rate_Card">'Client Rate Cards'!$D$459:$D$486</definedName>
    <definedName name="_2023_Valvoline_Retail_Services_Rate_Card">'Client Rate Cards'!$D$487:$D$498</definedName>
    <definedName name="_2023_Windows_USA_Rate_Card">'Client Rate Cards'!$D$499:$D$518</definedName>
    <definedName name="_2024_Eli_Lilly_Rate_Card">'Client Rate Cards'!$D$519:$D$546</definedName>
    <definedName name="_2024_Intuit_Rate_Card">'Client Rate Cards'!$D$547:$D$554</definedName>
    <definedName name="_2024_Southwest_Airlines_Rate_Card">'Client Rate Cards'!$D$562:$D$669</definedName>
    <definedName name="_2025_Ford_Rate_Card">'Client Rate Cards'!$D$681:$D$690</definedName>
    <definedName name="_2025_McDonalds_COLA_Rate_Card">'Client Rate Cards'!$D$670:$D$680</definedName>
    <definedName name="_xlnm._FilterDatabase" localSheetId="1" hidden="1">#REF!</definedName>
    <definedName name="_xlnm._FilterDatabase" localSheetId="18" hidden="1">'Client Rate Cards'!$A$7:$E$690</definedName>
    <definedName name="_xlnm._FilterDatabase" localSheetId="22" hidden="1">#REF!</definedName>
    <definedName name="_xlnm._FilterDatabase" localSheetId="11" hidden="1">'Optional - Scope Estimation'!$C$58:$T$123</definedName>
    <definedName name="_xlnm._FilterDatabase" localSheetId="12" hidden="1">'Optional - Scope Options Review'!#REF!</definedName>
    <definedName name="_xlnm._FilterDatabase" localSheetId="2" hidden="1">'Rates &amp; Drop Downs INT'!$CG$5:$CU$747</definedName>
    <definedName name="_xlnm._FilterDatabase" localSheetId="19" hidden="1">'Role Descriptions'!$A$1:$E$1</definedName>
    <definedName name="Acquia">'Rates &amp; Drop Downs INT'!$CI$137:$CI$231</definedName>
    <definedName name="Acquia_BA">'Rates &amp; Drop Downs INT'!$CK$137:$CK$139</definedName>
    <definedName name="Acquia_CDP">'Rates &amp; Drop Downs INT'!$CK$140:$CK$155</definedName>
    <definedName name="Acquia_DevOps">'Rates &amp; Drop Downs INT'!$CK$156:$CK$167</definedName>
    <definedName name="Acquia_Drupal">'Rates &amp; Drop Downs INT'!$CK$190:$CK$202</definedName>
    <definedName name="Acquia_Personalization">'Rates &amp; Drop Downs INT'!$CK$203:$CK$218</definedName>
    <definedName name="Acquia_QA">'Rates &amp; Drop Downs INT'!$CK$168:$CK$176</definedName>
    <definedName name="Acquia_UI">'Rates &amp; Drop Downs INT'!$CK$177:$CK$189</definedName>
    <definedName name="Acquia_Wordpress">'Rates &amp; Drop Downs INT'!$CK$219:$CK$231</definedName>
    <definedName name="ACQUIABASP">'Rates &amp; Drop Downs INT'!$DH$35:$DH$36</definedName>
    <definedName name="ACQUIACDPSP">'Rates &amp; Drop Downs INT'!$DH$37</definedName>
    <definedName name="ACQUIADECOPSSP">'Rates &amp; Drop Downs INT'!$DH$38:$DH$41</definedName>
    <definedName name="ACQUIAQASP">'Rates &amp; Drop Downs INT'!$DH$42:$DH$45</definedName>
    <definedName name="ACQUIAUISP">'Rates &amp; Drop Downs INT'!$DH$46:$DH$48</definedName>
    <definedName name="Adobe">'Rates &amp; Drop Downs INT'!$CI$232:$CI$374</definedName>
    <definedName name="Adobe_Adobe_DevOps">'Rates &amp; Drop Downs INT'!$AX$31:$AX$381</definedName>
    <definedName name="Adobe_Adobe_QA">'Rates &amp; Drop Downs INT'!$AX$27:$AX$30</definedName>
    <definedName name="Adobe_Adobe_UI">'Rates &amp; Drop Downs INT'!$AX$23:$AX$26</definedName>
    <definedName name="Adobe_BA">'Rates &amp; Drop Downs INT'!$CK$232:$CK$234</definedName>
    <definedName name="Adobe_Commerce">'Rates &amp; Drop Downs INT'!$CK$235:$CK$247</definedName>
    <definedName name="Adobe_Content">'Rates &amp; Drop Downs INT'!$CK$248:$CK$265</definedName>
    <definedName name="Adobe_Data_and_Analytics">'Rates &amp; Drop Downs INT'!$CK$300:$CK$315</definedName>
    <definedName name="Adobe_DevOps">'Rates &amp; Drop Downs INT'!$CK$266:$CK$277</definedName>
    <definedName name="Adobe_Experience_Management">'Rates &amp; Drop Downs INT'!$CK$316:$CK$340</definedName>
    <definedName name="Adobe_Marketing_Automation">'Rates &amp; Drop Downs INT'!$CK$341:$CK$361</definedName>
    <definedName name="Adobe_QA">'Rates &amp; Drop Downs INT'!$CK$278:$CK$286</definedName>
    <definedName name="Adobe_UI">'Rates &amp; Drop Downs INT'!$CK$287:$CK$299</definedName>
    <definedName name="Adobe_Work_Management">'Rates &amp; Drop Downs INT'!$CK$362:$CK$374</definedName>
    <definedName name="ADOBEBASP">'Rates &amp; Drop Downs INT'!$DH$53:$DH$60</definedName>
    <definedName name="ADOBECOMMERCESP">'Rates &amp; Drop Downs INT'!$DH$61:$DH$62</definedName>
    <definedName name="ADOBEDEVOPSSP">'Rates &amp; Drop Downs INT'!$DH$65:$DH$70</definedName>
    <definedName name="ADOBEQASP">'Rates &amp; Drop Downs INT'!$DH$71:$DH$74</definedName>
    <definedName name="ADOBEUISP">'Rates &amp; Drop Downs INT'!$DH$75:$DH$78</definedName>
    <definedName name="Assumptions">'Optional - Scope Estimation'!$U$58:$U$123</definedName>
    <definedName name="Automation">'Optional - Scope Estimation'!$D$70:$E$70</definedName>
    <definedName name="BillableExpenses" localSheetId="7">'4. Summary &amp; Totals'!#REF!</definedName>
    <definedName name="Blended_Rate" localSheetId="1">#REF!</definedName>
    <definedName name="Blended_Rate" localSheetId="22">#REF!</definedName>
    <definedName name="Blended_Rate" localSheetId="0">#REF!</definedName>
    <definedName name="Blended_Rate" localSheetId="11">#REF!</definedName>
    <definedName name="Blended_Rate" localSheetId="12">#REF!</definedName>
    <definedName name="Blended_Rate">#REF!</definedName>
    <definedName name="ClientRateCards">'Client Rate Cards'!$B$8:$B$690</definedName>
    <definedName name="Cloud">'Rates &amp; Drop Downs INT'!$CK$687:$CK$698</definedName>
    <definedName name="CLOUDCLOUDSP">'Rates &amp; Drop Downs INT'!$DH$166</definedName>
    <definedName name="COMMERCECLOUDSP">'Rates &amp; Drop Downs INT'!$DH$141:$DH$142</definedName>
    <definedName name="Complexity_Factor" localSheetId="1">1+VLOOKUP(_xlfn.SINGLE(#REF!),'1. Project Inputs'!$I$38:$J$45,2,FALSE)</definedName>
    <definedName name="Complexity_Factor" localSheetId="22">1+VLOOKUP(_xlfn.SINGLE(#REF!),'Complexity Factors'!$B$11:$B$18,2,FALSE)</definedName>
    <definedName name="Complexity_Factor" localSheetId="0">1+VLOOKUP(_xlfn.SINGLE(#REF!),#REF!,2,FALSE)</definedName>
    <definedName name="Complexity_Factor" localSheetId="11">1+VLOOKUP(_xlfn.SINGLE('Optional - Scope Estimation'!XFC1:XFC486),#REF!,2,FALSE)</definedName>
    <definedName name="Complexity_Factor" localSheetId="12">1+VLOOKUP(_xlfn.SINGLE(#REF!),#REF!,2,FALSE)</definedName>
    <definedName name="Complexity_Factor">1+VLOOKUP(_xlfn.SINGLE(#REF!),#REF!,2,FALSE)</definedName>
    <definedName name="Confidence" localSheetId="1">#REF!</definedName>
    <definedName name="Confidence" localSheetId="22">#REF!</definedName>
    <definedName name="Confidence" localSheetId="0">#REF!</definedName>
    <definedName name="Confidence" localSheetId="11">'Optional - Scope Estimation'!$G$73:$G$123</definedName>
    <definedName name="Confidence" localSheetId="12">#REF!</definedName>
    <definedName name="Confidence">#REF!</definedName>
    <definedName name="CONTENTCONTENTSP">'Rates &amp; Drop Downs INT'!$DH$63:$DH$64</definedName>
    <definedName name="COVEOSP">'Rates &amp; Drop Downs INT'!$DH$28</definedName>
    <definedName name="CrederaIndia">'Rates &amp; Drop Downs INT'!$C$315:$C$372</definedName>
    <definedName name="CrederaLATAM">'Rates &amp; Drop Downs INT'!$C$288:$C$314</definedName>
    <definedName name="CrederaUS">'Rates &amp; Drop Downs INT'!$C$6:$C$204</definedName>
    <definedName name="Data_and_AI">'Rates &amp; Drop Downs INT'!$CK$699:$CK$708</definedName>
    <definedName name="Data_Mangaement">'Optional - Scope Estimation'!$D$73:$E$73</definedName>
    <definedName name="DATAAISP">'Rates &amp; Drop Downs INT'!$DH$167:$DH$168</definedName>
    <definedName name="DATAANALYTICSSP">'Rates &amp; Drop Downs INT'!$DH$79:$DH$83</definedName>
    <definedName name="DATACLOUDSP">'Rates &amp; Drop Downs INT'!$DH$143:$DH$145</definedName>
    <definedName name="Delivery">'Rates &amp; Drop Downs INT'!$CI$375:$CI$381</definedName>
    <definedName name="Delivery_Delivery">'Rates &amp; Drop Downs INT'!$CK$375:$CK$381</definedName>
    <definedName name="DELIVERYDELIVERYSP">'Rates &amp; Drop Downs INT'!$DH$98</definedName>
    <definedName name="Dependency_Factor" localSheetId="1">1+VLOOKUP(#REF!,'1. Project Inputs'!$K$38:$L$43,2,FALSE)</definedName>
    <definedName name="Dependency_Factor" localSheetId="22">1+VLOOKUP(#REF!,'Complexity Factors'!$B$23:$C$28,2,FALSE)</definedName>
    <definedName name="Dependency_Factor" localSheetId="0">1+VLOOKUP(#REF!,#REF!,2,FALSE)</definedName>
    <definedName name="Dependency_Factor" localSheetId="11">1+VLOOKUP('Optional - Scope Estimation'!XFD1:XFD486,#REF!,2,FALSE)</definedName>
    <definedName name="Dependency_Factor" localSheetId="12">1+VLOOKUP(#REF!,#REF!,2,FALSE)</definedName>
    <definedName name="Dependency_Factor">1+VLOOKUP(#REF!,#REF!,2,FALSE)</definedName>
    <definedName name="Design">'Rates &amp; Drop Downs INT'!$CK$400:$CK$420</definedName>
    <definedName name="DESIGNDESIGNSP">'Rates &amp; Drop Downs INT'!$DH$101:$DH$102</definedName>
    <definedName name="Documentaion" localSheetId="1">#REF!</definedName>
    <definedName name="Documentaion" localSheetId="22">#REF!</definedName>
    <definedName name="Documentaion" localSheetId="0">#REF!</definedName>
    <definedName name="Documentaion" localSheetId="11">'Optional - Scope Estimation'!#REF!</definedName>
    <definedName name="Documentaion" localSheetId="12">#REF!</definedName>
    <definedName name="Documentaion">#REF!</definedName>
    <definedName name="DOTNET">'Rates &amp; Drop Downs INT'!$CI$6:$CI$136</definedName>
    <definedName name="DOTNET_BA">'Rates &amp; Drop Downs INT'!$CK$19:$CK$21</definedName>
    <definedName name="DOTNET_CDP">'Rates &amp; Drop Downs INT'!$CK$22:$CK$37</definedName>
    <definedName name="DOTNET_Coveo">'Rates &amp; Drop Downs INT'!$CK$72:$CK$84</definedName>
    <definedName name="DOTNET_DevOps">'Rates &amp; Drop Downs INT'!$CK$38:$CK$49</definedName>
    <definedName name="DOTNET_DOTNET">'Rates &amp; Drop Downs INT'!$CK$6:$CK$18</definedName>
    <definedName name="DOTNET_MS_Dynamics">'Rates &amp; Drop Downs INT'!$CK$85:$CK$97</definedName>
    <definedName name="DOTNET_Optimizely_CMS">'Rates &amp; Drop Downs INT'!$CK$98:$CK$110</definedName>
    <definedName name="DOTNET_QA">'Rates &amp; Drop Downs INT'!$CK$50:$CK$58</definedName>
    <definedName name="DOTNET_Sitecore">'Rates &amp; Drop Downs INT'!$CK$111:$CK$123</definedName>
    <definedName name="DOTNET_Sitecore_Search">'Rates &amp; Drop Downs INT'!$CK$124:$CK$136</definedName>
    <definedName name="DOTNET_UI">'Rates &amp; Drop Downs INT'!$CK$59:$CK$71</definedName>
    <definedName name="DOTNETBASP">'Rates &amp; Drop Downs INT'!$DH$10:$DH$13</definedName>
    <definedName name="DOTNETCDPSP">'Rates &amp; Drop Downs INT'!$DH$14</definedName>
    <definedName name="DOTNETDOSP">'Rates &amp; Drop Downs INT'!$DH$15:$DH$18</definedName>
    <definedName name="DOTNETQASP">'Rates &amp; Drop Downs INT'!$DH$19:$DH$22</definedName>
    <definedName name="DOTNETSP">'Rates &amp; Drop Downs INT'!$DH$6:$DH$9</definedName>
    <definedName name="DOTNETUISP">'Rates &amp; Drop Downs INT'!$DH$23:$DH$27</definedName>
    <definedName name="DRUPALDRUPALSP">'Rates &amp; Drop Downs INT'!$DH$49</definedName>
    <definedName name="Effort_Days" localSheetId="1">#REF!</definedName>
    <definedName name="Effort_Days" localSheetId="22">#REF!</definedName>
    <definedName name="Effort_Days" localSheetId="0">#REF!</definedName>
    <definedName name="Effort_Days" localSheetId="11">'Optional - Scope Estimation'!$F$64:$F$123</definedName>
    <definedName name="Effort_Days" localSheetId="12">#REF!</definedName>
    <definedName name="Effort_Days">#REF!</definedName>
    <definedName name="Employee_Cost" localSheetId="7">SUMIF('4. Summary &amp; Totals'!#REF!,"&lt;&gt;sub",'4. Summary &amp; Totals'!#REF!)</definedName>
    <definedName name="Environments">'Optional - Scope Estimation'!$D$68:$E$68</definedName>
    <definedName name="Epic">'Optional - Scope Estimation'!$D$64:$D$123</definedName>
    <definedName name="Experience_Design">'Rates &amp; Drop Downs INT'!$CI$382:$CI$447</definedName>
    <definedName name="EXPERIENCEMANAGEMENTSP">'Rates &amp; Drop Downs INT'!$DH$84:$DH$86</definedName>
    <definedName name="Frontend_Development">'Rates &amp; Drop Downs INT'!$CK$421:$CK$433</definedName>
    <definedName name="FRONTENDDEVELOPMENTSP">'Rates &amp; Drop Downs INT'!$DH$103</definedName>
    <definedName name="Functional">'Optional - Scope Estimation'!$D$64:$E$64</definedName>
    <definedName name="Hour_Bucket" localSheetId="1">'1. Project Inputs'!$F$22:$H$32</definedName>
    <definedName name="Hour_Bucket">'Complexity Factors'!$E$12:$F$21</definedName>
    <definedName name="Hours_Per_Day" localSheetId="1">'1. Project Inputs'!#REF!</definedName>
    <definedName name="Hours_Per_Day" localSheetId="22">'Complexity Factors'!#REF!</definedName>
    <definedName name="Hours_Per_Day" localSheetId="0">#REF!</definedName>
    <definedName name="Hours_Per_Day" localSheetId="11">#REF!</definedName>
    <definedName name="Hours_Per_Day" localSheetId="12">#REF!</definedName>
    <definedName name="Hours_Per_Day">#REF!</definedName>
    <definedName name="Insights_and_Strategy">'Rates &amp; Drop Downs INT'!$CK$434:$CK$447</definedName>
    <definedName name="INSIGHTSSTRATEGYSP">'Rates &amp; Drop Downs INT'!$DH$104:$DH$105</definedName>
    <definedName name="Integrations">'Optional - Scope Estimation'!$D$67:$E$67</definedName>
    <definedName name="LevelList" localSheetId="1">'1. Project Inputs'!#REF!</definedName>
    <definedName name="LevelList" localSheetId="22">'Complexity Factors'!#REF!</definedName>
    <definedName name="LevelList" localSheetId="0">#REF!</definedName>
    <definedName name="LevelList" localSheetId="11">#REF!</definedName>
    <definedName name="LevelList" localSheetId="12">#REF!</definedName>
    <definedName name="LevelList">#REF!</definedName>
    <definedName name="Location">'Rates &amp; Drop Downs INT'!$K$6:$L$6</definedName>
    <definedName name="MACH">'Rates &amp; Drop Downs INT'!$CI$448:$CI$536</definedName>
    <definedName name="MACH_BA">'Rates &amp; Drop Downs INT'!$CK$448:$CK$450</definedName>
    <definedName name="MACH_Commerce">'Rates &amp; Drop Downs INT'!$CK$451:$CK$463</definedName>
    <definedName name="MACH_Content">'Rates &amp; Drop Downs INT'!$CK$464:$CK$476</definedName>
    <definedName name="MACH_DevOps">'Rates &amp; Drop Downs INT'!$CK$477:$CK$488</definedName>
    <definedName name="MACH_Middleware">'Rates &amp; Drop Downs INT'!$CK$511:$CK$520</definedName>
    <definedName name="MACH_QA">'Rates &amp; Drop Downs INT'!$CK$489:$CK$497</definedName>
    <definedName name="MACH_Tealium">'Rates &amp; Drop Downs INT'!$CK$521:$CK$536</definedName>
    <definedName name="MACH_UI">'Rates &amp; Drop Downs INT'!$CK$498:$CK$510</definedName>
    <definedName name="MACHBASP">'Rates &amp; Drop Downs INT'!$DH$106:$DH$111</definedName>
    <definedName name="MACHCOMMERCESP">'Rates &amp; Drop Downs INT'!$DH$112:$DH$115</definedName>
    <definedName name="MACHCONTENTSP">'Rates &amp; Drop Downs INT'!$DH$116:$DH$117</definedName>
    <definedName name="MACHDEVOPSSP">'Rates &amp; Drop Downs INT'!$DH$118:$DH$121</definedName>
    <definedName name="MACHQASP">'Rates &amp; Drop Downs INT'!$DH$122:$DH$125</definedName>
    <definedName name="MACHUISP">'Rates &amp; Drop Downs INT'!$DH$126:$DH$130</definedName>
    <definedName name="Management_Consulting">'Rates &amp; Drop Downs INT'!$CI$537:$CI$549</definedName>
    <definedName name="MAREKTINGCLOUDSP">'Rates &amp; Drop Downs INT'!$DH$146:$DH$147</definedName>
    <definedName name="MARKETINGAUTOMATIONSP">'Rates &amp; Drop Downs INT'!$DH$87:$DH$92</definedName>
    <definedName name="MIDDLEWAREMIDDLEWARESP">'Rates &amp; Drop Downs INT'!$DH$131:$DH$133</definedName>
    <definedName name="Mobile">'Rates &amp; Drop Downs INT'!$CK$709:$CK$721</definedName>
    <definedName name="MOBILEMOBILESP">'Rates &amp; Drop Downs INT'!$DH$169:$DH$170</definedName>
    <definedName name="MSDYNAMICSSP">'Rates &amp; Drop Downs INT'!$DH$29</definedName>
    <definedName name="Multi_Tenant">'Optional - Scope Estimation'!$D$66:$E$66</definedName>
    <definedName name="Multiplication_factor" localSheetId="11">'Optional - Scope Estimation'!$G$133:$S$134</definedName>
    <definedName name="Non_Functional">'Optional - Scope Estimation'!$D$65:$E$65</definedName>
    <definedName name="NonDevList">'Optional - Scope Estimation'!$G$17:$G$24</definedName>
    <definedName name="Offshore">'Rates &amp; Drop Downs INT'!$K$7:$K$11</definedName>
    <definedName name="Onshore">'Rates &amp; Drop Downs INT'!$L$7:$L$17</definedName>
    <definedName name="OPTIMIZELYCMSSP">'Rates &amp; Drop Downs INT'!$DH$30:$DH$31</definedName>
    <definedName name="Option" localSheetId="1">'1. Project Inputs'!#REF!</definedName>
    <definedName name="Option" localSheetId="22">'Complexity Factors'!#REF!</definedName>
    <definedName name="Option" localSheetId="0">#REF!</definedName>
    <definedName name="Option" localSheetId="11">#REF!</definedName>
    <definedName name="Option" localSheetId="12">#REF!</definedName>
    <definedName name="Option">#REF!</definedName>
    <definedName name="Option___1_3">'Optional - Scope Estimation'!$S$63:$S$123</definedName>
    <definedName name="Organizations">'Rates &amp; Drop Downs INT'!$B$10:$B$430</definedName>
    <definedName name="PERSONALIZATIONPERSONALIZATIONSP">'Rates &amp; Drop Downs INT'!$DH$50:$DH$51</definedName>
    <definedName name="Platform">#REF!</definedName>
    <definedName name="Priority" localSheetId="1">#REF!</definedName>
    <definedName name="Priority" localSheetId="22">#REF!</definedName>
    <definedName name="Priority" localSheetId="0">#REF!</definedName>
    <definedName name="Priority" localSheetId="11">'Optional - Scope Estimation'!#REF!</definedName>
    <definedName name="Priority" localSheetId="12">#REF!</definedName>
    <definedName name="Priority">#REF!</definedName>
    <definedName name="Product_Innovation">'Rates &amp; Drop Downs INT'!$CK$537:$CK$549</definedName>
    <definedName name="PRODUCTINNOVATIONSP">'Rates &amp; Drop Downs INT'!$DH$140</definedName>
    <definedName name="Reporting">'Optional - Scope Estimation'!$D$72:$E$72</definedName>
    <definedName name="RequirementType">'Optional - Scope Estimation'!$C$66:$C$119</definedName>
    <definedName name="RoleList" localSheetId="1">'1. Project Inputs'!#REF!</definedName>
    <definedName name="RoleList" localSheetId="22">'Complexity Factors'!#REF!</definedName>
    <definedName name="RoleList" localSheetId="0">#REF!</definedName>
    <definedName name="RoleList" localSheetId="11">#REF!</definedName>
    <definedName name="RoleList" localSheetId="12">#REF!</definedName>
    <definedName name="RoleList">#REF!</definedName>
    <definedName name="Sales_Cloud">'Rates &amp; Drop Downs INT'!$CK$608:$CK$628</definedName>
    <definedName name="SALESCLOUDSP">'Rates &amp; Drop Downs INT'!$DH$148:$DH$149</definedName>
    <definedName name="Salesforce">'Rates &amp; Drop Downs INT'!$CI$550:$CI$686</definedName>
    <definedName name="Salesforce_BA">'Rates &amp; Drop Downs INT'!$CK$629:$CK$631</definedName>
    <definedName name="Salesforce_Commerce_Cloud">'Rates &amp; Drop Downs INT'!$CK$550:$CK$570</definedName>
    <definedName name="Salesforce_Data_Cloud">'Rates &amp; Drop Downs INT'!$CK$571:$CK$586</definedName>
    <definedName name="Salesforce_DevOps">'Rates &amp; Drop Downs INT'!$CK$632:$CK$643</definedName>
    <definedName name="Salesforce_Marketing_Cloud">'Rates &amp; Drop Downs INT'!$CK$587:$CK$607</definedName>
    <definedName name="Salesforce_QA">'Rates &amp; Drop Downs INT'!$CK$644:$CK$652</definedName>
    <definedName name="Salesforce_UI">'Rates &amp; Drop Downs INT'!$CK$653:$CK$665</definedName>
    <definedName name="SALESFORCEBASP">'Rates &amp; Drop Downs INT'!$DH$150:$DH$153</definedName>
    <definedName name="SALESFORCEDEVOPSSP">'Rates &amp; Drop Downs INT'!$DH$154:$DH$157</definedName>
    <definedName name="SALESFORCEQASP">'Rates &amp; Drop Downs INT'!$DH$158:$DH$161</definedName>
    <definedName name="SALESFORCEUISP">'Rates &amp; Drop Downs INT'!$DH$162:$DH$163</definedName>
    <definedName name="SDLCBucketList">'Optional - Scope Estimation'!$G$17:$G$23</definedName>
    <definedName name="Security___Privacy">'Optional - Scope Estimation'!$D$71:$E$71</definedName>
    <definedName name="Security_and_Privacy">'Rates &amp; Drop Downs INT'!$CK$722:$CK$734</definedName>
    <definedName name="SECURITYPRIVACYSP">'Rates &amp; Drop Downs INT'!$DH$171:$DH$172</definedName>
    <definedName name="Service_Cloud">'Rates &amp; Drop Downs INT'!$CK$666:$CK$686</definedName>
    <definedName name="Service_Management">'Optional - Scope Estimation'!$D$74:$E$74</definedName>
    <definedName name="SERVICECLOUDSP">'Rates &amp; Drop Downs INT'!$DH$164:$DH$165</definedName>
    <definedName name="SITECORESEARCHSP">'Rates &amp; Drop Downs INT'!$DH$34</definedName>
    <definedName name="SITECORESP">'Rates &amp; Drop Downs INT'!$DH$32:$DH$33</definedName>
    <definedName name="Software_Engineering">'Rates &amp; Drop Downs INT'!$CK$735:$CK$747</definedName>
    <definedName name="SOFTWAREENGINEERINGSP">'Rates &amp; Drop Downs INT'!$DH$173</definedName>
    <definedName name="ss">#REF!</definedName>
    <definedName name="Strategy">'Rates &amp; Drop Downs INT'!$CK$382:$CK$399</definedName>
    <definedName name="STRATEGYSTRATEGYSP">'Rates &amp; Drop Downs INT'!$DH$99:$DH$100</definedName>
    <definedName name="Subcontractor_Cost" localSheetId="7">SUMIF('4. Summary &amp; Totals'!#REF!,"=sub",'4. Summary &amp; Totals'!#REF!)</definedName>
    <definedName name="TADIndia">'Rates &amp; Drop Downs INT'!$CG$6:$CG$747</definedName>
    <definedName name="TADNorthAmerica">'Rates &amp; Drop Downs INT'!$C$205:$C$287</definedName>
    <definedName name="Task">'Optional - Scope Estimation'!$E$64:$E$123</definedName>
    <definedName name="TEALIUMTEALIUMSP">'Rates &amp; Drop Downs INT'!$DH$134:$DH$139</definedName>
    <definedName name="Technology_Solutions">'Rates &amp; Drop Downs INT'!$CI$687:$CI$747</definedName>
    <definedName name="Testing">'Optional - Scope Estimation'!$D$69:$E$69</definedName>
    <definedName name="Total_Estimated_Cost" localSheetId="1">'1. Project Inputs'!#REF!</definedName>
    <definedName name="Total_Estimated_Cost" localSheetId="22">'Complexity Factors'!#REF!</definedName>
    <definedName name="Total_Estimated_Cost" localSheetId="0">#REF!</definedName>
    <definedName name="Total_Estimated_Cost" localSheetId="11">#REF!</definedName>
    <definedName name="Total_Estimated_Cost" localSheetId="12">#REF!</definedName>
    <definedName name="Total_Estimated_Cost">#REF!</definedName>
    <definedName name="Version">'2. Roles &amp; Pricing'!$L$2</definedName>
    <definedName name="WORDPRESSWORDPRESSSP">'Rates &amp; Drop Downs INT'!$DH$52</definedName>
    <definedName name="WORKMANAGEMENTSP">'Rates &amp; Drop Downs INT'!$DH$93:$DH$97</definedName>
  </definedNames>
  <calcPr calcId="191028"/>
  <pivotCaches>
    <pivotCache cacheId="0" r:id="rId2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5" i="28" l="1"/>
  <c r="BN15" i="28"/>
  <c r="BQ16" i="28"/>
  <c r="BQ17" i="28"/>
  <c r="BQ18" i="28"/>
  <c r="BQ19" i="28"/>
  <c r="BQ20" i="28"/>
  <c r="BQ21" i="28"/>
  <c r="BQ22" i="28"/>
  <c r="BQ23" i="28"/>
  <c r="BQ24" i="28"/>
  <c r="BQ25" i="28"/>
  <c r="BQ26" i="28"/>
  <c r="BQ27" i="28"/>
  <c r="BQ28" i="28"/>
  <c r="BQ29" i="28"/>
  <c r="BQ30" i="28"/>
  <c r="BQ31" i="28"/>
  <c r="BQ32" i="28"/>
  <c r="BQ33" i="28"/>
  <c r="BQ15" i="28"/>
  <c r="BS16" i="28"/>
  <c r="BS17" i="28"/>
  <c r="BS18" i="28"/>
  <c r="BS19" i="28"/>
  <c r="BS20" i="28"/>
  <c r="BS21" i="28"/>
  <c r="BS22" i="28"/>
  <c r="BS23" i="28"/>
  <c r="BS24" i="28"/>
  <c r="BS25" i="28"/>
  <c r="BS26" i="28"/>
  <c r="BS27" i="28"/>
  <c r="BS28" i="28"/>
  <c r="BS29" i="28"/>
  <c r="BS30" i="28"/>
  <c r="BS31" i="28"/>
  <c r="BS32" i="28"/>
  <c r="BS15" i="28"/>
  <c r="BT35" i="28"/>
  <c r="H7" i="28"/>
  <c r="O49" i="13" a="1"/>
  <c r="O49" i="13" s="1"/>
  <c r="O50" i="13" a="1"/>
  <c r="O50" i="13"/>
  <c r="O51" i="13" a="1"/>
  <c r="O51" i="13" s="1"/>
  <c r="O52" i="13" a="1"/>
  <c r="O52" i="13"/>
  <c r="O53" i="13" a="1"/>
  <c r="O53" i="13" s="1"/>
  <c r="O54" i="13" a="1"/>
  <c r="O54" i="13" s="1"/>
  <c r="O55" i="13" a="1"/>
  <c r="O55" i="13"/>
  <c r="O56" i="13" a="1"/>
  <c r="O56" i="13" s="1"/>
  <c r="O57" i="13" a="1"/>
  <c r="O57" i="13"/>
  <c r="O58" i="13" a="1"/>
  <c r="O58" i="13" s="1"/>
  <c r="O59" i="13" a="1"/>
  <c r="O59" i="13"/>
  <c r="O60" i="13" a="1"/>
  <c r="O60" i="13"/>
  <c r="O61" i="13" a="1"/>
  <c r="O61" i="13" s="1"/>
  <c r="O62" i="13" a="1"/>
  <c r="O62" i="13"/>
  <c r="O63" i="13" a="1"/>
  <c r="O63" i="13" s="1"/>
  <c r="O64" i="13" a="1"/>
  <c r="O64" i="13"/>
  <c r="O65" i="13" a="1"/>
  <c r="O65" i="13" s="1"/>
  <c r="O66" i="13" a="1"/>
  <c r="O66" i="13"/>
  <c r="O67" i="13" a="1"/>
  <c r="O67" i="13"/>
  <c r="O68" i="13" a="1"/>
  <c r="O68" i="13" s="1"/>
  <c r="O69" i="13" a="1"/>
  <c r="O69" i="13"/>
  <c r="O70" i="13" a="1"/>
  <c r="O70" i="13" s="1"/>
  <c r="O71" i="13" a="1"/>
  <c r="O71" i="13"/>
  <c r="O72" i="13" a="1"/>
  <c r="O72" i="13" s="1"/>
  <c r="O73" i="13" a="1"/>
  <c r="O73" i="13"/>
  <c r="O74" i="13" a="1"/>
  <c r="O74" i="13"/>
  <c r="O75" i="13" a="1"/>
  <c r="O75" i="13" s="1"/>
  <c r="O76" i="13" a="1"/>
  <c r="O76" i="13"/>
  <c r="O77" i="13" a="1"/>
  <c r="O77" i="13" s="1"/>
  <c r="O78" i="13" a="1"/>
  <c r="O78" i="13"/>
  <c r="O79" i="13" a="1"/>
  <c r="O79" i="13" s="1"/>
  <c r="O80" i="13" a="1"/>
  <c r="O80" i="13"/>
  <c r="O81" i="13" a="1"/>
  <c r="O81" i="13"/>
  <c r="O82" i="13" a="1"/>
  <c r="O82" i="13" s="1"/>
  <c r="O83" i="13" a="1"/>
  <c r="O83" i="13"/>
  <c r="O84" i="13" a="1"/>
  <c r="O84" i="13" s="1"/>
  <c r="O85" i="13" a="1"/>
  <c r="O85" i="13"/>
  <c r="O86" i="13" a="1"/>
  <c r="O86" i="13" s="1"/>
  <c r="O87" i="13" a="1"/>
  <c r="O87" i="13"/>
  <c r="O88" i="13" a="1"/>
  <c r="O88" i="13"/>
  <c r="O89" i="13" a="1"/>
  <c r="O89" i="13" s="1"/>
  <c r="O90" i="13" a="1"/>
  <c r="O90" i="13"/>
  <c r="O91" i="13" a="1"/>
  <c r="O91" i="13" s="1"/>
  <c r="O92" i="13" a="1"/>
  <c r="O92" i="13"/>
  <c r="O93" i="13" a="1"/>
  <c r="O93" i="13" s="1"/>
  <c r="O94" i="13" a="1"/>
  <c r="O94" i="13"/>
  <c r="O95" i="13" a="1"/>
  <c r="O95" i="13"/>
  <c r="O96" i="13" a="1"/>
  <c r="O96" i="13" s="1"/>
  <c r="O97" i="13" a="1"/>
  <c r="O97" i="13"/>
  <c r="O98" i="13" a="1"/>
  <c r="O98" i="13" s="1"/>
  <c r="O99" i="13" a="1"/>
  <c r="O99" i="13"/>
  <c r="O100" i="13" a="1"/>
  <c r="O100" i="13" s="1"/>
  <c r="O101" i="13" a="1"/>
  <c r="O101" i="13"/>
  <c r="O102" i="13" a="1"/>
  <c r="O102" i="13"/>
  <c r="O103" i="13" a="1"/>
  <c r="O103" i="13" s="1"/>
  <c r="O104" i="13" a="1"/>
  <c r="O104" i="13"/>
  <c r="O105" i="13" a="1"/>
  <c r="O105" i="13" s="1"/>
  <c r="O106" i="13" a="1"/>
  <c r="O106" i="13"/>
  <c r="O107" i="13" a="1"/>
  <c r="O107" i="13" s="1"/>
  <c r="O108" i="13" a="1"/>
  <c r="O108" i="13"/>
  <c r="O109" i="13" a="1"/>
  <c r="O109" i="13"/>
  <c r="O110" i="13" a="1"/>
  <c r="O110" i="13" s="1"/>
  <c r="O111" i="13" a="1"/>
  <c r="O111" i="13"/>
  <c r="O112" i="13" a="1"/>
  <c r="O112" i="13" s="1"/>
  <c r="O113" i="13" a="1"/>
  <c r="O113" i="13"/>
  <c r="O114" i="13" a="1"/>
  <c r="O114" i="13" s="1"/>
  <c r="O115" i="13" a="1"/>
  <c r="O115" i="13"/>
  <c r="O116" i="13" a="1"/>
  <c r="O116" i="13"/>
  <c r="O117" i="13" a="1"/>
  <c r="O117" i="13" s="1"/>
  <c r="O118" i="13" a="1"/>
  <c r="O118" i="13"/>
  <c r="O119" i="13" a="1"/>
  <c r="O119" i="13" s="1"/>
  <c r="O120" i="13" a="1"/>
  <c r="O120" i="13"/>
  <c r="O121" i="13" a="1"/>
  <c r="O121" i="13" s="1"/>
  <c r="O122" i="13" a="1"/>
  <c r="O122" i="13"/>
  <c r="O123" i="13" a="1"/>
  <c r="O123" i="13"/>
  <c r="O124" i="13" a="1"/>
  <c r="O124" i="13" s="1"/>
  <c r="O125" i="13" a="1"/>
  <c r="O125" i="13"/>
  <c r="O126" i="13" a="1"/>
  <c r="O126" i="13" s="1"/>
  <c r="O127" i="13" a="1"/>
  <c r="O127" i="13"/>
  <c r="O128" i="13" a="1"/>
  <c r="O128" i="13" s="1"/>
  <c r="O129" i="13" a="1"/>
  <c r="O129" i="13"/>
  <c r="O130" i="13" a="1"/>
  <c r="O130" i="13"/>
  <c r="O131" i="13" a="1"/>
  <c r="O131" i="13" s="1"/>
  <c r="O132" i="13" a="1"/>
  <c r="O132" i="13"/>
  <c r="O133" i="13" a="1"/>
  <c r="O133" i="13" s="1"/>
  <c r="O134" i="13" a="1"/>
  <c r="O134" i="13"/>
  <c r="O135" i="13" a="1"/>
  <c r="O135" i="13" s="1"/>
  <c r="O136" i="13" a="1"/>
  <c r="O136" i="13"/>
  <c r="O137" i="13" a="1"/>
  <c r="O137" i="13"/>
  <c r="O138" i="13" a="1"/>
  <c r="O138" i="13" s="1"/>
  <c r="O139" i="13" a="1"/>
  <c r="O139" i="13"/>
  <c r="O140" i="13" a="1"/>
  <c r="O140" i="13" s="1"/>
  <c r="O141" i="13" a="1"/>
  <c r="O141" i="13"/>
  <c r="O142" i="13" a="1"/>
  <c r="O142" i="13" s="1"/>
  <c r="O143" i="13" a="1"/>
  <c r="O143" i="13"/>
  <c r="O144" i="13" a="1"/>
  <c r="O144" i="13"/>
  <c r="O145" i="13" a="1"/>
  <c r="O145" i="13" s="1"/>
  <c r="O146" i="13" a="1"/>
  <c r="O146" i="13"/>
  <c r="O147" i="13" a="1"/>
  <c r="O147" i="13" s="1"/>
  <c r="Q16" i="28"/>
  <c r="P16" i="28"/>
  <c r="O16" i="28"/>
  <c r="N16" i="28"/>
  <c r="W49" i="13"/>
  <c r="W50" i="13"/>
  <c r="W51" i="13"/>
  <c r="W52" i="13"/>
  <c r="W53" i="13"/>
  <c r="W54" i="13"/>
  <c r="W55" i="13"/>
  <c r="W56" i="13"/>
  <c r="W57" i="13"/>
  <c r="W58" i="13"/>
  <c r="W59" i="13"/>
  <c r="W60" i="13"/>
  <c r="W61" i="13"/>
  <c r="W62" i="13"/>
  <c r="W63" i="13"/>
  <c r="W64" i="13"/>
  <c r="W65" i="13"/>
  <c r="W66" i="13"/>
  <c r="W67" i="13"/>
  <c r="W68" i="13"/>
  <c r="W69" i="13"/>
  <c r="W70" i="13"/>
  <c r="W71" i="13"/>
  <c r="W72" i="13"/>
  <c r="W73" i="13"/>
  <c r="W74" i="13"/>
  <c r="W75" i="13"/>
  <c r="W76" i="13"/>
  <c r="W77" i="13"/>
  <c r="W78" i="13"/>
  <c r="W79" i="13"/>
  <c r="W80" i="13"/>
  <c r="W81" i="13"/>
  <c r="W82" i="13"/>
  <c r="W83" i="13"/>
  <c r="W84" i="13"/>
  <c r="W85" i="13"/>
  <c r="W86" i="13"/>
  <c r="W87" i="13"/>
  <c r="W88" i="13"/>
  <c r="W89" i="13"/>
  <c r="W90" i="13"/>
  <c r="W91" i="13"/>
  <c r="W92" i="13"/>
  <c r="W93" i="13"/>
  <c r="W94" i="13"/>
  <c r="W95" i="13"/>
  <c r="W96" i="13"/>
  <c r="W97" i="13"/>
  <c r="W98" i="13"/>
  <c r="W99" i="13"/>
  <c r="W100" i="13"/>
  <c r="W101" i="13"/>
  <c r="W102" i="13"/>
  <c r="W103" i="13"/>
  <c r="W104" i="13"/>
  <c r="W105" i="13"/>
  <c r="W106" i="13"/>
  <c r="W107" i="13"/>
  <c r="W108" i="13"/>
  <c r="W109" i="13"/>
  <c r="W110" i="13"/>
  <c r="W111" i="13"/>
  <c r="W112" i="13"/>
  <c r="W113" i="13"/>
  <c r="W114" i="13"/>
  <c r="W115" i="13"/>
  <c r="W116" i="13"/>
  <c r="W117" i="13"/>
  <c r="W118" i="13"/>
  <c r="W119" i="13"/>
  <c r="W120" i="13"/>
  <c r="W121" i="13"/>
  <c r="W122" i="13"/>
  <c r="W123" i="13"/>
  <c r="W124" i="13"/>
  <c r="W125" i="13"/>
  <c r="W126" i="13"/>
  <c r="W127" i="13"/>
  <c r="W128" i="13"/>
  <c r="W129" i="13"/>
  <c r="W130" i="13"/>
  <c r="W131" i="13"/>
  <c r="W132" i="13"/>
  <c r="W133" i="13"/>
  <c r="W134" i="13"/>
  <c r="W135" i="13"/>
  <c r="W136" i="13"/>
  <c r="W137" i="13"/>
  <c r="W138" i="13"/>
  <c r="W139" i="13"/>
  <c r="W140" i="13"/>
  <c r="W141" i="13"/>
  <c r="W142" i="13"/>
  <c r="W143" i="13"/>
  <c r="W144" i="13"/>
  <c r="W145" i="13"/>
  <c r="W146" i="13"/>
  <c r="W147" i="13"/>
  <c r="W48" i="13"/>
  <c r="V49" i="13"/>
  <c r="V50" i="13"/>
  <c r="V51" i="13"/>
  <c r="V52" i="13"/>
  <c r="V53" i="13"/>
  <c r="V54" i="13"/>
  <c r="V55" i="13"/>
  <c r="V56" i="13"/>
  <c r="V57" i="13"/>
  <c r="V58" i="13"/>
  <c r="V59" i="13"/>
  <c r="V60" i="13"/>
  <c r="V61" i="13"/>
  <c r="V62" i="13"/>
  <c r="V63" i="13"/>
  <c r="V64" i="13"/>
  <c r="V65" i="13"/>
  <c r="V66" i="13"/>
  <c r="V67" i="13"/>
  <c r="V68" i="13"/>
  <c r="V69" i="13"/>
  <c r="V70" i="13"/>
  <c r="V71" i="13"/>
  <c r="V72" i="13"/>
  <c r="V73" i="13"/>
  <c r="V74" i="13"/>
  <c r="V75" i="13"/>
  <c r="V76" i="13"/>
  <c r="V77" i="13"/>
  <c r="V78" i="13"/>
  <c r="V79" i="13"/>
  <c r="V80" i="13"/>
  <c r="V81" i="13"/>
  <c r="V82" i="13"/>
  <c r="V83" i="13"/>
  <c r="V84" i="13"/>
  <c r="V85" i="13"/>
  <c r="V86" i="13"/>
  <c r="V87" i="13"/>
  <c r="V88" i="13"/>
  <c r="V89" i="13"/>
  <c r="V90" i="13"/>
  <c r="V91" i="13"/>
  <c r="V92" i="13"/>
  <c r="V93" i="13"/>
  <c r="V94" i="13"/>
  <c r="V95" i="13"/>
  <c r="V96" i="13"/>
  <c r="V97" i="13"/>
  <c r="V98" i="13"/>
  <c r="V99" i="13"/>
  <c r="V100" i="13"/>
  <c r="V101" i="13"/>
  <c r="V102" i="13"/>
  <c r="V103" i="13"/>
  <c r="V104" i="13"/>
  <c r="V105" i="13"/>
  <c r="V106" i="13"/>
  <c r="V107" i="13"/>
  <c r="V108" i="13"/>
  <c r="V109" i="13"/>
  <c r="V110" i="13"/>
  <c r="V111" i="13"/>
  <c r="V112" i="13"/>
  <c r="V113" i="13"/>
  <c r="V114" i="13"/>
  <c r="V115" i="13"/>
  <c r="V116" i="13"/>
  <c r="V117" i="13"/>
  <c r="V118" i="13"/>
  <c r="V119" i="13"/>
  <c r="V120" i="13"/>
  <c r="V121" i="13"/>
  <c r="V122" i="13"/>
  <c r="V123" i="13"/>
  <c r="V124" i="13"/>
  <c r="V125" i="13"/>
  <c r="V126" i="13"/>
  <c r="V127" i="13"/>
  <c r="V128" i="13"/>
  <c r="V129" i="13"/>
  <c r="V130" i="13"/>
  <c r="V131" i="13"/>
  <c r="V132" i="13"/>
  <c r="V133" i="13"/>
  <c r="V134" i="13"/>
  <c r="V135" i="13"/>
  <c r="V136" i="13"/>
  <c r="V137" i="13"/>
  <c r="V138" i="13"/>
  <c r="V139" i="13"/>
  <c r="V140" i="13"/>
  <c r="V141" i="13"/>
  <c r="V142" i="13"/>
  <c r="V143" i="13"/>
  <c r="V144" i="13"/>
  <c r="V145" i="13"/>
  <c r="V146" i="13"/>
  <c r="V147" i="13"/>
  <c r="V48" i="13"/>
  <c r="N49" i="13" a="1"/>
  <c r="N49" i="13" s="1"/>
  <c r="N50" i="13" a="1"/>
  <c r="N50" i="13" s="1"/>
  <c r="N51" i="13" a="1"/>
  <c r="N51" i="13"/>
  <c r="N52" i="13" a="1"/>
  <c r="N52" i="13" s="1"/>
  <c r="N53" i="13" a="1"/>
  <c r="N53" i="13" s="1"/>
  <c r="N54" i="13" a="1"/>
  <c r="N54" i="13" s="1"/>
  <c r="N55" i="13" a="1"/>
  <c r="N55" i="13" s="1"/>
  <c r="N56" i="13" a="1"/>
  <c r="N56" i="13" s="1"/>
  <c r="N57" i="13" a="1"/>
  <c r="N57" i="13"/>
  <c r="N58" i="13" a="1"/>
  <c r="N58" i="13" s="1"/>
  <c r="N59" i="13" a="1"/>
  <c r="N59" i="13"/>
  <c r="N60" i="13" a="1"/>
  <c r="N60" i="13" s="1"/>
  <c r="N61" i="13" a="1"/>
  <c r="N61" i="13" s="1"/>
  <c r="N62" i="13" a="1"/>
  <c r="N62" i="13" s="1"/>
  <c r="N63" i="13" a="1"/>
  <c r="N63" i="13" s="1"/>
  <c r="N64" i="13" a="1"/>
  <c r="N64" i="13" s="1"/>
  <c r="N65" i="13" a="1"/>
  <c r="N65" i="13" s="1"/>
  <c r="N66" i="13" a="1"/>
  <c r="N66" i="13" s="1"/>
  <c r="N67" i="13" a="1"/>
  <c r="N67" i="13" s="1"/>
  <c r="N68" i="13" a="1"/>
  <c r="N68" i="13" s="1"/>
  <c r="N69" i="13" a="1"/>
  <c r="N69" i="13" s="1"/>
  <c r="N70" i="13" a="1"/>
  <c r="N70" i="13" s="1"/>
  <c r="N71" i="13" a="1"/>
  <c r="N71" i="13"/>
  <c r="N72" i="13" a="1"/>
  <c r="N72" i="13" s="1"/>
  <c r="N73" i="13" a="1"/>
  <c r="N73" i="13"/>
  <c r="N74" i="13" a="1"/>
  <c r="N74" i="13" s="1"/>
  <c r="N75" i="13" a="1"/>
  <c r="N75" i="13" s="1"/>
  <c r="N76" i="13" a="1"/>
  <c r="N76" i="13" s="1"/>
  <c r="N77" i="13" a="1"/>
  <c r="N77" i="13" s="1"/>
  <c r="N78" i="13" a="1"/>
  <c r="N78" i="13" s="1"/>
  <c r="N79" i="13" a="1"/>
  <c r="N79" i="13"/>
  <c r="N80" i="13" a="1"/>
  <c r="N80" i="13" s="1"/>
  <c r="N81" i="13" a="1"/>
  <c r="N81" i="13"/>
  <c r="N82" i="13" a="1"/>
  <c r="N82" i="13" s="1"/>
  <c r="N83" i="13" a="1"/>
  <c r="N83" i="13" s="1"/>
  <c r="N84" i="13" a="1"/>
  <c r="N84" i="13" s="1"/>
  <c r="N85" i="13" a="1"/>
  <c r="N85" i="13" s="1"/>
  <c r="N86" i="13" a="1"/>
  <c r="N86" i="13" s="1"/>
  <c r="N87" i="13" a="1"/>
  <c r="N87" i="13" s="1"/>
  <c r="N88" i="13" a="1"/>
  <c r="N88" i="13" s="1"/>
  <c r="N89" i="13" a="1"/>
  <c r="N89" i="13" s="1"/>
  <c r="N90" i="13" a="1"/>
  <c r="N90" i="13" s="1"/>
  <c r="N91" i="13" a="1"/>
  <c r="N91" i="13" s="1"/>
  <c r="N92" i="13" a="1"/>
  <c r="N92" i="13"/>
  <c r="N93" i="13" a="1"/>
  <c r="N93" i="13" s="1"/>
  <c r="N94" i="13" a="1"/>
  <c r="N94" i="13" s="1"/>
  <c r="N95" i="13" a="1"/>
  <c r="N95" i="13" s="1"/>
  <c r="N96" i="13" a="1"/>
  <c r="N96" i="13" s="1"/>
  <c r="N97" i="13" a="1"/>
  <c r="N97" i="13" s="1"/>
  <c r="N98" i="13" a="1"/>
  <c r="N98" i="13" s="1"/>
  <c r="N99" i="13" a="1"/>
  <c r="N99" i="13" s="1"/>
  <c r="N100" i="13" a="1"/>
  <c r="N100" i="13" s="1"/>
  <c r="N101" i="13" a="1"/>
  <c r="N101" i="13"/>
  <c r="N102" i="13" a="1"/>
  <c r="N102" i="13" s="1"/>
  <c r="N103" i="13" a="1"/>
  <c r="N103" i="13" s="1"/>
  <c r="N104" i="13" a="1"/>
  <c r="N104" i="13"/>
  <c r="N105" i="13" a="1"/>
  <c r="N105" i="13" s="1"/>
  <c r="N106" i="13" a="1"/>
  <c r="N106" i="13"/>
  <c r="N107" i="13" a="1"/>
  <c r="N107" i="13" s="1"/>
  <c r="N108" i="13" a="1"/>
  <c r="N108" i="13" s="1"/>
  <c r="N109" i="13" a="1"/>
  <c r="N109" i="13" s="1"/>
  <c r="N110" i="13" a="1"/>
  <c r="N110" i="13" s="1"/>
  <c r="N111" i="13" a="1"/>
  <c r="N111" i="13"/>
  <c r="N112" i="13" a="1"/>
  <c r="N112" i="13" s="1"/>
  <c r="N113" i="13" a="1"/>
  <c r="N113" i="13"/>
  <c r="N114" i="13" a="1"/>
  <c r="N114" i="13" s="1"/>
  <c r="N115" i="13" a="1"/>
  <c r="N115" i="13" s="1"/>
  <c r="N116" i="13" a="1"/>
  <c r="N116" i="13" s="1"/>
  <c r="N117" i="13" a="1"/>
  <c r="N117" i="13" s="1"/>
  <c r="N118" i="13" a="1"/>
  <c r="N118" i="13" s="1"/>
  <c r="N119" i="13" a="1"/>
  <c r="N119" i="13" s="1"/>
  <c r="N120" i="13" a="1"/>
  <c r="N120" i="13" s="1"/>
  <c r="N121" i="13" a="1"/>
  <c r="N121" i="13" s="1"/>
  <c r="N122" i="13" a="1"/>
  <c r="N122" i="13" s="1"/>
  <c r="N123" i="13" a="1"/>
  <c r="N123" i="13" s="1"/>
  <c r="N124" i="13" a="1"/>
  <c r="N124" i="13" s="1"/>
  <c r="N125" i="13" a="1"/>
  <c r="N125" i="13" s="1"/>
  <c r="N126" i="13" a="1"/>
  <c r="N126" i="13" s="1"/>
  <c r="N127" i="13" a="1"/>
  <c r="N127" i="13" s="1"/>
  <c r="N128" i="13" a="1"/>
  <c r="N128" i="13" s="1"/>
  <c r="N129" i="13" a="1"/>
  <c r="N129" i="13" s="1"/>
  <c r="N130" i="13" a="1"/>
  <c r="N130" i="13" s="1"/>
  <c r="N131" i="13" a="1"/>
  <c r="N131" i="13" s="1"/>
  <c r="N132" i="13" a="1"/>
  <c r="N132" i="13" s="1"/>
  <c r="N133" i="13" a="1"/>
  <c r="N133" i="13" s="1"/>
  <c r="N134" i="13" a="1"/>
  <c r="N134" i="13" s="1"/>
  <c r="N135" i="13" a="1"/>
  <c r="N135" i="13" s="1"/>
  <c r="N136" i="13" a="1"/>
  <c r="N136" i="13" s="1"/>
  <c r="N137" i="13" a="1"/>
  <c r="N137" i="13"/>
  <c r="N138" i="13" a="1"/>
  <c r="N138" i="13" s="1"/>
  <c r="N139" i="13" a="1"/>
  <c r="N139" i="13" s="1"/>
  <c r="N140" i="13" a="1"/>
  <c r="N140" i="13" s="1"/>
  <c r="N141" i="13" a="1"/>
  <c r="N141" i="13"/>
  <c r="N142" i="13" a="1"/>
  <c r="N142" i="13" s="1"/>
  <c r="N143" i="13" a="1"/>
  <c r="N143" i="13" s="1"/>
  <c r="N144" i="13" a="1"/>
  <c r="N144" i="13" s="1"/>
  <c r="N145" i="13" a="1"/>
  <c r="N145" i="13" s="1"/>
  <c r="N146" i="13" a="1"/>
  <c r="N146" i="13"/>
  <c r="N147" i="13" a="1"/>
  <c r="N147" i="13" s="1"/>
  <c r="N48" i="13" a="1"/>
  <c r="N48" i="13" s="1"/>
  <c r="I293" i="13" a="1"/>
  <c r="I293" i="13" s="1"/>
  <c r="I294" i="13" a="1"/>
  <c r="I294" i="13" s="1"/>
  <c r="I295" i="13" a="1"/>
  <c r="I295" i="13" s="1"/>
  <c r="I296" i="13" a="1"/>
  <c r="I296" i="13" s="1"/>
  <c r="I297" i="13" a="1"/>
  <c r="I297" i="13" s="1"/>
  <c r="I298" i="13" a="1"/>
  <c r="I298" i="13" s="1"/>
  <c r="I299" i="13" a="1"/>
  <c r="I299" i="13" s="1"/>
  <c r="I300" i="13" a="1"/>
  <c r="I300" i="13" s="1"/>
  <c r="I301" i="13" a="1"/>
  <c r="I301" i="13" s="1"/>
  <c r="I302" i="13" a="1"/>
  <c r="I302" i="13" s="1"/>
  <c r="I303" i="13" a="1"/>
  <c r="I303" i="13" s="1"/>
  <c r="I304" i="13" a="1"/>
  <c r="I304" i="13" s="1"/>
  <c r="I305" i="13" a="1"/>
  <c r="I305" i="13" s="1"/>
  <c r="I306" i="13" a="1"/>
  <c r="I306" i="13" s="1"/>
  <c r="I307" i="13" a="1"/>
  <c r="I307" i="13" s="1"/>
  <c r="I308" i="13" a="1"/>
  <c r="I308" i="13" s="1"/>
  <c r="I309" i="13" a="1"/>
  <c r="I309" i="13" s="1"/>
  <c r="I310" i="13" a="1"/>
  <c r="I310" i="13" s="1"/>
  <c r="I311" i="13" a="1"/>
  <c r="I311" i="13" s="1"/>
  <c r="I312" i="13" a="1"/>
  <c r="I312" i="13" s="1"/>
  <c r="I313" i="13" a="1"/>
  <c r="I313" i="13"/>
  <c r="I314" i="13" a="1"/>
  <c r="I314" i="13" s="1"/>
  <c r="I315" i="13" a="1"/>
  <c r="I315" i="13" s="1"/>
  <c r="I316" i="13" a="1"/>
  <c r="I316" i="13" s="1"/>
  <c r="I317" i="13" a="1"/>
  <c r="I317" i="13" s="1"/>
  <c r="I318" i="13" a="1"/>
  <c r="I318" i="13" s="1"/>
  <c r="I319" i="13" a="1"/>
  <c r="I319" i="13" s="1"/>
  <c r="I320" i="13" a="1"/>
  <c r="I320" i="13" s="1"/>
  <c r="I321" i="13" a="1"/>
  <c r="I321" i="13" s="1"/>
  <c r="I322" i="13" a="1"/>
  <c r="I322" i="13" s="1"/>
  <c r="I323" i="13" a="1"/>
  <c r="I323" i="13" s="1"/>
  <c r="I324" i="13" a="1"/>
  <c r="I324" i="13" s="1"/>
  <c r="I325" i="13" a="1"/>
  <c r="I325" i="13" s="1"/>
  <c r="I326" i="13" a="1"/>
  <c r="I326" i="13" s="1"/>
  <c r="I327" i="13" a="1"/>
  <c r="I327" i="13" s="1"/>
  <c r="I328" i="13" a="1"/>
  <c r="I328" i="13" s="1"/>
  <c r="I329" i="13" a="1"/>
  <c r="I329" i="13" s="1"/>
  <c r="I330" i="13" a="1"/>
  <c r="I330" i="13" s="1"/>
  <c r="I331" i="13" a="1"/>
  <c r="I331" i="13" s="1"/>
  <c r="I332" i="13" a="1"/>
  <c r="I332" i="13" s="1"/>
  <c r="I333" i="13" a="1"/>
  <c r="I333" i="13" s="1"/>
  <c r="I334" i="13" a="1"/>
  <c r="I334" i="13" s="1"/>
  <c r="I335" i="13" a="1"/>
  <c r="I335" i="13" s="1"/>
  <c r="I336" i="13" a="1"/>
  <c r="I336" i="13" s="1"/>
  <c r="I337" i="13" a="1"/>
  <c r="I337" i="13" s="1"/>
  <c r="I338" i="13" a="1"/>
  <c r="I338" i="13" s="1"/>
  <c r="I339" i="13" a="1"/>
  <c r="I339" i="13" s="1"/>
  <c r="I340" i="13" a="1"/>
  <c r="I340" i="13" s="1"/>
  <c r="I341" i="13" a="1"/>
  <c r="I341" i="13" s="1"/>
  <c r="I342" i="13" a="1"/>
  <c r="I342" i="13" s="1"/>
  <c r="I343" i="13" a="1"/>
  <c r="I343" i="13" s="1"/>
  <c r="I344" i="13" a="1"/>
  <c r="I344" i="13" s="1"/>
  <c r="I345" i="13" a="1"/>
  <c r="I345" i="13" s="1"/>
  <c r="I346" i="13" a="1"/>
  <c r="I346" i="13" s="1"/>
  <c r="I347" i="13" a="1"/>
  <c r="I347" i="13" s="1"/>
  <c r="I348" i="13" a="1"/>
  <c r="I348" i="13" s="1"/>
  <c r="I349" i="13" a="1"/>
  <c r="I349" i="13" s="1"/>
  <c r="I350" i="13" a="1"/>
  <c r="I350" i="13" s="1"/>
  <c r="I351" i="13" a="1"/>
  <c r="I351" i="13" s="1"/>
  <c r="I352" i="13" a="1"/>
  <c r="I352" i="13" s="1"/>
  <c r="I353" i="13" a="1"/>
  <c r="I353" i="13" s="1"/>
  <c r="I354" i="13" a="1"/>
  <c r="I354" i="13" s="1"/>
  <c r="I355" i="13" a="1"/>
  <c r="I355" i="13" s="1"/>
  <c r="I356" i="13" a="1"/>
  <c r="I356" i="13" s="1"/>
  <c r="I357" i="13" a="1"/>
  <c r="I357" i="13" s="1"/>
  <c r="I358" i="13" a="1"/>
  <c r="I358" i="13" s="1"/>
  <c r="I359" i="13" a="1"/>
  <c r="I359" i="13" s="1"/>
  <c r="I360" i="13" a="1"/>
  <c r="I360" i="13" s="1"/>
  <c r="I361" i="13" a="1"/>
  <c r="I361" i="13" s="1"/>
  <c r="I362" i="13" a="1"/>
  <c r="I362" i="13" s="1"/>
  <c r="I363" i="13" a="1"/>
  <c r="I363" i="13" s="1"/>
  <c r="I364" i="13" a="1"/>
  <c r="I364" i="13" s="1"/>
  <c r="I365" i="13" a="1"/>
  <c r="I365" i="13" s="1"/>
  <c r="I366" i="13" a="1"/>
  <c r="I366" i="13" s="1"/>
  <c r="I367" i="13" a="1"/>
  <c r="I367" i="13" s="1"/>
  <c r="I368" i="13" a="1"/>
  <c r="I368" i="13" s="1"/>
  <c r="I369" i="13" a="1"/>
  <c r="I369" i="13" s="1"/>
  <c r="I370" i="13" a="1"/>
  <c r="I370" i="13" s="1"/>
  <c r="I371" i="13" a="1"/>
  <c r="I371" i="13" s="1"/>
  <c r="I372" i="13" a="1"/>
  <c r="I372" i="13" s="1"/>
  <c r="I373" i="13" a="1"/>
  <c r="I373" i="13" s="1"/>
  <c r="I374" i="13" a="1"/>
  <c r="I374" i="13" s="1"/>
  <c r="I375" i="13" a="1"/>
  <c r="I375" i="13" s="1"/>
  <c r="I376" i="13" a="1"/>
  <c r="I376" i="13" s="1"/>
  <c r="I377" i="13" a="1"/>
  <c r="I377" i="13" s="1"/>
  <c r="I378" i="13" a="1"/>
  <c r="I378" i="13" s="1"/>
  <c r="I379" i="13" a="1"/>
  <c r="I379" i="13" s="1"/>
  <c r="I380" i="13" a="1"/>
  <c r="I380" i="13" s="1"/>
  <c r="I381" i="13" a="1"/>
  <c r="I381" i="13" s="1"/>
  <c r="I382" i="13" a="1"/>
  <c r="I382" i="13" s="1"/>
  <c r="I383" i="13" a="1"/>
  <c r="I383" i="13" s="1"/>
  <c r="I384" i="13" a="1"/>
  <c r="I384" i="13" s="1"/>
  <c r="I385" i="13" a="1"/>
  <c r="I385" i="13" s="1"/>
  <c r="I386" i="13" a="1"/>
  <c r="I386" i="13" s="1"/>
  <c r="I387" i="13" a="1"/>
  <c r="I387" i="13" s="1"/>
  <c r="I388" i="13" a="1"/>
  <c r="I388" i="13" s="1"/>
  <c r="I389" i="13" a="1"/>
  <c r="I389" i="13" s="1"/>
  <c r="I390" i="13" a="1"/>
  <c r="I390" i="13" s="1"/>
  <c r="I291" i="13" a="1"/>
  <c r="I291" i="13" s="1"/>
  <c r="I292" i="13" a="1"/>
  <c r="I292" i="13" s="1"/>
  <c r="K293" i="13" a="1"/>
  <c r="K293" i="13"/>
  <c r="K294" i="13" a="1"/>
  <c r="K294" i="13"/>
  <c r="K295" i="13" a="1"/>
  <c r="K295" i="13"/>
  <c r="K296" i="13" a="1"/>
  <c r="K296" i="13"/>
  <c r="K297" i="13" a="1"/>
  <c r="K297" i="13"/>
  <c r="K298" i="13" a="1"/>
  <c r="K298" i="13"/>
  <c r="K299" i="13" a="1"/>
  <c r="K299" i="13"/>
  <c r="K300" i="13" a="1"/>
  <c r="K300" i="13"/>
  <c r="K301" i="13" a="1"/>
  <c r="K301" i="13"/>
  <c r="K302" i="13" a="1"/>
  <c r="K302" i="13"/>
  <c r="K303" i="13" a="1"/>
  <c r="K303" i="13"/>
  <c r="K304" i="13" a="1"/>
  <c r="K304" i="13"/>
  <c r="K305" i="13" a="1"/>
  <c r="K305" i="13"/>
  <c r="K306" i="13" a="1"/>
  <c r="K306" i="13"/>
  <c r="K307" i="13" a="1"/>
  <c r="K307" i="13"/>
  <c r="K308" i="13" a="1"/>
  <c r="K308" i="13"/>
  <c r="K309" i="13" a="1"/>
  <c r="K309" i="13"/>
  <c r="K310" i="13" a="1"/>
  <c r="K310" i="13"/>
  <c r="K311" i="13" a="1"/>
  <c r="K311" i="13"/>
  <c r="K312" i="13" a="1"/>
  <c r="K312" i="13"/>
  <c r="K313" i="13" a="1"/>
  <c r="K313" i="13"/>
  <c r="K314" i="13" a="1"/>
  <c r="K314" i="13"/>
  <c r="K315" i="13" a="1"/>
  <c r="K315" i="13"/>
  <c r="K316" i="13" a="1"/>
  <c r="K316" i="13"/>
  <c r="K317" i="13" a="1"/>
  <c r="K317" i="13" s="1"/>
  <c r="K318" i="13" a="1"/>
  <c r="K318" i="13"/>
  <c r="K319" i="13" a="1"/>
  <c r="K319" i="13" s="1"/>
  <c r="K320" i="13" a="1"/>
  <c r="K320" i="13" s="1"/>
  <c r="K321" i="13" a="1"/>
  <c r="K321" i="13"/>
  <c r="K322" i="13" a="1"/>
  <c r="K322" i="13"/>
  <c r="K323" i="13" a="1"/>
  <c r="K323" i="13"/>
  <c r="K324" i="13" a="1"/>
  <c r="K324" i="13" s="1"/>
  <c r="K325" i="13" a="1"/>
  <c r="K325" i="13"/>
  <c r="K326" i="13" a="1"/>
  <c r="K326" i="13" s="1"/>
  <c r="K327" i="13" a="1"/>
  <c r="K327" i="13" s="1"/>
  <c r="K328" i="13" a="1"/>
  <c r="K328" i="13"/>
  <c r="K329" i="13" a="1"/>
  <c r="K329" i="13"/>
  <c r="K330" i="13" a="1"/>
  <c r="K330" i="13"/>
  <c r="K331" i="13" a="1"/>
  <c r="K331" i="13" s="1"/>
  <c r="K332" i="13" a="1"/>
  <c r="K332" i="13"/>
  <c r="K333" i="13" a="1"/>
  <c r="K333" i="13" s="1"/>
  <c r="K334" i="13" a="1"/>
  <c r="K334" i="13" s="1"/>
  <c r="K335" i="13" a="1"/>
  <c r="K335" i="13"/>
  <c r="K336" i="13" a="1"/>
  <c r="K336" i="13"/>
  <c r="K337" i="13" a="1"/>
  <c r="K337" i="13"/>
  <c r="K338" i="13" a="1"/>
  <c r="K338" i="13" s="1"/>
  <c r="K339" i="13" a="1"/>
  <c r="K339" i="13"/>
  <c r="K340" i="13" a="1"/>
  <c r="K340" i="13" s="1"/>
  <c r="K341" i="13" a="1"/>
  <c r="K341" i="13" s="1"/>
  <c r="K342" i="13" a="1"/>
  <c r="K342" i="13"/>
  <c r="K343" i="13" a="1"/>
  <c r="K343" i="13"/>
  <c r="K344" i="13" a="1"/>
  <c r="K344" i="13"/>
  <c r="K345" i="13" a="1"/>
  <c r="K345" i="13" s="1"/>
  <c r="K346" i="13" a="1"/>
  <c r="K346" i="13"/>
  <c r="K347" i="13" a="1"/>
  <c r="K347" i="13"/>
  <c r="K348" i="13" a="1"/>
  <c r="K348" i="13" s="1"/>
  <c r="K349" i="13" a="1"/>
  <c r="K349" i="13"/>
  <c r="K350" i="13" a="1"/>
  <c r="K350" i="13"/>
  <c r="K351" i="13" a="1"/>
  <c r="K351" i="13"/>
  <c r="K352" i="13" a="1"/>
  <c r="K352" i="13"/>
  <c r="K353" i="13" a="1"/>
  <c r="K353" i="13"/>
  <c r="K354" i="13" a="1"/>
  <c r="K354" i="13"/>
  <c r="K355" i="13" a="1"/>
  <c r="K355" i="13" s="1"/>
  <c r="K356" i="13" a="1"/>
  <c r="K356" i="13"/>
  <c r="K357" i="13" a="1"/>
  <c r="K357" i="13"/>
  <c r="K358" i="13" a="1"/>
  <c r="K358" i="13"/>
  <c r="K359" i="13" a="1"/>
  <c r="K359" i="13"/>
  <c r="K360" i="13" a="1"/>
  <c r="K360" i="13"/>
  <c r="K361" i="13" a="1"/>
  <c r="K361" i="13"/>
  <c r="K362" i="13" a="1"/>
  <c r="K362" i="13" s="1"/>
  <c r="K363" i="13" a="1"/>
  <c r="K363" i="13"/>
  <c r="K364" i="13" a="1"/>
  <c r="K364" i="13"/>
  <c r="K365" i="13" a="1"/>
  <c r="K365" i="13"/>
  <c r="K366" i="13" a="1"/>
  <c r="K366" i="13"/>
  <c r="K367" i="13" a="1"/>
  <c r="K367" i="13"/>
  <c r="K368" i="13" a="1"/>
  <c r="K368" i="13"/>
  <c r="K369" i="13" a="1"/>
  <c r="K369" i="13" s="1"/>
  <c r="K370" i="13" a="1"/>
  <c r="K370" i="13"/>
  <c r="K371" i="13" a="1"/>
  <c r="K371" i="13"/>
  <c r="K372" i="13" a="1"/>
  <c r="K372" i="13"/>
  <c r="K373" i="13" a="1"/>
  <c r="K373" i="13"/>
  <c r="K374" i="13" a="1"/>
  <c r="K374" i="13"/>
  <c r="K375" i="13" a="1"/>
  <c r="K375" i="13"/>
  <c r="K376" i="13" a="1"/>
  <c r="K376" i="13" s="1"/>
  <c r="K377" i="13" a="1"/>
  <c r="K377" i="13"/>
  <c r="K378" i="13" a="1"/>
  <c r="K378" i="13"/>
  <c r="K379" i="13" a="1"/>
  <c r="K379" i="13"/>
  <c r="K380" i="13" a="1"/>
  <c r="K380" i="13"/>
  <c r="K381" i="13" a="1"/>
  <c r="K381" i="13"/>
  <c r="K382" i="13" a="1"/>
  <c r="K382" i="13"/>
  <c r="K383" i="13" a="1"/>
  <c r="K383" i="13" s="1"/>
  <c r="K384" i="13" a="1"/>
  <c r="K384" i="13"/>
  <c r="K385" i="13" a="1"/>
  <c r="K385" i="13"/>
  <c r="K386" i="13" a="1"/>
  <c r="K386" i="13"/>
  <c r="K387" i="13" a="1"/>
  <c r="K387" i="13"/>
  <c r="K388" i="13" a="1"/>
  <c r="K388" i="13"/>
  <c r="K389" i="13" a="1"/>
  <c r="K389" i="13"/>
  <c r="K390" i="13" a="1"/>
  <c r="K390" i="13" s="1"/>
  <c r="K292" i="13" a="1"/>
  <c r="K292" i="13"/>
  <c r="K291" i="13" a="1"/>
  <c r="K291" i="13" s="1"/>
  <c r="O48" i="13" a="1"/>
  <c r="O48" i="13" s="1"/>
  <c r="H48" i="13"/>
  <c r="H49" i="13"/>
  <c r="H50" i="13"/>
  <c r="H51" i="13"/>
  <c r="H52" i="13"/>
  <c r="H53" i="13"/>
  <c r="H54" i="13"/>
  <c r="G48" i="13"/>
  <c r="G49" i="13"/>
  <c r="G50" i="13"/>
  <c r="G51" i="13"/>
  <c r="G52" i="13"/>
  <c r="G53" i="13"/>
  <c r="G54" i="13"/>
  <c r="E48" i="13"/>
  <c r="E49" i="13"/>
  <c r="E50" i="13"/>
  <c r="E51" i="13"/>
  <c r="E52" i="13"/>
  <c r="E53" i="13"/>
  <c r="E54" i="13"/>
  <c r="Y43" i="13"/>
  <c r="C115" i="10" l="1"/>
  <c r="C110" i="10"/>
  <c r="C112" i="10"/>
  <c r="C113" i="10"/>
  <c r="C114" i="10"/>
  <c r="I57" i="31"/>
  <c r="D2" i="34" l="1"/>
  <c r="B33" i="26"/>
  <c r="H6" i="28"/>
  <c r="C170" i="13"/>
  <c r="D3" i="34"/>
  <c r="D4" i="34"/>
  <c r="D5" i="34"/>
  <c r="D6" i="34"/>
  <c r="D7" i="34"/>
  <c r="D8" i="34"/>
  <c r="D9" i="34"/>
  <c r="D10" i="34"/>
  <c r="D11" i="34"/>
  <c r="D12" i="34"/>
  <c r="D13" i="34"/>
  <c r="D14" i="34"/>
  <c r="D15" i="34"/>
  <c r="D16" i="34"/>
  <c r="D17" i="34"/>
  <c r="D18" i="34"/>
  <c r="D19" i="34"/>
  <c r="D20" i="34"/>
  <c r="D21" i="34"/>
  <c r="D22" i="34"/>
  <c r="D23" i="34"/>
  <c r="D24" i="34"/>
  <c r="D25" i="34"/>
  <c r="D26" i="34"/>
  <c r="D27" i="34"/>
  <c r="D28" i="34"/>
  <c r="D29" i="34"/>
  <c r="D30" i="34"/>
  <c r="D31" i="34"/>
  <c r="D32" i="34"/>
  <c r="D33" i="34"/>
  <c r="D34" i="34"/>
  <c r="D35" i="34"/>
  <c r="D36" i="34"/>
  <c r="D37" i="34"/>
  <c r="D38" i="34"/>
  <c r="D39" i="34"/>
  <c r="D40" i="34"/>
  <c r="D41" i="34"/>
  <c r="D42" i="34"/>
  <c r="D43" i="34"/>
  <c r="D44" i="34"/>
  <c r="D45" i="34"/>
  <c r="D46" i="34"/>
  <c r="D47" i="34"/>
  <c r="D48" i="34"/>
  <c r="D49" i="34"/>
  <c r="D50" i="34"/>
  <c r="D51" i="34"/>
  <c r="D52" i="34"/>
  <c r="D53" i="34"/>
  <c r="D54" i="34"/>
  <c r="D55" i="34"/>
  <c r="D56" i="34"/>
  <c r="D57" i="34"/>
  <c r="D58" i="34"/>
  <c r="D59" i="34"/>
  <c r="D60" i="34"/>
  <c r="D61" i="34"/>
  <c r="D62" i="34"/>
  <c r="D63" i="34"/>
  <c r="D64" i="34"/>
  <c r="D65" i="34"/>
  <c r="D66" i="34"/>
  <c r="D67" i="34"/>
  <c r="D68" i="34"/>
  <c r="D69" i="34"/>
  <c r="D70" i="34"/>
  <c r="D71" i="34"/>
  <c r="D72" i="34"/>
  <c r="D73" i="34"/>
  <c r="D74" i="34"/>
  <c r="D75" i="34"/>
  <c r="D76" i="34"/>
  <c r="D77" i="34"/>
  <c r="D78" i="34"/>
  <c r="D79" i="34"/>
  <c r="D80" i="34"/>
  <c r="D81" i="34"/>
  <c r="D82" i="34"/>
  <c r="D83" i="34"/>
  <c r="D84" i="34"/>
  <c r="D85" i="34"/>
  <c r="D86" i="34"/>
  <c r="D87" i="34"/>
  <c r="D88" i="34"/>
  <c r="D89" i="34"/>
  <c r="D90" i="34"/>
  <c r="D91" i="34"/>
  <c r="D92" i="34"/>
  <c r="D93" i="34"/>
  <c r="D94" i="34"/>
  <c r="D95" i="34"/>
  <c r="D96" i="34"/>
  <c r="D97" i="34"/>
  <c r="D98" i="34"/>
  <c r="D99" i="34"/>
  <c r="D100" i="34"/>
  <c r="D101" i="34"/>
  <c r="D102" i="34"/>
  <c r="D103" i="34"/>
  <c r="D104" i="34"/>
  <c r="D105" i="34"/>
  <c r="D106" i="34"/>
  <c r="D107" i="34"/>
  <c r="D108" i="34"/>
  <c r="D109" i="34"/>
  <c r="D110" i="34"/>
  <c r="D111" i="34"/>
  <c r="D112" i="34"/>
  <c r="D113" i="34"/>
  <c r="D114" i="34"/>
  <c r="D115" i="34"/>
  <c r="D116" i="34"/>
  <c r="D117" i="34"/>
  <c r="D118" i="34"/>
  <c r="D119" i="34"/>
  <c r="D120" i="34"/>
  <c r="D121" i="34"/>
  <c r="D122" i="34"/>
  <c r="D123" i="34"/>
  <c r="D124" i="34"/>
  <c r="D125" i="34"/>
  <c r="D126" i="34"/>
  <c r="D127" i="34"/>
  <c r="D128" i="34"/>
  <c r="D129" i="34"/>
  <c r="D130" i="34"/>
  <c r="D131" i="34"/>
  <c r="D132" i="34"/>
  <c r="D133" i="34"/>
  <c r="D134" i="34"/>
  <c r="D135" i="34"/>
  <c r="D136" i="34"/>
  <c r="D137" i="34"/>
  <c r="D138" i="34"/>
  <c r="D139" i="34"/>
  <c r="D140" i="34"/>
  <c r="D141" i="34"/>
  <c r="D142" i="34"/>
  <c r="D143" i="34"/>
  <c r="D144" i="34"/>
  <c r="D145" i="34"/>
  <c r="D146" i="34"/>
  <c r="D147" i="34"/>
  <c r="D148" i="34"/>
  <c r="D149" i="34"/>
  <c r="D150" i="34"/>
  <c r="D151" i="34"/>
  <c r="D152" i="34"/>
  <c r="D153" i="34"/>
  <c r="D154" i="34"/>
  <c r="D155" i="34"/>
  <c r="D156" i="34"/>
  <c r="D157" i="34"/>
  <c r="D158" i="34"/>
  <c r="D159" i="34"/>
  <c r="D160" i="34"/>
  <c r="D161" i="34"/>
  <c r="D162" i="34"/>
  <c r="D163" i="34"/>
  <c r="D164" i="34"/>
  <c r="D165" i="34"/>
  <c r="D166" i="34"/>
  <c r="D167" i="34"/>
  <c r="D168" i="34"/>
  <c r="D169" i="34"/>
  <c r="D170" i="34"/>
  <c r="D171" i="34"/>
  <c r="D172" i="34"/>
  <c r="D173" i="34"/>
  <c r="D174" i="34"/>
  <c r="D175" i="34"/>
  <c r="D176" i="34"/>
  <c r="D177" i="34"/>
  <c r="D178" i="34"/>
  <c r="D179" i="34"/>
  <c r="D180" i="34"/>
  <c r="D181" i="34"/>
  <c r="D182" i="34"/>
  <c r="D183" i="34"/>
  <c r="D184" i="34"/>
  <c r="D185" i="34"/>
  <c r="D186" i="34"/>
  <c r="D187" i="34"/>
  <c r="D188" i="34"/>
  <c r="D189" i="34"/>
  <c r="D190" i="34"/>
  <c r="D191" i="34"/>
  <c r="D192" i="34"/>
  <c r="D193" i="34"/>
  <c r="D194" i="34"/>
  <c r="D195" i="34"/>
  <c r="D196" i="34"/>
  <c r="D197" i="34"/>
  <c r="D198" i="34"/>
  <c r="D199" i="34"/>
  <c r="D200" i="34"/>
  <c r="D201" i="34"/>
  <c r="D202" i="34"/>
  <c r="D203" i="34"/>
  <c r="D204" i="34"/>
  <c r="D205" i="34"/>
  <c r="D206" i="34"/>
  <c r="D207" i="34"/>
  <c r="D208" i="34"/>
  <c r="D209" i="34"/>
  <c r="D210" i="34"/>
  <c r="D211" i="34"/>
  <c r="D212" i="34"/>
  <c r="D213" i="34"/>
  <c r="D214" i="34"/>
  <c r="D215" i="34"/>
  <c r="D216" i="34"/>
  <c r="D217" i="34"/>
  <c r="D218" i="34"/>
  <c r="D219" i="34"/>
  <c r="D220" i="34"/>
  <c r="D221" i="34"/>
  <c r="D222" i="34"/>
  <c r="D223" i="34"/>
  <c r="D224" i="34"/>
  <c r="D225" i="34"/>
  <c r="D226" i="34"/>
  <c r="D227" i="34"/>
  <c r="D228" i="34"/>
  <c r="D229" i="34"/>
  <c r="D230" i="34"/>
  <c r="D231" i="34"/>
  <c r="D232" i="34"/>
  <c r="D233" i="34"/>
  <c r="D234" i="34"/>
  <c r="D235" i="34"/>
  <c r="D236" i="34"/>
  <c r="D237" i="34"/>
  <c r="D238" i="34"/>
  <c r="D239" i="34"/>
  <c r="D240" i="34"/>
  <c r="D241" i="34"/>
  <c r="D242" i="34"/>
  <c r="D243" i="34"/>
  <c r="D244" i="34"/>
  <c r="D245" i="34"/>
  <c r="D246" i="34"/>
  <c r="D247" i="34"/>
  <c r="D248" i="34"/>
  <c r="D249" i="34"/>
  <c r="D250" i="34"/>
  <c r="D251" i="34"/>
  <c r="D252" i="34"/>
  <c r="D253" i="34"/>
  <c r="D254" i="34"/>
  <c r="D255" i="34"/>
  <c r="D256" i="34"/>
  <c r="D257" i="34"/>
  <c r="D258" i="34"/>
  <c r="D259" i="34"/>
  <c r="D260" i="34"/>
  <c r="D261" i="34"/>
  <c r="D262" i="34"/>
  <c r="D263" i="34"/>
  <c r="D264" i="34"/>
  <c r="D265" i="34"/>
  <c r="D266" i="34"/>
  <c r="D267" i="34"/>
  <c r="D268" i="34"/>
  <c r="D269" i="34"/>
  <c r="D270" i="34"/>
  <c r="D271" i="34"/>
  <c r="D272" i="34"/>
  <c r="D273" i="34"/>
  <c r="D274" i="34"/>
  <c r="D275" i="34"/>
  <c r="D276" i="34"/>
  <c r="D277" i="34"/>
  <c r="D278" i="34"/>
  <c r="D279" i="34"/>
  <c r="D280" i="34"/>
  <c r="D281" i="34"/>
  <c r="D282" i="34"/>
  <c r="D283" i="34"/>
  <c r="D284" i="34"/>
  <c r="D285" i="34"/>
  <c r="D286" i="34"/>
  <c r="D287" i="34"/>
  <c r="D288" i="34"/>
  <c r="D289" i="34"/>
  <c r="D290" i="34"/>
  <c r="D291" i="34"/>
  <c r="D292" i="34"/>
  <c r="D293" i="34"/>
  <c r="D294" i="34"/>
  <c r="D295" i="34"/>
  <c r="D296" i="34"/>
  <c r="D297" i="34"/>
  <c r="D298" i="34"/>
  <c r="D299" i="34"/>
  <c r="D300" i="34"/>
  <c r="D301" i="34"/>
  <c r="D302" i="34"/>
  <c r="D303" i="34"/>
  <c r="D304" i="34"/>
  <c r="D305" i="34"/>
  <c r="D306" i="34"/>
  <c r="D307" i="34"/>
  <c r="D308" i="34"/>
  <c r="D309" i="34"/>
  <c r="D310" i="34"/>
  <c r="D311" i="34"/>
  <c r="D312" i="34"/>
  <c r="D313" i="34"/>
  <c r="D314" i="34"/>
  <c r="G162" i="13" a="1"/>
  <c r="G162" i="13" s="1"/>
  <c r="H162" i="13" a="1"/>
  <c r="H162" i="13" s="1"/>
  <c r="J162" i="13" a="1"/>
  <c r="J162" i="13" s="1"/>
  <c r="V162" i="13" a="1"/>
  <c r="V162" i="13" s="1"/>
  <c r="W162" i="13" a="1"/>
  <c r="W162" i="13" s="1"/>
  <c r="AG162" i="13" a="1"/>
  <c r="AG162" i="13" s="1"/>
  <c r="G163" i="13" a="1"/>
  <c r="G163" i="13" s="1"/>
  <c r="H163" i="13" a="1"/>
  <c r="H163" i="13" s="1"/>
  <c r="J163" i="13" a="1"/>
  <c r="J163" i="13" s="1"/>
  <c r="V163" i="13" a="1"/>
  <c r="V163" i="13" s="1"/>
  <c r="W163" i="13" a="1"/>
  <c r="W163" i="13" s="1"/>
  <c r="AG163" i="13" a="1"/>
  <c r="AG163" i="13" s="1"/>
  <c r="F164" i="13" a="1"/>
  <c r="F164" i="13" s="1"/>
  <c r="G164" i="13" a="1"/>
  <c r="G164" i="13" s="1"/>
  <c r="H164" i="13" a="1"/>
  <c r="H164" i="13" s="1"/>
  <c r="I164" i="13" a="1"/>
  <c r="I164" i="13" s="1"/>
  <c r="J164" i="13" a="1"/>
  <c r="J164" i="13" s="1"/>
  <c r="K164" i="13" a="1"/>
  <c r="K164" i="13" s="1"/>
  <c r="L164" i="13" a="1"/>
  <c r="L164" i="13" s="1"/>
  <c r="M164" i="13" a="1"/>
  <c r="M164" i="13" s="1"/>
  <c r="N164" i="13" a="1"/>
  <c r="N164" i="13" s="1"/>
  <c r="O164" i="13" a="1"/>
  <c r="O164" i="13" s="1"/>
  <c r="P164" i="13" a="1"/>
  <c r="P164" i="13" s="1"/>
  <c r="Q164" i="13" a="1"/>
  <c r="Q164" i="13" s="1"/>
  <c r="R164" i="13" a="1"/>
  <c r="R164" i="13" s="1"/>
  <c r="S164" i="13" a="1"/>
  <c r="S164" i="13" s="1"/>
  <c r="T164" i="13" a="1"/>
  <c r="T164" i="13" s="1"/>
  <c r="U164" i="13" a="1"/>
  <c r="U164" i="13" s="1"/>
  <c r="V164" i="13" a="1"/>
  <c r="V164" i="13" s="1"/>
  <c r="W164" i="13" a="1"/>
  <c r="W164" i="13" s="1"/>
  <c r="Y164" i="13" a="1"/>
  <c r="Y164" i="13" s="1"/>
  <c r="Z164" i="13" a="1"/>
  <c r="Z164" i="13" s="1"/>
  <c r="AA164" i="13" a="1"/>
  <c r="AA164" i="13" s="1"/>
  <c r="AB164" i="13" a="1"/>
  <c r="AB164" i="13" s="1"/>
  <c r="AG164" i="13" a="1"/>
  <c r="AG164" i="13" s="1"/>
  <c r="AH164" i="13" a="1"/>
  <c r="AH164" i="13" s="1"/>
  <c r="AI164" i="13" a="1"/>
  <c r="AI164" i="13" s="1"/>
  <c r="AJ164" i="13" a="1"/>
  <c r="AJ164" i="13" s="1"/>
  <c r="AK164" i="13" a="1"/>
  <c r="AK164" i="13" s="1"/>
  <c r="AL164" i="13" a="1"/>
  <c r="AL164" i="13" s="1"/>
  <c r="AM164" i="13" a="1"/>
  <c r="AM164" i="13" s="1"/>
  <c r="AN164" i="13" a="1"/>
  <c r="AN164" i="13" s="1"/>
  <c r="AO164" i="13" a="1"/>
  <c r="AO164" i="13" s="1"/>
  <c r="AP164" i="13" a="1"/>
  <c r="AP164" i="13" s="1"/>
  <c r="AQ164" i="13" a="1"/>
  <c r="AQ164" i="13" s="1"/>
  <c r="AR164" i="13" a="1"/>
  <c r="AR164" i="13" s="1"/>
  <c r="AS164" i="13" a="1"/>
  <c r="AS164" i="13" s="1"/>
  <c r="AT164" i="13" a="1"/>
  <c r="AT164" i="13" s="1"/>
  <c r="AU164" i="13" a="1"/>
  <c r="AU164" i="13" s="1"/>
  <c r="AV164" i="13" a="1"/>
  <c r="AV164" i="13" s="1"/>
  <c r="AW164" i="13" a="1"/>
  <c r="AW164" i="13" s="1"/>
  <c r="AX164" i="13" a="1"/>
  <c r="AX164" i="13" s="1"/>
  <c r="AY164" i="13" a="1"/>
  <c r="AY164" i="13" s="1"/>
  <c r="AZ164" i="13" a="1"/>
  <c r="AZ164" i="13" s="1"/>
  <c r="BA164" i="13" a="1"/>
  <c r="BA164" i="13" s="1"/>
  <c r="BB164" i="13" a="1"/>
  <c r="BB164" i="13" s="1"/>
  <c r="BC164" i="13" a="1"/>
  <c r="BC164" i="13" s="1"/>
  <c r="BD164" i="13" a="1"/>
  <c r="BD164" i="13" s="1"/>
  <c r="BE164" i="13" a="1"/>
  <c r="BE164" i="13" s="1"/>
  <c r="BF164" i="13" a="1"/>
  <c r="BF164" i="13" s="1"/>
  <c r="BG164" i="13" a="1"/>
  <c r="BG164" i="13" s="1"/>
  <c r="BH164" i="13" a="1"/>
  <c r="BH164" i="13" s="1"/>
  <c r="BI164" i="13" a="1"/>
  <c r="BI164" i="13" s="1"/>
  <c r="BJ164" i="13" a="1"/>
  <c r="BJ164" i="13" s="1"/>
  <c r="BK164" i="13" a="1"/>
  <c r="BK164" i="13" s="1"/>
  <c r="BL164" i="13" a="1"/>
  <c r="BL164" i="13" s="1"/>
  <c r="BM164" i="13" a="1"/>
  <c r="BM164" i="13" s="1"/>
  <c r="BN164" i="13" a="1"/>
  <c r="BN164" i="13" s="1"/>
  <c r="BO164" i="13" a="1"/>
  <c r="BO164" i="13" s="1"/>
  <c r="G165" i="13" a="1"/>
  <c r="G165" i="13" s="1"/>
  <c r="H165" i="13" a="1"/>
  <c r="H165" i="13" s="1"/>
  <c r="J165" i="13" a="1"/>
  <c r="J165" i="13" s="1"/>
  <c r="V165" i="13" a="1"/>
  <c r="V165" i="13" s="1"/>
  <c r="W165" i="13" a="1"/>
  <c r="W165" i="13" s="1"/>
  <c r="AG165" i="13" a="1"/>
  <c r="AG165" i="13" s="1"/>
  <c r="G161" i="13" a="1"/>
  <c r="G161" i="13" s="1"/>
  <c r="H161" i="13" a="1"/>
  <c r="H161" i="13" s="1"/>
  <c r="J161" i="13" a="1"/>
  <c r="J161" i="13" s="1"/>
  <c r="V161" i="13" a="1"/>
  <c r="V161" i="13" s="1"/>
  <c r="W161" i="13" a="1"/>
  <c r="W161" i="13" s="1"/>
  <c r="AG161" i="13" a="1"/>
  <c r="AG161" i="13" s="1"/>
  <c r="D170" i="13" l="1"/>
  <c r="CN246" i="1"/>
  <c r="CV246" i="1" s="1"/>
  <c r="CN247" i="1"/>
  <c r="CV247" i="1" s="1"/>
  <c r="CN248" i="1"/>
  <c r="CV248" i="1" s="1"/>
  <c r="CN249" i="1"/>
  <c r="CV249" i="1" s="1"/>
  <c r="CN250" i="1"/>
  <c r="CV250" i="1" s="1"/>
  <c r="CN251" i="1"/>
  <c r="CV251" i="1" s="1"/>
  <c r="CN252" i="1"/>
  <c r="CV252" i="1" s="1"/>
  <c r="CN253" i="1"/>
  <c r="CV253" i="1" s="1"/>
  <c r="CN254" i="1"/>
  <c r="CV254" i="1" s="1"/>
  <c r="CN255" i="1"/>
  <c r="CV255" i="1" s="1"/>
  <c r="CN256" i="1"/>
  <c r="CV256" i="1" s="1"/>
  <c r="CN257" i="1"/>
  <c r="CV257" i="1" s="1"/>
  <c r="CN258" i="1"/>
  <c r="CV258" i="1" s="1"/>
  <c r="CN259" i="1"/>
  <c r="CV259" i="1" s="1"/>
  <c r="CN260" i="1"/>
  <c r="CV260" i="1" s="1"/>
  <c r="CN261" i="1"/>
  <c r="CN262" i="1"/>
  <c r="CN263" i="1"/>
  <c r="CN264" i="1"/>
  <c r="CV264" i="1" s="1"/>
  <c r="CN265" i="1"/>
  <c r="CV265" i="1" s="1"/>
  <c r="CN266" i="1"/>
  <c r="CV266" i="1" s="1"/>
  <c r="CN267" i="1"/>
  <c r="CV267" i="1" s="1"/>
  <c r="CN268" i="1"/>
  <c r="CV268" i="1" s="1"/>
  <c r="CN269" i="1"/>
  <c r="CV269" i="1" s="1"/>
  <c r="CN270" i="1"/>
  <c r="CV270" i="1" s="1"/>
  <c r="CN271" i="1"/>
  <c r="CV271" i="1" s="1"/>
  <c r="CN272" i="1"/>
  <c r="CV272" i="1" s="1"/>
  <c r="CN273" i="1"/>
  <c r="CV273" i="1" s="1"/>
  <c r="CN274" i="1"/>
  <c r="CV274" i="1" s="1"/>
  <c r="CN275" i="1"/>
  <c r="CV275" i="1" s="1"/>
  <c r="CN276" i="1"/>
  <c r="CV276" i="1" s="1"/>
  <c r="CN277" i="1"/>
  <c r="CV277" i="1" s="1"/>
  <c r="CN278" i="1"/>
  <c r="CV278" i="1" s="1"/>
  <c r="CN279" i="1"/>
  <c r="CV279" i="1" s="1"/>
  <c r="CN280" i="1"/>
  <c r="CV280" i="1" s="1"/>
  <c r="CN281" i="1"/>
  <c r="CV281" i="1" s="1"/>
  <c r="CN282" i="1"/>
  <c r="CV282" i="1" s="1"/>
  <c r="CN283" i="1"/>
  <c r="CV283" i="1" s="1"/>
  <c r="CN284" i="1"/>
  <c r="CV284" i="1" s="1"/>
  <c r="CN285" i="1"/>
  <c r="CV285" i="1" s="1"/>
  <c r="CN286" i="1"/>
  <c r="CV286" i="1" s="1"/>
  <c r="CN287" i="1"/>
  <c r="CV287" i="1" s="1"/>
  <c r="CN288" i="1"/>
  <c r="CN289" i="1"/>
  <c r="CV289" i="1" s="1"/>
  <c r="CN290" i="1"/>
  <c r="CN291" i="1"/>
  <c r="CV291" i="1" s="1"/>
  <c r="CN292" i="1"/>
  <c r="CV292" i="1" s="1"/>
  <c r="CN293" i="1"/>
  <c r="CV293" i="1" s="1"/>
  <c r="CN294" i="1"/>
  <c r="CV294" i="1" s="1"/>
  <c r="CN295" i="1"/>
  <c r="CV295" i="1" s="1"/>
  <c r="CN296" i="1"/>
  <c r="CV296" i="1" s="1"/>
  <c r="CN297" i="1"/>
  <c r="CV297" i="1" s="1"/>
  <c r="CN298" i="1"/>
  <c r="CV298" i="1" s="1"/>
  <c r="CN299" i="1"/>
  <c r="CV299" i="1" s="1"/>
  <c r="CN300" i="1"/>
  <c r="CV300" i="1" s="1"/>
  <c r="CN301" i="1"/>
  <c r="CV301" i="1" s="1"/>
  <c r="CN302" i="1"/>
  <c r="CV302" i="1" s="1"/>
  <c r="CN303" i="1"/>
  <c r="CN304" i="1"/>
  <c r="CV304" i="1" s="1"/>
  <c r="CN305" i="1"/>
  <c r="CV305" i="1" s="1"/>
  <c r="CN306" i="1"/>
  <c r="CV306" i="1" s="1"/>
  <c r="CN307" i="1"/>
  <c r="CV307" i="1" s="1"/>
  <c r="CN308" i="1"/>
  <c r="CV308" i="1" s="1"/>
  <c r="CN309" i="1"/>
  <c r="CV309" i="1" s="1"/>
  <c r="CN310" i="1"/>
  <c r="CV310" i="1" s="1"/>
  <c r="CN311" i="1"/>
  <c r="CV311" i="1" s="1"/>
  <c r="CN312" i="1"/>
  <c r="CV312" i="1" s="1"/>
  <c r="CN313" i="1"/>
  <c r="CV313" i="1" s="1"/>
  <c r="CN314" i="1"/>
  <c r="CV314" i="1" s="1"/>
  <c r="CN315" i="1"/>
  <c r="CV315" i="1" s="1"/>
  <c r="CN316" i="1"/>
  <c r="CV316" i="1" s="1"/>
  <c r="CN317" i="1"/>
  <c r="CV317" i="1" s="1"/>
  <c r="CN318" i="1"/>
  <c r="CV318" i="1" s="1"/>
  <c r="CN319" i="1"/>
  <c r="CV319" i="1" s="1"/>
  <c r="CN320" i="1"/>
  <c r="CV320" i="1" s="1"/>
  <c r="CN321" i="1"/>
  <c r="CV321" i="1" s="1"/>
  <c r="CN322" i="1"/>
  <c r="CV322" i="1" s="1"/>
  <c r="CN323" i="1"/>
  <c r="CV323" i="1" s="1"/>
  <c r="CN324" i="1"/>
  <c r="CV324" i="1" s="1"/>
  <c r="CN325" i="1"/>
  <c r="CV325" i="1" s="1"/>
  <c r="CN326" i="1"/>
  <c r="CV326" i="1" s="1"/>
  <c r="CN327" i="1"/>
  <c r="CV327" i="1" s="1"/>
  <c r="CN328" i="1"/>
  <c r="CV328" i="1" s="1"/>
  <c r="CN329" i="1"/>
  <c r="CV329" i="1" s="1"/>
  <c r="CN330" i="1"/>
  <c r="CV330" i="1" s="1"/>
  <c r="CN331" i="1"/>
  <c r="CN332" i="1"/>
  <c r="CV332" i="1" s="1"/>
  <c r="CN333" i="1"/>
  <c r="CV333" i="1" s="1"/>
  <c r="CN334" i="1"/>
  <c r="CV334" i="1" s="1"/>
  <c r="CN335" i="1"/>
  <c r="CV335" i="1" s="1"/>
  <c r="CN336" i="1"/>
  <c r="CV336" i="1" s="1"/>
  <c r="CN337" i="1"/>
  <c r="CV337" i="1" s="1"/>
  <c r="CN338" i="1"/>
  <c r="CV338" i="1" s="1"/>
  <c r="CN339" i="1"/>
  <c r="CV339" i="1" s="1"/>
  <c r="CN340" i="1"/>
  <c r="CV340" i="1" s="1"/>
  <c r="CN341" i="1"/>
  <c r="CV341" i="1" s="1"/>
  <c r="CN342" i="1"/>
  <c r="CV342" i="1" s="1"/>
  <c r="CN343" i="1"/>
  <c r="CV343" i="1" s="1"/>
  <c r="CN344" i="1"/>
  <c r="CN345" i="1"/>
  <c r="CN346" i="1"/>
  <c r="CV346" i="1" s="1"/>
  <c r="CN347" i="1"/>
  <c r="CV347" i="1" s="1"/>
  <c r="CN348" i="1"/>
  <c r="CV348" i="1" s="1"/>
  <c r="CN349" i="1"/>
  <c r="CV349" i="1" s="1"/>
  <c r="CN350" i="1"/>
  <c r="CV350" i="1" s="1"/>
  <c r="CN351" i="1"/>
  <c r="CV351" i="1" s="1"/>
  <c r="CN352" i="1"/>
  <c r="CV352" i="1" s="1"/>
  <c r="CN353" i="1"/>
  <c r="CV353" i="1" s="1"/>
  <c r="CN354" i="1"/>
  <c r="CV354" i="1" s="1"/>
  <c r="CN355" i="1"/>
  <c r="CV355" i="1" s="1"/>
  <c r="CN356" i="1"/>
  <c r="CV356" i="1" s="1"/>
  <c r="CN357" i="1"/>
  <c r="CV357" i="1" s="1"/>
  <c r="CN358" i="1"/>
  <c r="CV358" i="1" s="1"/>
  <c r="CN359" i="1"/>
  <c r="CV359" i="1" s="1"/>
  <c r="CN360" i="1"/>
  <c r="CV360" i="1" s="1"/>
  <c r="CN361" i="1"/>
  <c r="CV361" i="1" s="1"/>
  <c r="CN362" i="1"/>
  <c r="CV362" i="1" s="1"/>
  <c r="CN363" i="1"/>
  <c r="CV363" i="1" s="1"/>
  <c r="CN364" i="1"/>
  <c r="CV364" i="1" s="1"/>
  <c r="CN365" i="1"/>
  <c r="CV365" i="1" s="1"/>
  <c r="CN366" i="1"/>
  <c r="CV366" i="1" s="1"/>
  <c r="CN367" i="1"/>
  <c r="CV367" i="1" s="1"/>
  <c r="CN368" i="1"/>
  <c r="CV368" i="1" s="1"/>
  <c r="CN369" i="1"/>
  <c r="CV369" i="1" s="1"/>
  <c r="CN370" i="1"/>
  <c r="CV370" i="1" s="1"/>
  <c r="CN371" i="1"/>
  <c r="CV371" i="1" s="1"/>
  <c r="CN372" i="1"/>
  <c r="CV372" i="1" s="1"/>
  <c r="CN373" i="1"/>
  <c r="CN374" i="1"/>
  <c r="CV374" i="1" s="1"/>
  <c r="CN375" i="1"/>
  <c r="CV375" i="1" s="1"/>
  <c r="CN376" i="1"/>
  <c r="CV376" i="1" s="1"/>
  <c r="CN377" i="1"/>
  <c r="CV377" i="1" s="1"/>
  <c r="CN378" i="1"/>
  <c r="CV378" i="1" s="1"/>
  <c r="CN379" i="1"/>
  <c r="CV379" i="1" s="1"/>
  <c r="CN380" i="1"/>
  <c r="CV380" i="1" s="1"/>
  <c r="CN381" i="1"/>
  <c r="CV381" i="1" s="1"/>
  <c r="CN382" i="1"/>
  <c r="CV382" i="1" s="1"/>
  <c r="CN383" i="1"/>
  <c r="CV383" i="1" s="1"/>
  <c r="CN384" i="1"/>
  <c r="CV384" i="1" s="1"/>
  <c r="CN385" i="1"/>
  <c r="CV385" i="1" s="1"/>
  <c r="CN386" i="1"/>
  <c r="CV386" i="1" s="1"/>
  <c r="CN387" i="1"/>
  <c r="CV387" i="1" s="1"/>
  <c r="CN388" i="1"/>
  <c r="CV388" i="1" s="1"/>
  <c r="CN389" i="1"/>
  <c r="CV389" i="1" s="1"/>
  <c r="CN390" i="1"/>
  <c r="CV390" i="1" s="1"/>
  <c r="CN391" i="1"/>
  <c r="CV391" i="1" s="1"/>
  <c r="CN392" i="1"/>
  <c r="CV392" i="1" s="1"/>
  <c r="CN393" i="1"/>
  <c r="CV393" i="1" s="1"/>
  <c r="CN394" i="1"/>
  <c r="CV394" i="1" s="1"/>
  <c r="CN395" i="1"/>
  <c r="CV395" i="1" s="1"/>
  <c r="CN396" i="1"/>
  <c r="CV396" i="1" s="1"/>
  <c r="CN397" i="1"/>
  <c r="CV397" i="1" s="1"/>
  <c r="CN398" i="1"/>
  <c r="CV398" i="1" s="1"/>
  <c r="CN399" i="1"/>
  <c r="CV399" i="1" s="1"/>
  <c r="CN400" i="1"/>
  <c r="CV400" i="1" s="1"/>
  <c r="CN401" i="1"/>
  <c r="CV401" i="1" s="1"/>
  <c r="CN402" i="1"/>
  <c r="CV402" i="1" s="1"/>
  <c r="CN403" i="1"/>
  <c r="CV403" i="1" s="1"/>
  <c r="CN404" i="1"/>
  <c r="CV404" i="1" s="1"/>
  <c r="CN405" i="1"/>
  <c r="CV405" i="1" s="1"/>
  <c r="CN406" i="1"/>
  <c r="CV406" i="1" s="1"/>
  <c r="CN407" i="1"/>
  <c r="CV407" i="1" s="1"/>
  <c r="CN408" i="1"/>
  <c r="CV408" i="1" s="1"/>
  <c r="CN409" i="1"/>
  <c r="CV409" i="1" s="1"/>
  <c r="CN410" i="1"/>
  <c r="CV410" i="1" s="1"/>
  <c r="CN411" i="1"/>
  <c r="CV411" i="1" s="1"/>
  <c r="CN412" i="1"/>
  <c r="CV412" i="1" s="1"/>
  <c r="CN413" i="1"/>
  <c r="CV413" i="1" s="1"/>
  <c r="CN414" i="1"/>
  <c r="CV414" i="1" s="1"/>
  <c r="CN415" i="1"/>
  <c r="CN416" i="1"/>
  <c r="CV416" i="1" s="1"/>
  <c r="CN417" i="1"/>
  <c r="CV417" i="1" s="1"/>
  <c r="CN418" i="1"/>
  <c r="CV418" i="1" s="1"/>
  <c r="CN419" i="1"/>
  <c r="CV419" i="1" s="1"/>
  <c r="CN420" i="1"/>
  <c r="CV420" i="1" s="1"/>
  <c r="CN421" i="1"/>
  <c r="CV421" i="1" s="1"/>
  <c r="CN422" i="1"/>
  <c r="CV422" i="1" s="1"/>
  <c r="CN423" i="1"/>
  <c r="CV423" i="1" s="1"/>
  <c r="CN424" i="1"/>
  <c r="CV424" i="1" s="1"/>
  <c r="CN425" i="1"/>
  <c r="CV425" i="1" s="1"/>
  <c r="CN426" i="1"/>
  <c r="CV426" i="1" s="1"/>
  <c r="CN427" i="1"/>
  <c r="CV427" i="1" s="1"/>
  <c r="CN428" i="1"/>
  <c r="CV428" i="1" s="1"/>
  <c r="CN429" i="1"/>
  <c r="CV429" i="1" s="1"/>
  <c r="CN430" i="1"/>
  <c r="CV430" i="1" s="1"/>
  <c r="CN431" i="1"/>
  <c r="CV431" i="1" s="1"/>
  <c r="CN432" i="1"/>
  <c r="CV432" i="1" s="1"/>
  <c r="CN433" i="1"/>
  <c r="CV433" i="1" s="1"/>
  <c r="CN434" i="1"/>
  <c r="CV434" i="1" s="1"/>
  <c r="CN435" i="1"/>
  <c r="CV435" i="1" s="1"/>
  <c r="CN436" i="1"/>
  <c r="CV436" i="1" s="1"/>
  <c r="CN437" i="1"/>
  <c r="CV437" i="1" s="1"/>
  <c r="CN438" i="1"/>
  <c r="CV438" i="1" s="1"/>
  <c r="CN439" i="1"/>
  <c r="CV439" i="1" s="1"/>
  <c r="CN440" i="1"/>
  <c r="CV440" i="1" s="1"/>
  <c r="CN441" i="1"/>
  <c r="CV441" i="1" s="1"/>
  <c r="CN442" i="1"/>
  <c r="CV442" i="1" s="1"/>
  <c r="CN443" i="1"/>
  <c r="CV443" i="1" s="1"/>
  <c r="CN444" i="1"/>
  <c r="CV444" i="1" s="1"/>
  <c r="CN445" i="1"/>
  <c r="CV445" i="1" s="1"/>
  <c r="CN446" i="1"/>
  <c r="CV446" i="1" s="1"/>
  <c r="CN447" i="1"/>
  <c r="CV447" i="1" s="1"/>
  <c r="CN448" i="1"/>
  <c r="CV448" i="1" s="1"/>
  <c r="CN449" i="1"/>
  <c r="CV449" i="1" s="1"/>
  <c r="CN450" i="1"/>
  <c r="CV450" i="1" s="1"/>
  <c r="CN451" i="1"/>
  <c r="CV451" i="1" s="1"/>
  <c r="CN452" i="1"/>
  <c r="CV452" i="1" s="1"/>
  <c r="CN453" i="1"/>
  <c r="CV453" i="1" s="1"/>
  <c r="CN454" i="1"/>
  <c r="CV454" i="1" s="1"/>
  <c r="CN455" i="1"/>
  <c r="CV455" i="1" s="1"/>
  <c r="CN456" i="1"/>
  <c r="CV456" i="1" s="1"/>
  <c r="CN457" i="1"/>
  <c r="CN458" i="1"/>
  <c r="CV458" i="1" s="1"/>
  <c r="CN459" i="1"/>
  <c r="CV459" i="1" s="1"/>
  <c r="CN460" i="1"/>
  <c r="CV460" i="1" s="1"/>
  <c r="CN461" i="1"/>
  <c r="CV461" i="1" s="1"/>
  <c r="CN462" i="1"/>
  <c r="CV462" i="1" s="1"/>
  <c r="CN463" i="1"/>
  <c r="CV463" i="1" s="1"/>
  <c r="CN464" i="1"/>
  <c r="CV464" i="1" s="1"/>
  <c r="CN465" i="1"/>
  <c r="CV465" i="1" s="1"/>
  <c r="CN466" i="1"/>
  <c r="CV466" i="1" s="1"/>
  <c r="CN467" i="1"/>
  <c r="CV467" i="1" s="1"/>
  <c r="CN468" i="1"/>
  <c r="CV468" i="1" s="1"/>
  <c r="CN469" i="1"/>
  <c r="CV469" i="1" s="1"/>
  <c r="CN470" i="1"/>
  <c r="CV470" i="1" s="1"/>
  <c r="CN471" i="1"/>
  <c r="CV471" i="1" s="1"/>
  <c r="CN472" i="1"/>
  <c r="CV472" i="1" s="1"/>
  <c r="CN473" i="1"/>
  <c r="CV473" i="1" s="1"/>
  <c r="CN474" i="1"/>
  <c r="CV474" i="1" s="1"/>
  <c r="CN475" i="1"/>
  <c r="CV475" i="1" s="1"/>
  <c r="CN476" i="1"/>
  <c r="CV476" i="1" s="1"/>
  <c r="CN477" i="1"/>
  <c r="CV477" i="1" s="1"/>
  <c r="CN478" i="1"/>
  <c r="CV478" i="1" s="1"/>
  <c r="CN479" i="1"/>
  <c r="CV479" i="1" s="1"/>
  <c r="CN480" i="1"/>
  <c r="CV480" i="1" s="1"/>
  <c r="CN481" i="1"/>
  <c r="CV481" i="1" s="1"/>
  <c r="CN482" i="1"/>
  <c r="CV482" i="1" s="1"/>
  <c r="CN483" i="1"/>
  <c r="CV483" i="1" s="1"/>
  <c r="CN484" i="1"/>
  <c r="CV484" i="1" s="1"/>
  <c r="CN485" i="1"/>
  <c r="CN486" i="1"/>
  <c r="CN487" i="1"/>
  <c r="CV487" i="1" s="1"/>
  <c r="CN488" i="1"/>
  <c r="CV488" i="1" s="1"/>
  <c r="CN489" i="1"/>
  <c r="CV489" i="1" s="1"/>
  <c r="CN490" i="1"/>
  <c r="CV490" i="1" s="1"/>
  <c r="CN491" i="1"/>
  <c r="CV491" i="1" s="1"/>
  <c r="CN492" i="1"/>
  <c r="CV492" i="1" s="1"/>
  <c r="CN493" i="1"/>
  <c r="CV493" i="1" s="1"/>
  <c r="CN494" i="1"/>
  <c r="CV494" i="1" s="1"/>
  <c r="CN495" i="1"/>
  <c r="CV495" i="1" s="1"/>
  <c r="CN496" i="1"/>
  <c r="CV496" i="1" s="1"/>
  <c r="CN497" i="1"/>
  <c r="CV497" i="1" s="1"/>
  <c r="CN498" i="1"/>
  <c r="CN499" i="1"/>
  <c r="CN500" i="1"/>
  <c r="CV500" i="1" s="1"/>
  <c r="CN501" i="1"/>
  <c r="CV501" i="1" s="1"/>
  <c r="CN502" i="1"/>
  <c r="CV502" i="1" s="1"/>
  <c r="CN503" i="1"/>
  <c r="CV503" i="1" s="1"/>
  <c r="CN504" i="1"/>
  <c r="CV504" i="1" s="1"/>
  <c r="CN505" i="1"/>
  <c r="CV505" i="1" s="1"/>
  <c r="CN506" i="1"/>
  <c r="CV506" i="1" s="1"/>
  <c r="CN507" i="1"/>
  <c r="CV507" i="1" s="1"/>
  <c r="CN508" i="1"/>
  <c r="CV508" i="1" s="1"/>
  <c r="CN509" i="1"/>
  <c r="CV509" i="1" s="1"/>
  <c r="CN510" i="1"/>
  <c r="CV510" i="1" s="1"/>
  <c r="CN511" i="1"/>
  <c r="CV511" i="1" s="1"/>
  <c r="CN512" i="1"/>
  <c r="CV512" i="1" s="1"/>
  <c r="CN513" i="1"/>
  <c r="CV513" i="1" s="1"/>
  <c r="CN514" i="1"/>
  <c r="CV514" i="1" s="1"/>
  <c r="CN515" i="1"/>
  <c r="CV515" i="1" s="1"/>
  <c r="CN516" i="1"/>
  <c r="CV516" i="1" s="1"/>
  <c r="CN517" i="1"/>
  <c r="CV517" i="1" s="1"/>
  <c r="CN518" i="1"/>
  <c r="CV518" i="1" s="1"/>
  <c r="CN519" i="1"/>
  <c r="CV519" i="1" s="1"/>
  <c r="CN520" i="1"/>
  <c r="CV520" i="1" s="1"/>
  <c r="CN521" i="1"/>
  <c r="CV521" i="1" s="1"/>
  <c r="CN522" i="1"/>
  <c r="CV522" i="1" s="1"/>
  <c r="CN523" i="1"/>
  <c r="CV523" i="1" s="1"/>
  <c r="CN524" i="1"/>
  <c r="CV524" i="1" s="1"/>
  <c r="CN525" i="1"/>
  <c r="CV525" i="1" s="1"/>
  <c r="CN526" i="1"/>
  <c r="CN527" i="1"/>
  <c r="CN528" i="1"/>
  <c r="CV528" i="1" s="1"/>
  <c r="CN529" i="1"/>
  <c r="CV529" i="1" s="1"/>
  <c r="CN530" i="1"/>
  <c r="CV530" i="1" s="1"/>
  <c r="CN531" i="1"/>
  <c r="CV531" i="1" s="1"/>
  <c r="CN532" i="1"/>
  <c r="CV532" i="1" s="1"/>
  <c r="CN533" i="1"/>
  <c r="CV533" i="1" s="1"/>
  <c r="CN534" i="1"/>
  <c r="CV534" i="1" s="1"/>
  <c r="CN535" i="1"/>
  <c r="CV535" i="1" s="1"/>
  <c r="CN536" i="1"/>
  <c r="CV536" i="1" s="1"/>
  <c r="CN537" i="1"/>
  <c r="CV537" i="1" s="1"/>
  <c r="CN538" i="1"/>
  <c r="CV538" i="1" s="1"/>
  <c r="CN539" i="1"/>
  <c r="CV539" i="1" s="1"/>
  <c r="CN540" i="1"/>
  <c r="CV540" i="1" s="1"/>
  <c r="CN541" i="1"/>
  <c r="CV541" i="1" s="1"/>
  <c r="CN542" i="1"/>
  <c r="CV542" i="1" s="1"/>
  <c r="CN543" i="1"/>
  <c r="CV543" i="1" s="1"/>
  <c r="CN544" i="1"/>
  <c r="CV544" i="1" s="1"/>
  <c r="CN545" i="1"/>
  <c r="CV545" i="1" s="1"/>
  <c r="CN546" i="1"/>
  <c r="CV546" i="1" s="1"/>
  <c r="CN547" i="1"/>
  <c r="CV547" i="1" s="1"/>
  <c r="CN548" i="1"/>
  <c r="CV548" i="1" s="1"/>
  <c r="CN549" i="1"/>
  <c r="CV549" i="1" s="1"/>
  <c r="CN550" i="1"/>
  <c r="CV550" i="1" s="1"/>
  <c r="CN551" i="1"/>
  <c r="CV551" i="1" s="1"/>
  <c r="CN552" i="1"/>
  <c r="CV552" i="1" s="1"/>
  <c r="CN553" i="1"/>
  <c r="CV553" i="1" s="1"/>
  <c r="CN554" i="1"/>
  <c r="CV554" i="1" s="1"/>
  <c r="CN555" i="1"/>
  <c r="CV555" i="1" s="1"/>
  <c r="CN556" i="1"/>
  <c r="CV556" i="1" s="1"/>
  <c r="CN557" i="1"/>
  <c r="CV557" i="1" s="1"/>
  <c r="CN558" i="1"/>
  <c r="CV558" i="1" s="1"/>
  <c r="CN559" i="1"/>
  <c r="CV559" i="1" s="1"/>
  <c r="CN560" i="1"/>
  <c r="CV560" i="1" s="1"/>
  <c r="CN561" i="1"/>
  <c r="CV561" i="1" s="1"/>
  <c r="CN562" i="1"/>
  <c r="CV562" i="1" s="1"/>
  <c r="CN563" i="1"/>
  <c r="CV563" i="1" s="1"/>
  <c r="CN564" i="1"/>
  <c r="CV564" i="1" s="1"/>
  <c r="CN565" i="1"/>
  <c r="CV565" i="1" s="1"/>
  <c r="CN566" i="1"/>
  <c r="CV566" i="1" s="1"/>
  <c r="CN567" i="1"/>
  <c r="CV567" i="1" s="1"/>
  <c r="CN568" i="1"/>
  <c r="CV568" i="1" s="1"/>
  <c r="CN569" i="1"/>
  <c r="CN570" i="1"/>
  <c r="CV570" i="1" s="1"/>
  <c r="CN571" i="1"/>
  <c r="CV571" i="1" s="1"/>
  <c r="CN572" i="1"/>
  <c r="CV572" i="1" s="1"/>
  <c r="CN573" i="1"/>
  <c r="CV573" i="1" s="1"/>
  <c r="CN574" i="1"/>
  <c r="CV574" i="1" s="1"/>
  <c r="CN575" i="1"/>
  <c r="CV575" i="1" s="1"/>
  <c r="CN576" i="1"/>
  <c r="CV576" i="1" s="1"/>
  <c r="CN577" i="1"/>
  <c r="CV577" i="1" s="1"/>
  <c r="CN578" i="1"/>
  <c r="CV578" i="1" s="1"/>
  <c r="CN579" i="1"/>
  <c r="CV579" i="1" s="1"/>
  <c r="CN580" i="1"/>
  <c r="CV580" i="1" s="1"/>
  <c r="CN581" i="1"/>
  <c r="CV581" i="1" s="1"/>
  <c r="CN582" i="1"/>
  <c r="CV582" i="1" s="1"/>
  <c r="CN583" i="1"/>
  <c r="CV583" i="1" s="1"/>
  <c r="CN584" i="1"/>
  <c r="CV584" i="1" s="1"/>
  <c r="CN585" i="1"/>
  <c r="CV585" i="1" s="1"/>
  <c r="CN586" i="1"/>
  <c r="CV586" i="1" s="1"/>
  <c r="CN587" i="1"/>
  <c r="CV587" i="1" s="1"/>
  <c r="CN588" i="1"/>
  <c r="CV588" i="1" s="1"/>
  <c r="CN589" i="1"/>
  <c r="CV589" i="1" s="1"/>
  <c r="CN590" i="1"/>
  <c r="CV590" i="1" s="1"/>
  <c r="CN591" i="1"/>
  <c r="CV591" i="1" s="1"/>
  <c r="CN592" i="1"/>
  <c r="CV592" i="1" s="1"/>
  <c r="CN593" i="1"/>
  <c r="CV593" i="1" s="1"/>
  <c r="CN594" i="1"/>
  <c r="CV594" i="1" s="1"/>
  <c r="CN595" i="1"/>
  <c r="CV595" i="1" s="1"/>
  <c r="CN596" i="1"/>
  <c r="CV596" i="1" s="1"/>
  <c r="CN597" i="1"/>
  <c r="CV597" i="1" s="1"/>
  <c r="CN598" i="1"/>
  <c r="CV598" i="1" s="1"/>
  <c r="CN599" i="1"/>
  <c r="CV599" i="1" s="1"/>
  <c r="CN600" i="1"/>
  <c r="CV600" i="1" s="1"/>
  <c r="CN601" i="1"/>
  <c r="CV601" i="1" s="1"/>
  <c r="CN602" i="1"/>
  <c r="CV602" i="1" s="1"/>
  <c r="CN603" i="1"/>
  <c r="CV603" i="1" s="1"/>
  <c r="CN604" i="1"/>
  <c r="CV604" i="1" s="1"/>
  <c r="CN605" i="1"/>
  <c r="CV605" i="1" s="1"/>
  <c r="CN606" i="1"/>
  <c r="CV606" i="1" s="1"/>
  <c r="CN607" i="1"/>
  <c r="CV607" i="1" s="1"/>
  <c r="CN608" i="1"/>
  <c r="CV608" i="1" s="1"/>
  <c r="CN609" i="1"/>
  <c r="CV609" i="1" s="1"/>
  <c r="CN610" i="1"/>
  <c r="CV610" i="1" s="1"/>
  <c r="CN611" i="1"/>
  <c r="CN612" i="1"/>
  <c r="CV612" i="1" s="1"/>
  <c r="CN613" i="1"/>
  <c r="CV613" i="1" s="1"/>
  <c r="CN614" i="1"/>
  <c r="CV614" i="1" s="1"/>
  <c r="CN615" i="1"/>
  <c r="CV615" i="1" s="1"/>
  <c r="CN616" i="1"/>
  <c r="CV616" i="1" s="1"/>
  <c r="CN617" i="1"/>
  <c r="CV617" i="1" s="1"/>
  <c r="CN618" i="1"/>
  <c r="CV618" i="1" s="1"/>
  <c r="CN619" i="1"/>
  <c r="CV619" i="1" s="1"/>
  <c r="CN620" i="1"/>
  <c r="CV620" i="1" s="1"/>
  <c r="CN621" i="1"/>
  <c r="CV621" i="1" s="1"/>
  <c r="CN622" i="1"/>
  <c r="CV622" i="1" s="1"/>
  <c r="CN623" i="1"/>
  <c r="CV623" i="1" s="1"/>
  <c r="CN624" i="1"/>
  <c r="CV624" i="1" s="1"/>
  <c r="CN625" i="1"/>
  <c r="CV625" i="1" s="1"/>
  <c r="CN626" i="1"/>
  <c r="CV626" i="1" s="1"/>
  <c r="CN627" i="1"/>
  <c r="CV627" i="1" s="1"/>
  <c r="CN628" i="1"/>
  <c r="CV628" i="1" s="1"/>
  <c r="CN629" i="1"/>
  <c r="CV629" i="1" s="1"/>
  <c r="CN630" i="1"/>
  <c r="CV630" i="1" s="1"/>
  <c r="CN631" i="1"/>
  <c r="CV631" i="1" s="1"/>
  <c r="CN632" i="1"/>
  <c r="CV632" i="1" s="1"/>
  <c r="CN633" i="1"/>
  <c r="CV633" i="1" s="1"/>
  <c r="CN634" i="1"/>
  <c r="CV634" i="1" s="1"/>
  <c r="CN635" i="1"/>
  <c r="CV635" i="1" s="1"/>
  <c r="CN636" i="1"/>
  <c r="CV636" i="1" s="1"/>
  <c r="CN637" i="1"/>
  <c r="CV637" i="1" s="1"/>
  <c r="CN638" i="1"/>
  <c r="CV638" i="1" s="1"/>
  <c r="CN639" i="1"/>
  <c r="CN640" i="1"/>
  <c r="CV640" i="1" s="1"/>
  <c r="CN641" i="1"/>
  <c r="CV641" i="1" s="1"/>
  <c r="CN642" i="1"/>
  <c r="CV642" i="1" s="1"/>
  <c r="CN643" i="1"/>
  <c r="CV643" i="1" s="1"/>
  <c r="CN644" i="1"/>
  <c r="CV644" i="1" s="1"/>
  <c r="CN645" i="1"/>
  <c r="CV645" i="1" s="1"/>
  <c r="CN646" i="1"/>
  <c r="CV646" i="1" s="1"/>
  <c r="CN647" i="1"/>
  <c r="CV647" i="1" s="1"/>
  <c r="CN648" i="1"/>
  <c r="CV648" i="1" s="1"/>
  <c r="CN649" i="1"/>
  <c r="CV649" i="1" s="1"/>
  <c r="CN650" i="1"/>
  <c r="CV650" i="1" s="1"/>
  <c r="CN651" i="1"/>
  <c r="CV651" i="1" s="1"/>
  <c r="CN652" i="1"/>
  <c r="CV652" i="1" s="1"/>
  <c r="CN653" i="1"/>
  <c r="CN654" i="1"/>
  <c r="CV654" i="1" s="1"/>
  <c r="CN655" i="1"/>
  <c r="CV655" i="1" s="1"/>
  <c r="CN656" i="1"/>
  <c r="CV656" i="1" s="1"/>
  <c r="CN657" i="1"/>
  <c r="CV657" i="1" s="1"/>
  <c r="CN658" i="1"/>
  <c r="CV658" i="1" s="1"/>
  <c r="CN659" i="1"/>
  <c r="CV659" i="1" s="1"/>
  <c r="CN660" i="1"/>
  <c r="CV660" i="1" s="1"/>
  <c r="CN661" i="1"/>
  <c r="CV661" i="1" s="1"/>
  <c r="CN662" i="1"/>
  <c r="CV662" i="1" s="1"/>
  <c r="CN663" i="1"/>
  <c r="CV663" i="1" s="1"/>
  <c r="CN664" i="1"/>
  <c r="CV664" i="1" s="1"/>
  <c r="CN665" i="1"/>
  <c r="CV665" i="1" s="1"/>
  <c r="CN666" i="1"/>
  <c r="CV666" i="1" s="1"/>
  <c r="CN667" i="1"/>
  <c r="CV667" i="1" s="1"/>
  <c r="CN668" i="1"/>
  <c r="CV668" i="1" s="1"/>
  <c r="CN669" i="1"/>
  <c r="CV669" i="1" s="1"/>
  <c r="CN670" i="1"/>
  <c r="CV670" i="1" s="1"/>
  <c r="CN671" i="1"/>
  <c r="CV671" i="1" s="1"/>
  <c r="CN672" i="1"/>
  <c r="CV672" i="1" s="1"/>
  <c r="CN673" i="1"/>
  <c r="CV673" i="1" s="1"/>
  <c r="CN674" i="1"/>
  <c r="CV674" i="1" s="1"/>
  <c r="CN675" i="1"/>
  <c r="CV675" i="1" s="1"/>
  <c r="CN676" i="1"/>
  <c r="CV676" i="1" s="1"/>
  <c r="CN677" i="1"/>
  <c r="CV677" i="1" s="1"/>
  <c r="CN678" i="1"/>
  <c r="CV678" i="1" s="1"/>
  <c r="CN679" i="1"/>
  <c r="CV679" i="1" s="1"/>
  <c r="CN680" i="1"/>
  <c r="CN681" i="1"/>
  <c r="CV681" i="1" s="1"/>
  <c r="CN682" i="1"/>
  <c r="CV682" i="1" s="1"/>
  <c r="CN683" i="1"/>
  <c r="CV683" i="1" s="1"/>
  <c r="CN684" i="1"/>
  <c r="CV684" i="1" s="1"/>
  <c r="CN685" i="1"/>
  <c r="CV685" i="1" s="1"/>
  <c r="CN686" i="1"/>
  <c r="CV686" i="1" s="1"/>
  <c r="CN687" i="1"/>
  <c r="CV687" i="1" s="1"/>
  <c r="CN688" i="1"/>
  <c r="CV688" i="1" s="1"/>
  <c r="CN689" i="1"/>
  <c r="CV689" i="1" s="1"/>
  <c r="CN690" i="1"/>
  <c r="CV690" i="1" s="1"/>
  <c r="CN691" i="1"/>
  <c r="CV691" i="1" s="1"/>
  <c r="CN692" i="1"/>
  <c r="CV692" i="1" s="1"/>
  <c r="CN693" i="1"/>
  <c r="CV693" i="1" s="1"/>
  <c r="CN694" i="1"/>
  <c r="CV694" i="1" s="1"/>
  <c r="CN695" i="1"/>
  <c r="CV695" i="1" s="1"/>
  <c r="CN696" i="1"/>
  <c r="CV696" i="1" s="1"/>
  <c r="CN697" i="1"/>
  <c r="CV697" i="1" s="1"/>
  <c r="CN698" i="1"/>
  <c r="CV698" i="1" s="1"/>
  <c r="CN699" i="1"/>
  <c r="CV699" i="1" s="1"/>
  <c r="CN700" i="1"/>
  <c r="CV700" i="1" s="1"/>
  <c r="CN701" i="1"/>
  <c r="CV701" i="1" s="1"/>
  <c r="CN702" i="1"/>
  <c r="CV702" i="1" s="1"/>
  <c r="CN703" i="1"/>
  <c r="CV703" i="1" s="1"/>
  <c r="CN704" i="1"/>
  <c r="CV704" i="1" s="1"/>
  <c r="CN705" i="1"/>
  <c r="CV705" i="1" s="1"/>
  <c r="CN706" i="1"/>
  <c r="CV706" i="1" s="1"/>
  <c r="CN707" i="1"/>
  <c r="CV707" i="1" s="1"/>
  <c r="CN708" i="1"/>
  <c r="CV708" i="1" s="1"/>
  <c r="CN709" i="1"/>
  <c r="CV709" i="1" s="1"/>
  <c r="CN710" i="1"/>
  <c r="CV710" i="1" s="1"/>
  <c r="CN711" i="1"/>
  <c r="CV711" i="1" s="1"/>
  <c r="CN712" i="1"/>
  <c r="CV712" i="1" s="1"/>
  <c r="CN713" i="1"/>
  <c r="CV713" i="1" s="1"/>
  <c r="CN714" i="1"/>
  <c r="CV714" i="1" s="1"/>
  <c r="CN715" i="1"/>
  <c r="CV715" i="1" s="1"/>
  <c r="CN716" i="1"/>
  <c r="CV716" i="1" s="1"/>
  <c r="CN717" i="1"/>
  <c r="CV717" i="1" s="1"/>
  <c r="CN718" i="1"/>
  <c r="CV718" i="1" s="1"/>
  <c r="CN719" i="1"/>
  <c r="CV719" i="1" s="1"/>
  <c r="CN720" i="1"/>
  <c r="CV720" i="1" s="1"/>
  <c r="CN721" i="1"/>
  <c r="CV721" i="1" s="1"/>
  <c r="CN722" i="1"/>
  <c r="CN723" i="1"/>
  <c r="CN724" i="1"/>
  <c r="CN725" i="1"/>
  <c r="CV725" i="1" s="1"/>
  <c r="CN726" i="1"/>
  <c r="CV726" i="1" s="1"/>
  <c r="CN727" i="1"/>
  <c r="CV727" i="1" s="1"/>
  <c r="CN728" i="1"/>
  <c r="CV728" i="1" s="1"/>
  <c r="CN729" i="1"/>
  <c r="CV729" i="1" s="1"/>
  <c r="CN730" i="1"/>
  <c r="CV730" i="1" s="1"/>
  <c r="CN731" i="1"/>
  <c r="CV731" i="1" s="1"/>
  <c r="CN732" i="1"/>
  <c r="CV732" i="1" s="1"/>
  <c r="CN733" i="1"/>
  <c r="CV733" i="1" s="1"/>
  <c r="CN734" i="1"/>
  <c r="CV734" i="1" s="1"/>
  <c r="CN735" i="1"/>
  <c r="CV735" i="1" s="1"/>
  <c r="CN736" i="1"/>
  <c r="CV736" i="1" s="1"/>
  <c r="CN737" i="1"/>
  <c r="CV737" i="1" s="1"/>
  <c r="CN738" i="1"/>
  <c r="CV738" i="1" s="1"/>
  <c r="CN739" i="1"/>
  <c r="CV739" i="1" s="1"/>
  <c r="CN740" i="1"/>
  <c r="CV740" i="1" s="1"/>
  <c r="CN741" i="1"/>
  <c r="CV741" i="1" s="1"/>
  <c r="CN742" i="1"/>
  <c r="CV742" i="1" s="1"/>
  <c r="CN743" i="1"/>
  <c r="CV743" i="1" s="1"/>
  <c r="CN744" i="1"/>
  <c r="CV744" i="1" s="1"/>
  <c r="CN745" i="1"/>
  <c r="CV745" i="1" s="1"/>
  <c r="CN746" i="1"/>
  <c r="CV746" i="1" s="1"/>
  <c r="CN747" i="1"/>
  <c r="CV747" i="1" s="1"/>
  <c r="CN243" i="1"/>
  <c r="CV243" i="1" s="1"/>
  <c r="CN244" i="1"/>
  <c r="CV244" i="1" s="1"/>
  <c r="CN245" i="1"/>
  <c r="CV245" i="1" s="1"/>
  <c r="CN242" i="1"/>
  <c r="CV242" i="1" s="1"/>
  <c r="CN240" i="1"/>
  <c r="CV240" i="1" s="1"/>
  <c r="CN241" i="1"/>
  <c r="CV241" i="1" s="1"/>
  <c r="CN236" i="1"/>
  <c r="CV236" i="1" s="1"/>
  <c r="CN237" i="1"/>
  <c r="CV237" i="1" s="1"/>
  <c r="CN238" i="1"/>
  <c r="CV238" i="1" s="1"/>
  <c r="CN239" i="1"/>
  <c r="CV239" i="1" s="1"/>
  <c r="CN232" i="1"/>
  <c r="CV232" i="1" s="1"/>
  <c r="CN233" i="1"/>
  <c r="CV233" i="1" s="1"/>
  <c r="CN234" i="1"/>
  <c r="CV234" i="1" s="1"/>
  <c r="CN235" i="1"/>
  <c r="CV235" i="1" s="1"/>
  <c r="CN139" i="1"/>
  <c r="CV139" i="1" s="1"/>
  <c r="CN140" i="1"/>
  <c r="CV140" i="1" s="1"/>
  <c r="CN141" i="1"/>
  <c r="CV141" i="1" s="1"/>
  <c r="CN142" i="1"/>
  <c r="CV142" i="1" s="1"/>
  <c r="CN143" i="1"/>
  <c r="CV143" i="1" s="1"/>
  <c r="CN144" i="1"/>
  <c r="CV144" i="1" s="1"/>
  <c r="CN145" i="1"/>
  <c r="CV145" i="1" s="1"/>
  <c r="CN146" i="1"/>
  <c r="CV146" i="1" s="1"/>
  <c r="CN147" i="1"/>
  <c r="CV147" i="1" s="1"/>
  <c r="CN148" i="1"/>
  <c r="CV148" i="1" s="1"/>
  <c r="CN149" i="1"/>
  <c r="CV149" i="1" s="1"/>
  <c r="CN150" i="1"/>
  <c r="CV150" i="1" s="1"/>
  <c r="CN151" i="1"/>
  <c r="CV151" i="1" s="1"/>
  <c r="CN152" i="1"/>
  <c r="CV152" i="1" s="1"/>
  <c r="CN153" i="1"/>
  <c r="CV153" i="1" s="1"/>
  <c r="CN154" i="1"/>
  <c r="CV154" i="1" s="1"/>
  <c r="CN155" i="1"/>
  <c r="CV155" i="1" s="1"/>
  <c r="CN156" i="1"/>
  <c r="CV156" i="1" s="1"/>
  <c r="CN157" i="1"/>
  <c r="CV157" i="1" s="1"/>
  <c r="CN158" i="1"/>
  <c r="CV158" i="1" s="1"/>
  <c r="CN159" i="1"/>
  <c r="CV159" i="1" s="1"/>
  <c r="CN160" i="1"/>
  <c r="CV160" i="1" s="1"/>
  <c r="CN161" i="1"/>
  <c r="CV161" i="1" s="1"/>
  <c r="CN162" i="1"/>
  <c r="CV162" i="1" s="1"/>
  <c r="CN163" i="1"/>
  <c r="CV163" i="1" s="1"/>
  <c r="CN164" i="1"/>
  <c r="CV164" i="1" s="1"/>
  <c r="CN165" i="1"/>
  <c r="CV165" i="1" s="1"/>
  <c r="CN166" i="1"/>
  <c r="CV166" i="1" s="1"/>
  <c r="CN167" i="1"/>
  <c r="CV167" i="1" s="1"/>
  <c r="CN168" i="1"/>
  <c r="CV168" i="1" s="1"/>
  <c r="CN169" i="1"/>
  <c r="CV169" i="1" s="1"/>
  <c r="CN170" i="1"/>
  <c r="CV170" i="1" s="1"/>
  <c r="CN171" i="1"/>
  <c r="CV171" i="1" s="1"/>
  <c r="CN172" i="1"/>
  <c r="CV172" i="1" s="1"/>
  <c r="CN173" i="1"/>
  <c r="CV173" i="1" s="1"/>
  <c r="CN174" i="1"/>
  <c r="CV174" i="1" s="1"/>
  <c r="CN175" i="1"/>
  <c r="CV175" i="1" s="1"/>
  <c r="CN176" i="1"/>
  <c r="CV176" i="1" s="1"/>
  <c r="CN177" i="1"/>
  <c r="CV177" i="1" s="1"/>
  <c r="CN178" i="1"/>
  <c r="CV178" i="1" s="1"/>
  <c r="CN179" i="1"/>
  <c r="CV179" i="1" s="1"/>
  <c r="CN180" i="1"/>
  <c r="CV180" i="1" s="1"/>
  <c r="CN181" i="1"/>
  <c r="CV181" i="1" s="1"/>
  <c r="CN182" i="1"/>
  <c r="CN183" i="1"/>
  <c r="CV183" i="1" s="1"/>
  <c r="CN184" i="1"/>
  <c r="CV184" i="1" s="1"/>
  <c r="CN185" i="1"/>
  <c r="CN186" i="1"/>
  <c r="CV186" i="1" s="1"/>
  <c r="CN187" i="1"/>
  <c r="CV187" i="1" s="1"/>
  <c r="CN188" i="1"/>
  <c r="CV188" i="1" s="1"/>
  <c r="CN189" i="1"/>
  <c r="CV189" i="1" s="1"/>
  <c r="CN190" i="1"/>
  <c r="CV190" i="1" s="1"/>
  <c r="CN191" i="1"/>
  <c r="CV191" i="1" s="1"/>
  <c r="CN192" i="1"/>
  <c r="CV192" i="1" s="1"/>
  <c r="CN193" i="1"/>
  <c r="CV193" i="1" s="1"/>
  <c r="CN194" i="1"/>
  <c r="CV194" i="1" s="1"/>
  <c r="CN195" i="1"/>
  <c r="CV195" i="1" s="1"/>
  <c r="CN196" i="1"/>
  <c r="CN197" i="1"/>
  <c r="CV197" i="1" s="1"/>
  <c r="CN198" i="1"/>
  <c r="CV198" i="1" s="1"/>
  <c r="CN199" i="1"/>
  <c r="CV199" i="1" s="1"/>
  <c r="CN200" i="1"/>
  <c r="CV200" i="1" s="1"/>
  <c r="CN201" i="1"/>
  <c r="CV201" i="1" s="1"/>
  <c r="CN202" i="1"/>
  <c r="CV202" i="1" s="1"/>
  <c r="CN203" i="1"/>
  <c r="CV203" i="1" s="1"/>
  <c r="CN204" i="1"/>
  <c r="CV204" i="1" s="1"/>
  <c r="CN205" i="1"/>
  <c r="CV205" i="1" s="1"/>
  <c r="CN206" i="1"/>
  <c r="CV206" i="1" s="1"/>
  <c r="CN207" i="1"/>
  <c r="CV207" i="1" s="1"/>
  <c r="CN208" i="1"/>
  <c r="CV208" i="1" s="1"/>
  <c r="CN209" i="1"/>
  <c r="CV209" i="1" s="1"/>
  <c r="CN210" i="1"/>
  <c r="CV210" i="1" s="1"/>
  <c r="CN211" i="1"/>
  <c r="CV211" i="1" s="1"/>
  <c r="CN212" i="1"/>
  <c r="CV212" i="1" s="1"/>
  <c r="CN213" i="1"/>
  <c r="CV213" i="1" s="1"/>
  <c r="CN214" i="1"/>
  <c r="CV214" i="1" s="1"/>
  <c r="CN215" i="1"/>
  <c r="CV215" i="1" s="1"/>
  <c r="CN216" i="1"/>
  <c r="CV216" i="1" s="1"/>
  <c r="CN217" i="1"/>
  <c r="CV217" i="1" s="1"/>
  <c r="CN218" i="1"/>
  <c r="CV218" i="1" s="1"/>
  <c r="CN219" i="1"/>
  <c r="CV219" i="1" s="1"/>
  <c r="CN220" i="1"/>
  <c r="CV220" i="1" s="1"/>
  <c r="CN221" i="1"/>
  <c r="CV221" i="1" s="1"/>
  <c r="CN222" i="1"/>
  <c r="CV222" i="1" s="1"/>
  <c r="CN223" i="1"/>
  <c r="CV223" i="1" s="1"/>
  <c r="CN224" i="1"/>
  <c r="CN225" i="1"/>
  <c r="CN226" i="1"/>
  <c r="CV226" i="1" s="1"/>
  <c r="CN227" i="1"/>
  <c r="CN228" i="1"/>
  <c r="CV228" i="1" s="1"/>
  <c r="CN229" i="1"/>
  <c r="CV229" i="1" s="1"/>
  <c r="CN230" i="1"/>
  <c r="CV230" i="1" s="1"/>
  <c r="CN231" i="1"/>
  <c r="CV231" i="1" s="1"/>
  <c r="CN137" i="1"/>
  <c r="CV137" i="1" s="1"/>
  <c r="CN138" i="1"/>
  <c r="CV138" i="1" s="1"/>
  <c r="CN20" i="1"/>
  <c r="CV20" i="1" s="1"/>
  <c r="CN21" i="1"/>
  <c r="CV21" i="1" s="1"/>
  <c r="CN22" i="1"/>
  <c r="CV22" i="1" s="1"/>
  <c r="CN23" i="1"/>
  <c r="CV23" i="1" s="1"/>
  <c r="CN24" i="1"/>
  <c r="CN25" i="1"/>
  <c r="CV25" i="1" s="1"/>
  <c r="CN26" i="1"/>
  <c r="CV26" i="1" s="1"/>
  <c r="CN27" i="1"/>
  <c r="CV27" i="1" s="1"/>
  <c r="CN28" i="1"/>
  <c r="CV28" i="1" s="1"/>
  <c r="CN29" i="1"/>
  <c r="CV29" i="1" s="1"/>
  <c r="CN30" i="1"/>
  <c r="CV30" i="1" s="1"/>
  <c r="CN31" i="1"/>
  <c r="CV31" i="1" s="1"/>
  <c r="CN32" i="1"/>
  <c r="CV32" i="1" s="1"/>
  <c r="CN33" i="1"/>
  <c r="CV33" i="1" s="1"/>
  <c r="CN34" i="1"/>
  <c r="CV34" i="1" s="1"/>
  <c r="CN35" i="1"/>
  <c r="CV35" i="1" s="1"/>
  <c r="CN36" i="1"/>
  <c r="CV36" i="1" s="1"/>
  <c r="CN37" i="1"/>
  <c r="CV37" i="1" s="1"/>
  <c r="CN38" i="1"/>
  <c r="CV38" i="1" s="1"/>
  <c r="CN39" i="1"/>
  <c r="CV39" i="1" s="1"/>
  <c r="CN40" i="1"/>
  <c r="CV40" i="1" s="1"/>
  <c r="CN41" i="1"/>
  <c r="CV41" i="1" s="1"/>
  <c r="CN42" i="1"/>
  <c r="CV42" i="1" s="1"/>
  <c r="CN43" i="1"/>
  <c r="CV43" i="1" s="1"/>
  <c r="CN44" i="1"/>
  <c r="CV44" i="1" s="1"/>
  <c r="CN45" i="1"/>
  <c r="CV45" i="1" s="1"/>
  <c r="CN46" i="1"/>
  <c r="CV46" i="1" s="1"/>
  <c r="CN47" i="1"/>
  <c r="CV47" i="1" s="1"/>
  <c r="CN48" i="1"/>
  <c r="CV48" i="1" s="1"/>
  <c r="CN49" i="1"/>
  <c r="CV49" i="1" s="1"/>
  <c r="CN50" i="1"/>
  <c r="CV50" i="1" s="1"/>
  <c r="CN51" i="1"/>
  <c r="CV51" i="1" s="1"/>
  <c r="CN52" i="1"/>
  <c r="CV52" i="1" s="1"/>
  <c r="CN53" i="1"/>
  <c r="CV53" i="1" s="1"/>
  <c r="CN54" i="1"/>
  <c r="CV54" i="1" s="1"/>
  <c r="CN55" i="1"/>
  <c r="CV55" i="1" s="1"/>
  <c r="CN56" i="1"/>
  <c r="CV56" i="1" s="1"/>
  <c r="CN57" i="1"/>
  <c r="CV57" i="1" s="1"/>
  <c r="CN58" i="1"/>
  <c r="CV58" i="1" s="1"/>
  <c r="CN59" i="1"/>
  <c r="CV59" i="1" s="1"/>
  <c r="CN60" i="1"/>
  <c r="CV60" i="1" s="1"/>
  <c r="CN61" i="1"/>
  <c r="CV61" i="1" s="1"/>
  <c r="CN62" i="1"/>
  <c r="CV62" i="1" s="1"/>
  <c r="CN63" i="1"/>
  <c r="CV63" i="1" s="1"/>
  <c r="CN64" i="1"/>
  <c r="CV64" i="1" s="1"/>
  <c r="CN65" i="1"/>
  <c r="CV65" i="1" s="1"/>
  <c r="CN66" i="1"/>
  <c r="CV66" i="1" s="1"/>
  <c r="CN67" i="1"/>
  <c r="CV67" i="1" s="1"/>
  <c r="CN68" i="1"/>
  <c r="CV68" i="1" s="1"/>
  <c r="CN69" i="1"/>
  <c r="CV69" i="1" s="1"/>
  <c r="CN70" i="1"/>
  <c r="CV70" i="1" s="1"/>
  <c r="CN71" i="1"/>
  <c r="CV71" i="1" s="1"/>
  <c r="CN72" i="1"/>
  <c r="CV72" i="1" s="1"/>
  <c r="CN73" i="1"/>
  <c r="CV73" i="1" s="1"/>
  <c r="CN74" i="1"/>
  <c r="CV74" i="1" s="1"/>
  <c r="CN75" i="1"/>
  <c r="CV75" i="1" s="1"/>
  <c r="CN76" i="1"/>
  <c r="CV76" i="1" s="1"/>
  <c r="CN77" i="1"/>
  <c r="CV77" i="1" s="1"/>
  <c r="CN78" i="1"/>
  <c r="CV78" i="1" s="1"/>
  <c r="CN79" i="1"/>
  <c r="CV79" i="1" s="1"/>
  <c r="CN80" i="1"/>
  <c r="CV80" i="1" s="1"/>
  <c r="CN81" i="1"/>
  <c r="CN82" i="1"/>
  <c r="CN83" i="1"/>
  <c r="CV83" i="1" s="1"/>
  <c r="CN84" i="1"/>
  <c r="CV84" i="1" s="1"/>
  <c r="CN85" i="1"/>
  <c r="CV85" i="1" s="1"/>
  <c r="CN86" i="1"/>
  <c r="CV86" i="1" s="1"/>
  <c r="CN87" i="1"/>
  <c r="CV87" i="1" s="1"/>
  <c r="CN88" i="1"/>
  <c r="CV88" i="1" s="1"/>
  <c r="CN89" i="1"/>
  <c r="CV89" i="1" s="1"/>
  <c r="CN90" i="1"/>
  <c r="CV90" i="1" s="1"/>
  <c r="CN91" i="1"/>
  <c r="CV91" i="1" s="1"/>
  <c r="CN92" i="1"/>
  <c r="CV92" i="1" s="1"/>
  <c r="CN93" i="1"/>
  <c r="CV93" i="1" s="1"/>
  <c r="CN94" i="1"/>
  <c r="CV94" i="1" s="1"/>
  <c r="CN95" i="1"/>
  <c r="CV95" i="1" s="1"/>
  <c r="CN96" i="1"/>
  <c r="CV96" i="1" s="1"/>
  <c r="CN97" i="1"/>
  <c r="CV97" i="1" s="1"/>
  <c r="CN98" i="1"/>
  <c r="CV98" i="1" s="1"/>
  <c r="CN99" i="1"/>
  <c r="CV99" i="1" s="1"/>
  <c r="CN100" i="1"/>
  <c r="CV100" i="1" s="1"/>
  <c r="CN101" i="1"/>
  <c r="CV101" i="1" s="1"/>
  <c r="CN102" i="1"/>
  <c r="CV102" i="1" s="1"/>
  <c r="CN103" i="1"/>
  <c r="CV103" i="1" s="1"/>
  <c r="CN104" i="1"/>
  <c r="CV104" i="1" s="1"/>
  <c r="CN105" i="1"/>
  <c r="CV105" i="1" s="1"/>
  <c r="CN106" i="1"/>
  <c r="CV106" i="1" s="1"/>
  <c r="CN107" i="1"/>
  <c r="CV107" i="1" s="1"/>
  <c r="CN108" i="1"/>
  <c r="CV108" i="1" s="1"/>
  <c r="CN109" i="1"/>
  <c r="CV109" i="1" s="1"/>
  <c r="CN110" i="1"/>
  <c r="CV110" i="1" s="1"/>
  <c r="CN111" i="1"/>
  <c r="CV111" i="1" s="1"/>
  <c r="CN112" i="1"/>
  <c r="CV112" i="1" s="1"/>
  <c r="CN113" i="1"/>
  <c r="CV113" i="1" s="1"/>
  <c r="CN114" i="1"/>
  <c r="CV114" i="1" s="1"/>
  <c r="CN115" i="1"/>
  <c r="CV115" i="1" s="1"/>
  <c r="CN116" i="1"/>
  <c r="CV116" i="1" s="1"/>
  <c r="CN117" i="1"/>
  <c r="CV117" i="1" s="1"/>
  <c r="CN118" i="1"/>
  <c r="CV118" i="1" s="1"/>
  <c r="CN119" i="1"/>
  <c r="CV119" i="1" s="1"/>
  <c r="CN120" i="1"/>
  <c r="CV120" i="1" s="1"/>
  <c r="CN121" i="1"/>
  <c r="CV121" i="1" s="1"/>
  <c r="CN122" i="1"/>
  <c r="CV122" i="1" s="1"/>
  <c r="CN123" i="1"/>
  <c r="CV123" i="1" s="1"/>
  <c r="CN124" i="1"/>
  <c r="CV124" i="1" s="1"/>
  <c r="CN125" i="1"/>
  <c r="CV125" i="1" s="1"/>
  <c r="CN126" i="1"/>
  <c r="CV126" i="1" s="1"/>
  <c r="CN127" i="1"/>
  <c r="CV127" i="1" s="1"/>
  <c r="CN128" i="1"/>
  <c r="CV128" i="1" s="1"/>
  <c r="CN129" i="1"/>
  <c r="CV129" i="1" s="1"/>
  <c r="CN130" i="1"/>
  <c r="CV130" i="1" s="1"/>
  <c r="CN131" i="1"/>
  <c r="CV131" i="1" s="1"/>
  <c r="CN132" i="1"/>
  <c r="CV132" i="1" s="1"/>
  <c r="CN133" i="1"/>
  <c r="CV133" i="1" s="1"/>
  <c r="CN134" i="1"/>
  <c r="CV134" i="1" s="1"/>
  <c r="CN135" i="1"/>
  <c r="CV135" i="1" s="1"/>
  <c r="CN136" i="1"/>
  <c r="CV136" i="1" s="1"/>
  <c r="CN17" i="1"/>
  <c r="CV17" i="1" s="1"/>
  <c r="CN18" i="1"/>
  <c r="CN19" i="1"/>
  <c r="CV19" i="1" s="1"/>
  <c r="CN7" i="1"/>
  <c r="CV7" i="1" s="1"/>
  <c r="CN8" i="1"/>
  <c r="CV8" i="1" s="1"/>
  <c r="CN9" i="1"/>
  <c r="CV9" i="1" s="1"/>
  <c r="CN10" i="1"/>
  <c r="CV10" i="1" s="1"/>
  <c r="CN11" i="1"/>
  <c r="CV11" i="1" s="1"/>
  <c r="CN12" i="1"/>
  <c r="CV12" i="1" s="1"/>
  <c r="CN13" i="1"/>
  <c r="CV13" i="1" s="1"/>
  <c r="CN14" i="1"/>
  <c r="CV14" i="1" s="1"/>
  <c r="CN15" i="1"/>
  <c r="CV15" i="1" s="1"/>
  <c r="CN16" i="1"/>
  <c r="CV16" i="1" s="1"/>
  <c r="CN6" i="1"/>
  <c r="CV6" i="1" s="1"/>
  <c r="CW7" i="1"/>
  <c r="CO7" i="1" s="1"/>
  <c r="CW8" i="1"/>
  <c r="CO8" i="1" s="1"/>
  <c r="CW9" i="1"/>
  <c r="CO9" i="1" s="1"/>
  <c r="CW10" i="1"/>
  <c r="CO10" i="1" s="1"/>
  <c r="CW11" i="1"/>
  <c r="CO11" i="1" s="1"/>
  <c r="CW12" i="1"/>
  <c r="CO12" i="1" s="1"/>
  <c r="CW13" i="1"/>
  <c r="CO13" i="1" s="1"/>
  <c r="CW14" i="1"/>
  <c r="CO14" i="1" s="1"/>
  <c r="CW15" i="1"/>
  <c r="CO15" i="1" s="1"/>
  <c r="CW16" i="1"/>
  <c r="CO16" i="1" s="1"/>
  <c r="CW17" i="1"/>
  <c r="CO17" i="1" s="1"/>
  <c r="CW18" i="1"/>
  <c r="CO18" i="1" s="1"/>
  <c r="CW19" i="1"/>
  <c r="CO19" i="1" s="1"/>
  <c r="CW20" i="1"/>
  <c r="CO20" i="1" s="1"/>
  <c r="CW21" i="1"/>
  <c r="CO21" i="1" s="1"/>
  <c r="CW22" i="1"/>
  <c r="CO22" i="1" s="1"/>
  <c r="CW23" i="1"/>
  <c r="CO23" i="1" s="1"/>
  <c r="CW24" i="1"/>
  <c r="CO24" i="1" s="1"/>
  <c r="CW25" i="1"/>
  <c r="CO25" i="1" s="1"/>
  <c r="CW26" i="1"/>
  <c r="CO26" i="1" s="1"/>
  <c r="CW27" i="1"/>
  <c r="CO27" i="1" s="1"/>
  <c r="CW28" i="1"/>
  <c r="CO28" i="1" s="1"/>
  <c r="CW29" i="1"/>
  <c r="CO29" i="1" s="1"/>
  <c r="CW30" i="1"/>
  <c r="CO30" i="1" s="1"/>
  <c r="CW31" i="1"/>
  <c r="CO31" i="1" s="1"/>
  <c r="CW32" i="1"/>
  <c r="CO32" i="1" s="1"/>
  <c r="CW33" i="1"/>
  <c r="CO33" i="1" s="1"/>
  <c r="CW34" i="1"/>
  <c r="CO34" i="1" s="1"/>
  <c r="CW35" i="1"/>
  <c r="CO35" i="1" s="1"/>
  <c r="CW36" i="1"/>
  <c r="CO36" i="1" s="1"/>
  <c r="CW37" i="1"/>
  <c r="CO37" i="1" s="1"/>
  <c r="CW38" i="1"/>
  <c r="CO38" i="1" s="1"/>
  <c r="CW39" i="1"/>
  <c r="CO39" i="1" s="1"/>
  <c r="CW40" i="1"/>
  <c r="CO40" i="1" s="1"/>
  <c r="CW41" i="1"/>
  <c r="CO41" i="1" s="1"/>
  <c r="CW42" i="1"/>
  <c r="CO42" i="1" s="1"/>
  <c r="CW43" i="1"/>
  <c r="CO43" i="1" s="1"/>
  <c r="CW44" i="1"/>
  <c r="CO44" i="1" s="1"/>
  <c r="CW45" i="1"/>
  <c r="CO45" i="1" s="1"/>
  <c r="CW46" i="1"/>
  <c r="CO46" i="1" s="1"/>
  <c r="CW47" i="1"/>
  <c r="CO47" i="1" s="1"/>
  <c r="CW48" i="1"/>
  <c r="CO48" i="1" s="1"/>
  <c r="CW49" i="1"/>
  <c r="CO49" i="1" s="1"/>
  <c r="CW50" i="1"/>
  <c r="CO50" i="1" s="1"/>
  <c r="CW51" i="1"/>
  <c r="CO51" i="1" s="1"/>
  <c r="CW52" i="1"/>
  <c r="CO52" i="1" s="1"/>
  <c r="CW53" i="1"/>
  <c r="CO53" i="1" s="1"/>
  <c r="CW54" i="1"/>
  <c r="CO54" i="1" s="1"/>
  <c r="CW55" i="1"/>
  <c r="CO55" i="1" s="1"/>
  <c r="CW56" i="1"/>
  <c r="CO56" i="1" s="1"/>
  <c r="CW57" i="1"/>
  <c r="CO57" i="1" s="1"/>
  <c r="CW58" i="1"/>
  <c r="CO58" i="1" s="1"/>
  <c r="CW59" i="1"/>
  <c r="CO59" i="1" s="1"/>
  <c r="CW60" i="1"/>
  <c r="CO60" i="1" s="1"/>
  <c r="CW61" i="1"/>
  <c r="CO61" i="1" s="1"/>
  <c r="CW62" i="1"/>
  <c r="CO62" i="1" s="1"/>
  <c r="CW63" i="1"/>
  <c r="CO63" i="1" s="1"/>
  <c r="CW64" i="1"/>
  <c r="CO64" i="1" s="1"/>
  <c r="CW65" i="1"/>
  <c r="CO65" i="1" s="1"/>
  <c r="CW66" i="1"/>
  <c r="CO66" i="1" s="1"/>
  <c r="CW67" i="1"/>
  <c r="CO67" i="1" s="1"/>
  <c r="CW68" i="1"/>
  <c r="CO68" i="1" s="1"/>
  <c r="CW69" i="1"/>
  <c r="CO69" i="1" s="1"/>
  <c r="CW70" i="1"/>
  <c r="CO70" i="1" s="1"/>
  <c r="CW71" i="1"/>
  <c r="CO71" i="1" s="1"/>
  <c r="CW72" i="1"/>
  <c r="CO72" i="1" s="1"/>
  <c r="CW73" i="1"/>
  <c r="CO73" i="1" s="1"/>
  <c r="CW74" i="1"/>
  <c r="CO74" i="1" s="1"/>
  <c r="CW75" i="1"/>
  <c r="CO75" i="1" s="1"/>
  <c r="CW76" i="1"/>
  <c r="CO76" i="1" s="1"/>
  <c r="CW77" i="1"/>
  <c r="CO77" i="1" s="1"/>
  <c r="CW78" i="1"/>
  <c r="CO78" i="1" s="1"/>
  <c r="CW79" i="1"/>
  <c r="CO79" i="1" s="1"/>
  <c r="CW80" i="1"/>
  <c r="CO80" i="1" s="1"/>
  <c r="CW81" i="1"/>
  <c r="CO81" i="1" s="1"/>
  <c r="CW82" i="1"/>
  <c r="CO82" i="1" s="1"/>
  <c r="CW83" i="1"/>
  <c r="CO83" i="1" s="1"/>
  <c r="CW84" i="1"/>
  <c r="CO84" i="1" s="1"/>
  <c r="CW85" i="1"/>
  <c r="CO85" i="1" s="1"/>
  <c r="CW86" i="1"/>
  <c r="CO86" i="1" s="1"/>
  <c r="CW87" i="1"/>
  <c r="CO87" i="1" s="1"/>
  <c r="CW88" i="1"/>
  <c r="CO88" i="1" s="1"/>
  <c r="CW89" i="1"/>
  <c r="CO89" i="1" s="1"/>
  <c r="CW90" i="1"/>
  <c r="CO90" i="1" s="1"/>
  <c r="CW91" i="1"/>
  <c r="CO91" i="1" s="1"/>
  <c r="CW92" i="1"/>
  <c r="CO92" i="1" s="1"/>
  <c r="CW93" i="1"/>
  <c r="CO93" i="1" s="1"/>
  <c r="CW94" i="1"/>
  <c r="CO94" i="1" s="1"/>
  <c r="CW95" i="1"/>
  <c r="CO95" i="1" s="1"/>
  <c r="CW96" i="1"/>
  <c r="CO96" i="1" s="1"/>
  <c r="CW97" i="1"/>
  <c r="CO97" i="1" s="1"/>
  <c r="CW98" i="1"/>
  <c r="CO98" i="1" s="1"/>
  <c r="CW99" i="1"/>
  <c r="CO99" i="1" s="1"/>
  <c r="CW100" i="1"/>
  <c r="CO100" i="1" s="1"/>
  <c r="CW101" i="1"/>
  <c r="CO101" i="1" s="1"/>
  <c r="CW102" i="1"/>
  <c r="CO102" i="1" s="1"/>
  <c r="CW103" i="1"/>
  <c r="CO103" i="1" s="1"/>
  <c r="CW104" i="1"/>
  <c r="CO104" i="1" s="1"/>
  <c r="CW105" i="1"/>
  <c r="CO105" i="1" s="1"/>
  <c r="CW106" i="1"/>
  <c r="CO106" i="1" s="1"/>
  <c r="CW107" i="1"/>
  <c r="CO107" i="1" s="1"/>
  <c r="CW108" i="1"/>
  <c r="CO108" i="1" s="1"/>
  <c r="CW109" i="1"/>
  <c r="CO109" i="1" s="1"/>
  <c r="CW110" i="1"/>
  <c r="CO110" i="1" s="1"/>
  <c r="CW111" i="1"/>
  <c r="CO111" i="1" s="1"/>
  <c r="CW112" i="1"/>
  <c r="CO112" i="1" s="1"/>
  <c r="CW113" i="1"/>
  <c r="CO113" i="1" s="1"/>
  <c r="CW114" i="1"/>
  <c r="CO114" i="1" s="1"/>
  <c r="CW115" i="1"/>
  <c r="CO115" i="1" s="1"/>
  <c r="CW116" i="1"/>
  <c r="CO116" i="1" s="1"/>
  <c r="CW117" i="1"/>
  <c r="CO117" i="1" s="1"/>
  <c r="CW118" i="1"/>
  <c r="CO118" i="1" s="1"/>
  <c r="CW119" i="1"/>
  <c r="CO119" i="1" s="1"/>
  <c r="CW120" i="1"/>
  <c r="CO120" i="1" s="1"/>
  <c r="CW121" i="1"/>
  <c r="CO121" i="1" s="1"/>
  <c r="CW122" i="1"/>
  <c r="CO122" i="1" s="1"/>
  <c r="CW123" i="1"/>
  <c r="CO123" i="1" s="1"/>
  <c r="CW124" i="1"/>
  <c r="CO124" i="1" s="1"/>
  <c r="CW125" i="1"/>
  <c r="CO125" i="1" s="1"/>
  <c r="CW126" i="1"/>
  <c r="CO126" i="1" s="1"/>
  <c r="CW127" i="1"/>
  <c r="CO127" i="1" s="1"/>
  <c r="CW128" i="1"/>
  <c r="CO128" i="1" s="1"/>
  <c r="CW129" i="1"/>
  <c r="CO129" i="1" s="1"/>
  <c r="CW130" i="1"/>
  <c r="CO130" i="1" s="1"/>
  <c r="CW131" i="1"/>
  <c r="CO131" i="1" s="1"/>
  <c r="CW132" i="1"/>
  <c r="CO132" i="1" s="1"/>
  <c r="CW133" i="1"/>
  <c r="CO133" i="1" s="1"/>
  <c r="CW134" i="1"/>
  <c r="CO134" i="1" s="1"/>
  <c r="CW135" i="1"/>
  <c r="CO135" i="1" s="1"/>
  <c r="CW136" i="1"/>
  <c r="CO136" i="1" s="1"/>
  <c r="CW137" i="1"/>
  <c r="CO137" i="1" s="1"/>
  <c r="CW138" i="1"/>
  <c r="CO138" i="1" s="1"/>
  <c r="CW139" i="1"/>
  <c r="CO139" i="1" s="1"/>
  <c r="CW140" i="1"/>
  <c r="CO140" i="1" s="1"/>
  <c r="CW141" i="1"/>
  <c r="CO141" i="1" s="1"/>
  <c r="CW142" i="1"/>
  <c r="CO142" i="1" s="1"/>
  <c r="CW143" i="1"/>
  <c r="CO143" i="1" s="1"/>
  <c r="CW144" i="1"/>
  <c r="CO144" i="1" s="1"/>
  <c r="CW145" i="1"/>
  <c r="CO145" i="1" s="1"/>
  <c r="CW146" i="1"/>
  <c r="CO146" i="1" s="1"/>
  <c r="CW147" i="1"/>
  <c r="CO147" i="1" s="1"/>
  <c r="CW148" i="1"/>
  <c r="CO148" i="1" s="1"/>
  <c r="CW149" i="1"/>
  <c r="CO149" i="1" s="1"/>
  <c r="CW150" i="1"/>
  <c r="CO150" i="1" s="1"/>
  <c r="CW151" i="1"/>
  <c r="CO151" i="1" s="1"/>
  <c r="CW152" i="1"/>
  <c r="CO152" i="1" s="1"/>
  <c r="CW153" i="1"/>
  <c r="CO153" i="1" s="1"/>
  <c r="CW154" i="1"/>
  <c r="CO154" i="1" s="1"/>
  <c r="CW155" i="1"/>
  <c r="CO155" i="1" s="1"/>
  <c r="CW156" i="1"/>
  <c r="CO156" i="1" s="1"/>
  <c r="CW157" i="1"/>
  <c r="CO157" i="1" s="1"/>
  <c r="CW158" i="1"/>
  <c r="CO158" i="1" s="1"/>
  <c r="CW159" i="1"/>
  <c r="CO159" i="1" s="1"/>
  <c r="CW160" i="1"/>
  <c r="CO160" i="1" s="1"/>
  <c r="CW161" i="1"/>
  <c r="CO161" i="1" s="1"/>
  <c r="CW162" i="1"/>
  <c r="CO162" i="1" s="1"/>
  <c r="CW163" i="1"/>
  <c r="CO163" i="1" s="1"/>
  <c r="CW164" i="1"/>
  <c r="CO164" i="1" s="1"/>
  <c r="CW165" i="1"/>
  <c r="CO165" i="1" s="1"/>
  <c r="CW166" i="1"/>
  <c r="CO166" i="1" s="1"/>
  <c r="CW167" i="1"/>
  <c r="CO167" i="1" s="1"/>
  <c r="CW168" i="1"/>
  <c r="CO168" i="1" s="1"/>
  <c r="CW169" i="1"/>
  <c r="CO169" i="1" s="1"/>
  <c r="CW170" i="1"/>
  <c r="CO170" i="1" s="1"/>
  <c r="CW171" i="1"/>
  <c r="CO171" i="1" s="1"/>
  <c r="CW172" i="1"/>
  <c r="CO172" i="1" s="1"/>
  <c r="CW173" i="1"/>
  <c r="CO173" i="1" s="1"/>
  <c r="CW174" i="1"/>
  <c r="CO174" i="1" s="1"/>
  <c r="CW175" i="1"/>
  <c r="CO175" i="1" s="1"/>
  <c r="CW176" i="1"/>
  <c r="CO176" i="1" s="1"/>
  <c r="CW177" i="1"/>
  <c r="CO177" i="1" s="1"/>
  <c r="CW178" i="1"/>
  <c r="CO178" i="1" s="1"/>
  <c r="CW179" i="1"/>
  <c r="CO179" i="1" s="1"/>
  <c r="CW180" i="1"/>
  <c r="CO180" i="1" s="1"/>
  <c r="CW181" i="1"/>
  <c r="CO181" i="1" s="1"/>
  <c r="CW182" i="1"/>
  <c r="CO182" i="1" s="1"/>
  <c r="CW183" i="1"/>
  <c r="CO183" i="1" s="1"/>
  <c r="CW184" i="1"/>
  <c r="CO184" i="1" s="1"/>
  <c r="CW185" i="1"/>
  <c r="CO185" i="1" s="1"/>
  <c r="CW186" i="1"/>
  <c r="CO186" i="1" s="1"/>
  <c r="CW187" i="1"/>
  <c r="CO187" i="1" s="1"/>
  <c r="CW188" i="1"/>
  <c r="CO188" i="1" s="1"/>
  <c r="CW189" i="1"/>
  <c r="CO189" i="1" s="1"/>
  <c r="CW190" i="1"/>
  <c r="CO190" i="1" s="1"/>
  <c r="CW191" i="1"/>
  <c r="CO191" i="1" s="1"/>
  <c r="CW192" i="1"/>
  <c r="CO192" i="1" s="1"/>
  <c r="CW193" i="1"/>
  <c r="CO193" i="1" s="1"/>
  <c r="CW194" i="1"/>
  <c r="CO194" i="1" s="1"/>
  <c r="CW195" i="1"/>
  <c r="CO195" i="1" s="1"/>
  <c r="CW196" i="1"/>
  <c r="CO196" i="1" s="1"/>
  <c r="CW197" i="1"/>
  <c r="CO197" i="1" s="1"/>
  <c r="CW198" i="1"/>
  <c r="CO198" i="1" s="1"/>
  <c r="CW199" i="1"/>
  <c r="CO199" i="1" s="1"/>
  <c r="CW200" i="1"/>
  <c r="CO200" i="1" s="1"/>
  <c r="CW201" i="1"/>
  <c r="CO201" i="1" s="1"/>
  <c r="CW202" i="1"/>
  <c r="CO202" i="1" s="1"/>
  <c r="CW203" i="1"/>
  <c r="CO203" i="1" s="1"/>
  <c r="CW204" i="1"/>
  <c r="CO204" i="1" s="1"/>
  <c r="CW205" i="1"/>
  <c r="CO205" i="1" s="1"/>
  <c r="CW206" i="1"/>
  <c r="CO206" i="1" s="1"/>
  <c r="CW207" i="1"/>
  <c r="CO207" i="1" s="1"/>
  <c r="CW208" i="1"/>
  <c r="CO208" i="1" s="1"/>
  <c r="CW209" i="1"/>
  <c r="CO209" i="1" s="1"/>
  <c r="CW210" i="1"/>
  <c r="CO210" i="1" s="1"/>
  <c r="CW211" i="1"/>
  <c r="CO211" i="1" s="1"/>
  <c r="CW212" i="1"/>
  <c r="CO212" i="1" s="1"/>
  <c r="CW213" i="1"/>
  <c r="CO213" i="1" s="1"/>
  <c r="CW214" i="1"/>
  <c r="CO214" i="1" s="1"/>
  <c r="CW215" i="1"/>
  <c r="CO215" i="1" s="1"/>
  <c r="CW216" i="1"/>
  <c r="CO216" i="1" s="1"/>
  <c r="CW217" i="1"/>
  <c r="CO217" i="1" s="1"/>
  <c r="CW218" i="1"/>
  <c r="CO218" i="1" s="1"/>
  <c r="CW219" i="1"/>
  <c r="CO219" i="1" s="1"/>
  <c r="CW220" i="1"/>
  <c r="CO220" i="1" s="1"/>
  <c r="CW221" i="1"/>
  <c r="CO221" i="1" s="1"/>
  <c r="CW222" i="1"/>
  <c r="CO222" i="1" s="1"/>
  <c r="CW223" i="1"/>
  <c r="CO223" i="1" s="1"/>
  <c r="CW224" i="1"/>
  <c r="CO224" i="1" s="1"/>
  <c r="CW225" i="1"/>
  <c r="CO225" i="1" s="1"/>
  <c r="CW226" i="1"/>
  <c r="CO226" i="1" s="1"/>
  <c r="CW227" i="1"/>
  <c r="CO227" i="1" s="1"/>
  <c r="CW228" i="1"/>
  <c r="CO228" i="1" s="1"/>
  <c r="CW229" i="1"/>
  <c r="CO229" i="1" s="1"/>
  <c r="CW230" i="1"/>
  <c r="CO230" i="1" s="1"/>
  <c r="CW231" i="1"/>
  <c r="CO231" i="1" s="1"/>
  <c r="CW232" i="1"/>
  <c r="CO232" i="1" s="1"/>
  <c r="CW233" i="1"/>
  <c r="CO233" i="1" s="1"/>
  <c r="CW234" i="1"/>
  <c r="CO234" i="1" s="1"/>
  <c r="CW235" i="1"/>
  <c r="CO235" i="1" s="1"/>
  <c r="CW236" i="1"/>
  <c r="CO236" i="1" s="1"/>
  <c r="CW237" i="1"/>
  <c r="CO237" i="1" s="1"/>
  <c r="CW238" i="1"/>
  <c r="CO238" i="1" s="1"/>
  <c r="CW239" i="1"/>
  <c r="CO239" i="1" s="1"/>
  <c r="CW240" i="1"/>
  <c r="CO240" i="1" s="1"/>
  <c r="CW241" i="1"/>
  <c r="CO241" i="1" s="1"/>
  <c r="CW242" i="1"/>
  <c r="CO242" i="1" s="1"/>
  <c r="CW243" i="1"/>
  <c r="CO243" i="1" s="1"/>
  <c r="CW244" i="1"/>
  <c r="CO244" i="1" s="1"/>
  <c r="CW245" i="1"/>
  <c r="CO245" i="1" s="1"/>
  <c r="CW246" i="1"/>
  <c r="CO246" i="1" s="1"/>
  <c r="CW247" i="1"/>
  <c r="CO247" i="1" s="1"/>
  <c r="CW248" i="1"/>
  <c r="CO248" i="1" s="1"/>
  <c r="CW249" i="1"/>
  <c r="CO249" i="1" s="1"/>
  <c r="CW250" i="1"/>
  <c r="CO250" i="1" s="1"/>
  <c r="CW251" i="1"/>
  <c r="CO251" i="1" s="1"/>
  <c r="CW252" i="1"/>
  <c r="CO252" i="1" s="1"/>
  <c r="CW253" i="1"/>
  <c r="CO253" i="1" s="1"/>
  <c r="CW254" i="1"/>
  <c r="CO254" i="1" s="1"/>
  <c r="CW255" i="1"/>
  <c r="CO255" i="1" s="1"/>
  <c r="CW256" i="1"/>
  <c r="CO256" i="1" s="1"/>
  <c r="CW257" i="1"/>
  <c r="CO257" i="1" s="1"/>
  <c r="CW258" i="1"/>
  <c r="CO258" i="1" s="1"/>
  <c r="CW259" i="1"/>
  <c r="CO259" i="1" s="1"/>
  <c r="CW260" i="1"/>
  <c r="CO260" i="1" s="1"/>
  <c r="CW261" i="1"/>
  <c r="CO261" i="1" s="1"/>
  <c r="CW262" i="1"/>
  <c r="CO262" i="1" s="1"/>
  <c r="CW263" i="1"/>
  <c r="CO263" i="1" s="1"/>
  <c r="CW264" i="1"/>
  <c r="CO264" i="1" s="1"/>
  <c r="CW265" i="1"/>
  <c r="CO265" i="1" s="1"/>
  <c r="CW266" i="1"/>
  <c r="CO266" i="1" s="1"/>
  <c r="CW267" i="1"/>
  <c r="CO267" i="1" s="1"/>
  <c r="CW268" i="1"/>
  <c r="CO268" i="1" s="1"/>
  <c r="CW269" i="1"/>
  <c r="CO269" i="1" s="1"/>
  <c r="CW270" i="1"/>
  <c r="CO270" i="1" s="1"/>
  <c r="CW271" i="1"/>
  <c r="CO271" i="1" s="1"/>
  <c r="CW272" i="1"/>
  <c r="CO272" i="1" s="1"/>
  <c r="CW273" i="1"/>
  <c r="CO273" i="1" s="1"/>
  <c r="CW274" i="1"/>
  <c r="CO274" i="1" s="1"/>
  <c r="CW275" i="1"/>
  <c r="CO275" i="1" s="1"/>
  <c r="CW276" i="1"/>
  <c r="CO276" i="1" s="1"/>
  <c r="CW277" i="1"/>
  <c r="CO277" i="1" s="1"/>
  <c r="CW278" i="1"/>
  <c r="CO278" i="1" s="1"/>
  <c r="CW279" i="1"/>
  <c r="CO279" i="1" s="1"/>
  <c r="CW280" i="1"/>
  <c r="CO280" i="1" s="1"/>
  <c r="CW281" i="1"/>
  <c r="CO281" i="1" s="1"/>
  <c r="CW282" i="1"/>
  <c r="CO282" i="1" s="1"/>
  <c r="CW283" i="1"/>
  <c r="CO283" i="1" s="1"/>
  <c r="CW284" i="1"/>
  <c r="CO284" i="1" s="1"/>
  <c r="CW285" i="1"/>
  <c r="CO285" i="1" s="1"/>
  <c r="CW286" i="1"/>
  <c r="CO286" i="1" s="1"/>
  <c r="CW287" i="1"/>
  <c r="CO287" i="1" s="1"/>
  <c r="CW288" i="1"/>
  <c r="CO288" i="1" s="1"/>
  <c r="CW289" i="1"/>
  <c r="CO289" i="1" s="1"/>
  <c r="CW290" i="1"/>
  <c r="CO290" i="1" s="1"/>
  <c r="CW291" i="1"/>
  <c r="CO291" i="1" s="1"/>
  <c r="CW292" i="1"/>
  <c r="CO292" i="1" s="1"/>
  <c r="CW293" i="1"/>
  <c r="CO293" i="1" s="1"/>
  <c r="CW294" i="1"/>
  <c r="CO294" i="1" s="1"/>
  <c r="CW295" i="1"/>
  <c r="CO295" i="1" s="1"/>
  <c r="CW296" i="1"/>
  <c r="CO296" i="1" s="1"/>
  <c r="CW297" i="1"/>
  <c r="CO297" i="1" s="1"/>
  <c r="CW298" i="1"/>
  <c r="CO298" i="1" s="1"/>
  <c r="CW299" i="1"/>
  <c r="CO299" i="1" s="1"/>
  <c r="CW300" i="1"/>
  <c r="CO300" i="1" s="1"/>
  <c r="CW301" i="1"/>
  <c r="CO301" i="1" s="1"/>
  <c r="CW302" i="1"/>
  <c r="CO302" i="1" s="1"/>
  <c r="CW303" i="1"/>
  <c r="CO303" i="1" s="1"/>
  <c r="CW304" i="1"/>
  <c r="CO304" i="1" s="1"/>
  <c r="CW305" i="1"/>
  <c r="CO305" i="1" s="1"/>
  <c r="CW306" i="1"/>
  <c r="CO306" i="1" s="1"/>
  <c r="CW307" i="1"/>
  <c r="CO307" i="1" s="1"/>
  <c r="CW308" i="1"/>
  <c r="CO308" i="1" s="1"/>
  <c r="CW309" i="1"/>
  <c r="CO309" i="1" s="1"/>
  <c r="CW310" i="1"/>
  <c r="CO310" i="1" s="1"/>
  <c r="CW311" i="1"/>
  <c r="CO311" i="1" s="1"/>
  <c r="CW312" i="1"/>
  <c r="CO312" i="1" s="1"/>
  <c r="CW313" i="1"/>
  <c r="CO313" i="1" s="1"/>
  <c r="CW314" i="1"/>
  <c r="CO314" i="1" s="1"/>
  <c r="CW315" i="1"/>
  <c r="CO315" i="1" s="1"/>
  <c r="CW316" i="1"/>
  <c r="CO316" i="1" s="1"/>
  <c r="CW317" i="1"/>
  <c r="CO317" i="1" s="1"/>
  <c r="CW318" i="1"/>
  <c r="CO318" i="1" s="1"/>
  <c r="CW319" i="1"/>
  <c r="CO319" i="1" s="1"/>
  <c r="CW320" i="1"/>
  <c r="CO320" i="1" s="1"/>
  <c r="CW321" i="1"/>
  <c r="CO321" i="1" s="1"/>
  <c r="CW322" i="1"/>
  <c r="CO322" i="1" s="1"/>
  <c r="CW323" i="1"/>
  <c r="CO323" i="1" s="1"/>
  <c r="CW324" i="1"/>
  <c r="CO324" i="1" s="1"/>
  <c r="CW325" i="1"/>
  <c r="CO325" i="1" s="1"/>
  <c r="CW326" i="1"/>
  <c r="CO326" i="1" s="1"/>
  <c r="CW327" i="1"/>
  <c r="CO327" i="1" s="1"/>
  <c r="CW328" i="1"/>
  <c r="CO328" i="1" s="1"/>
  <c r="CW329" i="1"/>
  <c r="CO329" i="1" s="1"/>
  <c r="CW330" i="1"/>
  <c r="CO330" i="1" s="1"/>
  <c r="CW331" i="1"/>
  <c r="CO331" i="1" s="1"/>
  <c r="CW332" i="1"/>
  <c r="CO332" i="1" s="1"/>
  <c r="CW333" i="1"/>
  <c r="CO333" i="1" s="1"/>
  <c r="CW334" i="1"/>
  <c r="CO334" i="1" s="1"/>
  <c r="CW335" i="1"/>
  <c r="CO335" i="1" s="1"/>
  <c r="CW336" i="1"/>
  <c r="CO336" i="1" s="1"/>
  <c r="CW337" i="1"/>
  <c r="CO337" i="1" s="1"/>
  <c r="CW338" i="1"/>
  <c r="CO338" i="1" s="1"/>
  <c r="CW339" i="1"/>
  <c r="CO339" i="1" s="1"/>
  <c r="CW340" i="1"/>
  <c r="CO340" i="1" s="1"/>
  <c r="CW341" i="1"/>
  <c r="CO341" i="1" s="1"/>
  <c r="CW342" i="1"/>
  <c r="CO342" i="1" s="1"/>
  <c r="CW343" i="1"/>
  <c r="CO343" i="1" s="1"/>
  <c r="CW344" i="1"/>
  <c r="CO344" i="1" s="1"/>
  <c r="CW345" i="1"/>
  <c r="CO345" i="1" s="1"/>
  <c r="CW346" i="1"/>
  <c r="CO346" i="1" s="1"/>
  <c r="CW347" i="1"/>
  <c r="CO347" i="1" s="1"/>
  <c r="CW348" i="1"/>
  <c r="CO348" i="1" s="1"/>
  <c r="CW349" i="1"/>
  <c r="CO349" i="1" s="1"/>
  <c r="CW350" i="1"/>
  <c r="CO350" i="1" s="1"/>
  <c r="CW351" i="1"/>
  <c r="CO351" i="1" s="1"/>
  <c r="CW352" i="1"/>
  <c r="CO352" i="1" s="1"/>
  <c r="CW353" i="1"/>
  <c r="CO353" i="1" s="1"/>
  <c r="CW354" i="1"/>
  <c r="CO354" i="1" s="1"/>
  <c r="CW355" i="1"/>
  <c r="CO355" i="1" s="1"/>
  <c r="CW356" i="1"/>
  <c r="CO356" i="1" s="1"/>
  <c r="CW357" i="1"/>
  <c r="CO357" i="1" s="1"/>
  <c r="CW358" i="1"/>
  <c r="CO358" i="1" s="1"/>
  <c r="CW359" i="1"/>
  <c r="CO359" i="1" s="1"/>
  <c r="CW360" i="1"/>
  <c r="CO360" i="1" s="1"/>
  <c r="CW361" i="1"/>
  <c r="CO361" i="1" s="1"/>
  <c r="CW362" i="1"/>
  <c r="CO362" i="1" s="1"/>
  <c r="CW363" i="1"/>
  <c r="CO363" i="1" s="1"/>
  <c r="CW364" i="1"/>
  <c r="CO364" i="1" s="1"/>
  <c r="CW365" i="1"/>
  <c r="CO365" i="1" s="1"/>
  <c r="CW366" i="1"/>
  <c r="CO366" i="1" s="1"/>
  <c r="CW367" i="1"/>
  <c r="CO367" i="1" s="1"/>
  <c r="CW368" i="1"/>
  <c r="CO368" i="1" s="1"/>
  <c r="CW369" i="1"/>
  <c r="CO369" i="1" s="1"/>
  <c r="CW370" i="1"/>
  <c r="CO370" i="1" s="1"/>
  <c r="CW371" i="1"/>
  <c r="CO371" i="1" s="1"/>
  <c r="CW372" i="1"/>
  <c r="CO372" i="1" s="1"/>
  <c r="CW373" i="1"/>
  <c r="CO373" i="1" s="1"/>
  <c r="CW374" i="1"/>
  <c r="CO374" i="1" s="1"/>
  <c r="CW375" i="1"/>
  <c r="CO375" i="1" s="1"/>
  <c r="CW376" i="1"/>
  <c r="CO376" i="1" s="1"/>
  <c r="CW377" i="1"/>
  <c r="CO377" i="1" s="1"/>
  <c r="CW378" i="1"/>
  <c r="CO378" i="1" s="1"/>
  <c r="CW379" i="1"/>
  <c r="CO379" i="1" s="1"/>
  <c r="CW380" i="1"/>
  <c r="CO380" i="1" s="1"/>
  <c r="CW381" i="1"/>
  <c r="CO381" i="1" s="1"/>
  <c r="CW382" i="1"/>
  <c r="CO382" i="1" s="1"/>
  <c r="CW383" i="1"/>
  <c r="CO383" i="1" s="1"/>
  <c r="CW384" i="1"/>
  <c r="CO384" i="1" s="1"/>
  <c r="CW385" i="1"/>
  <c r="CO385" i="1" s="1"/>
  <c r="CW386" i="1"/>
  <c r="CO386" i="1" s="1"/>
  <c r="CW387" i="1"/>
  <c r="CO387" i="1" s="1"/>
  <c r="CW388" i="1"/>
  <c r="CO388" i="1" s="1"/>
  <c r="CW389" i="1"/>
  <c r="CO389" i="1" s="1"/>
  <c r="CW390" i="1"/>
  <c r="CO390" i="1" s="1"/>
  <c r="CW391" i="1"/>
  <c r="CO391" i="1" s="1"/>
  <c r="CW392" i="1"/>
  <c r="CO392" i="1" s="1"/>
  <c r="CW393" i="1"/>
  <c r="CO393" i="1" s="1"/>
  <c r="CW394" i="1"/>
  <c r="CO394" i="1" s="1"/>
  <c r="CW395" i="1"/>
  <c r="CO395" i="1" s="1"/>
  <c r="CW396" i="1"/>
  <c r="CO396" i="1" s="1"/>
  <c r="CW397" i="1"/>
  <c r="CO397" i="1" s="1"/>
  <c r="CW398" i="1"/>
  <c r="CO398" i="1" s="1"/>
  <c r="CW399" i="1"/>
  <c r="CO399" i="1" s="1"/>
  <c r="CW400" i="1"/>
  <c r="CO400" i="1" s="1"/>
  <c r="CW401" i="1"/>
  <c r="CO401" i="1" s="1"/>
  <c r="CW402" i="1"/>
  <c r="CO402" i="1" s="1"/>
  <c r="CW403" i="1"/>
  <c r="CO403" i="1" s="1"/>
  <c r="CW404" i="1"/>
  <c r="CO404" i="1" s="1"/>
  <c r="CW405" i="1"/>
  <c r="CO405" i="1" s="1"/>
  <c r="CW406" i="1"/>
  <c r="CO406" i="1" s="1"/>
  <c r="CW407" i="1"/>
  <c r="CO407" i="1" s="1"/>
  <c r="CW408" i="1"/>
  <c r="CO408" i="1" s="1"/>
  <c r="CW409" i="1"/>
  <c r="CO409" i="1" s="1"/>
  <c r="CW410" i="1"/>
  <c r="CO410" i="1" s="1"/>
  <c r="CW411" i="1"/>
  <c r="CO411" i="1" s="1"/>
  <c r="CW412" i="1"/>
  <c r="CO412" i="1" s="1"/>
  <c r="CW413" i="1"/>
  <c r="CO413" i="1" s="1"/>
  <c r="CW414" i="1"/>
  <c r="CO414" i="1" s="1"/>
  <c r="CW415" i="1"/>
  <c r="CO415" i="1" s="1"/>
  <c r="CW416" i="1"/>
  <c r="CO416" i="1" s="1"/>
  <c r="CW417" i="1"/>
  <c r="CO417" i="1" s="1"/>
  <c r="CW418" i="1"/>
  <c r="CO418" i="1" s="1"/>
  <c r="CW419" i="1"/>
  <c r="CO419" i="1" s="1"/>
  <c r="CW420" i="1"/>
  <c r="CO420" i="1" s="1"/>
  <c r="CW421" i="1"/>
  <c r="CO421" i="1" s="1"/>
  <c r="CW422" i="1"/>
  <c r="CO422" i="1" s="1"/>
  <c r="CW423" i="1"/>
  <c r="CO423" i="1" s="1"/>
  <c r="CW424" i="1"/>
  <c r="CO424" i="1" s="1"/>
  <c r="CW425" i="1"/>
  <c r="CO425" i="1" s="1"/>
  <c r="CW426" i="1"/>
  <c r="CO426" i="1" s="1"/>
  <c r="CW427" i="1"/>
  <c r="CO427" i="1" s="1"/>
  <c r="CW428" i="1"/>
  <c r="CO428" i="1" s="1"/>
  <c r="CW429" i="1"/>
  <c r="CO429" i="1" s="1"/>
  <c r="CW430" i="1"/>
  <c r="CO430" i="1" s="1"/>
  <c r="CW431" i="1"/>
  <c r="CO431" i="1" s="1"/>
  <c r="CW432" i="1"/>
  <c r="CO432" i="1" s="1"/>
  <c r="CW433" i="1"/>
  <c r="CO433" i="1" s="1"/>
  <c r="CW434" i="1"/>
  <c r="CO434" i="1" s="1"/>
  <c r="CW435" i="1"/>
  <c r="CO435" i="1" s="1"/>
  <c r="CW436" i="1"/>
  <c r="CO436" i="1" s="1"/>
  <c r="CW437" i="1"/>
  <c r="CO437" i="1" s="1"/>
  <c r="CW438" i="1"/>
  <c r="CO438" i="1" s="1"/>
  <c r="CW439" i="1"/>
  <c r="CO439" i="1" s="1"/>
  <c r="CW440" i="1"/>
  <c r="CO440" i="1" s="1"/>
  <c r="CW441" i="1"/>
  <c r="CO441" i="1" s="1"/>
  <c r="CW442" i="1"/>
  <c r="CO442" i="1" s="1"/>
  <c r="CW443" i="1"/>
  <c r="CO443" i="1" s="1"/>
  <c r="CW444" i="1"/>
  <c r="CO444" i="1" s="1"/>
  <c r="CW445" i="1"/>
  <c r="CO445" i="1" s="1"/>
  <c r="CW446" i="1"/>
  <c r="CO446" i="1" s="1"/>
  <c r="CW447" i="1"/>
  <c r="CO447" i="1" s="1"/>
  <c r="CW448" i="1"/>
  <c r="CO448" i="1" s="1"/>
  <c r="CW449" i="1"/>
  <c r="CO449" i="1" s="1"/>
  <c r="CW450" i="1"/>
  <c r="CO450" i="1" s="1"/>
  <c r="CW451" i="1"/>
  <c r="CO451" i="1" s="1"/>
  <c r="CW452" i="1"/>
  <c r="CO452" i="1" s="1"/>
  <c r="CW453" i="1"/>
  <c r="CO453" i="1" s="1"/>
  <c r="CW454" i="1"/>
  <c r="CO454" i="1" s="1"/>
  <c r="CW455" i="1"/>
  <c r="CO455" i="1" s="1"/>
  <c r="CW456" i="1"/>
  <c r="CO456" i="1" s="1"/>
  <c r="CW457" i="1"/>
  <c r="CO457" i="1" s="1"/>
  <c r="CW458" i="1"/>
  <c r="CO458" i="1" s="1"/>
  <c r="CW459" i="1"/>
  <c r="CO459" i="1" s="1"/>
  <c r="CW460" i="1"/>
  <c r="CO460" i="1" s="1"/>
  <c r="CW461" i="1"/>
  <c r="CO461" i="1" s="1"/>
  <c r="CW462" i="1"/>
  <c r="CO462" i="1" s="1"/>
  <c r="CW463" i="1"/>
  <c r="CO463" i="1" s="1"/>
  <c r="CW464" i="1"/>
  <c r="CO464" i="1" s="1"/>
  <c r="CW465" i="1"/>
  <c r="CO465" i="1" s="1"/>
  <c r="CW466" i="1"/>
  <c r="CO466" i="1" s="1"/>
  <c r="CW467" i="1"/>
  <c r="CO467" i="1" s="1"/>
  <c r="CW468" i="1"/>
  <c r="CO468" i="1" s="1"/>
  <c r="CW469" i="1"/>
  <c r="CO469" i="1" s="1"/>
  <c r="CW470" i="1"/>
  <c r="CO470" i="1" s="1"/>
  <c r="CW471" i="1"/>
  <c r="CO471" i="1" s="1"/>
  <c r="CW472" i="1"/>
  <c r="CO472" i="1" s="1"/>
  <c r="CW473" i="1"/>
  <c r="CO473" i="1" s="1"/>
  <c r="CW474" i="1"/>
  <c r="CO474" i="1" s="1"/>
  <c r="CW475" i="1"/>
  <c r="CO475" i="1" s="1"/>
  <c r="CW476" i="1"/>
  <c r="CO476" i="1" s="1"/>
  <c r="CW477" i="1"/>
  <c r="CO477" i="1" s="1"/>
  <c r="CW478" i="1"/>
  <c r="CO478" i="1" s="1"/>
  <c r="CW479" i="1"/>
  <c r="CO479" i="1" s="1"/>
  <c r="CW480" i="1"/>
  <c r="CO480" i="1" s="1"/>
  <c r="CW481" i="1"/>
  <c r="CO481" i="1" s="1"/>
  <c r="CW482" i="1"/>
  <c r="CO482" i="1" s="1"/>
  <c r="CW483" i="1"/>
  <c r="CO483" i="1" s="1"/>
  <c r="CW484" i="1"/>
  <c r="CO484" i="1" s="1"/>
  <c r="CW485" i="1"/>
  <c r="CO485" i="1" s="1"/>
  <c r="CW486" i="1"/>
  <c r="CO486" i="1" s="1"/>
  <c r="CW487" i="1"/>
  <c r="CO487" i="1" s="1"/>
  <c r="CW488" i="1"/>
  <c r="CO488" i="1" s="1"/>
  <c r="CW489" i="1"/>
  <c r="CO489" i="1" s="1"/>
  <c r="CW490" i="1"/>
  <c r="CO490" i="1" s="1"/>
  <c r="CW491" i="1"/>
  <c r="CO491" i="1" s="1"/>
  <c r="CW492" i="1"/>
  <c r="CO492" i="1" s="1"/>
  <c r="CW493" i="1"/>
  <c r="CO493" i="1" s="1"/>
  <c r="CW494" i="1"/>
  <c r="CO494" i="1" s="1"/>
  <c r="CW495" i="1"/>
  <c r="CO495" i="1" s="1"/>
  <c r="CW496" i="1"/>
  <c r="CO496" i="1" s="1"/>
  <c r="CW497" i="1"/>
  <c r="CO497" i="1" s="1"/>
  <c r="CW498" i="1"/>
  <c r="CO498" i="1" s="1"/>
  <c r="CW499" i="1"/>
  <c r="CO499" i="1" s="1"/>
  <c r="CW500" i="1"/>
  <c r="CO500" i="1" s="1"/>
  <c r="CW501" i="1"/>
  <c r="CO501" i="1" s="1"/>
  <c r="CW502" i="1"/>
  <c r="CO502" i="1" s="1"/>
  <c r="CW503" i="1"/>
  <c r="CO503" i="1" s="1"/>
  <c r="CW504" i="1"/>
  <c r="CO504" i="1" s="1"/>
  <c r="CW505" i="1"/>
  <c r="CO505" i="1" s="1"/>
  <c r="CW506" i="1"/>
  <c r="CO506" i="1" s="1"/>
  <c r="CW507" i="1"/>
  <c r="CO507" i="1" s="1"/>
  <c r="CW508" i="1"/>
  <c r="CO508" i="1" s="1"/>
  <c r="CW509" i="1"/>
  <c r="CO509" i="1" s="1"/>
  <c r="CW510" i="1"/>
  <c r="CO510" i="1" s="1"/>
  <c r="CW511" i="1"/>
  <c r="CO511" i="1" s="1"/>
  <c r="CW512" i="1"/>
  <c r="CO512" i="1" s="1"/>
  <c r="CW513" i="1"/>
  <c r="CO513" i="1" s="1"/>
  <c r="CW514" i="1"/>
  <c r="CO514" i="1" s="1"/>
  <c r="CW515" i="1"/>
  <c r="CO515" i="1" s="1"/>
  <c r="CW516" i="1"/>
  <c r="CO516" i="1" s="1"/>
  <c r="CW517" i="1"/>
  <c r="CO517" i="1" s="1"/>
  <c r="CW518" i="1"/>
  <c r="CO518" i="1" s="1"/>
  <c r="CW519" i="1"/>
  <c r="CO519" i="1" s="1"/>
  <c r="CW520" i="1"/>
  <c r="CO520" i="1" s="1"/>
  <c r="CW521" i="1"/>
  <c r="CO521" i="1" s="1"/>
  <c r="CW522" i="1"/>
  <c r="CO522" i="1" s="1"/>
  <c r="CW523" i="1"/>
  <c r="CO523" i="1" s="1"/>
  <c r="CW524" i="1"/>
  <c r="CO524" i="1" s="1"/>
  <c r="CW525" i="1"/>
  <c r="CO525" i="1" s="1"/>
  <c r="CW526" i="1"/>
  <c r="CO526" i="1" s="1"/>
  <c r="CW527" i="1"/>
  <c r="CO527" i="1" s="1"/>
  <c r="CW528" i="1"/>
  <c r="CO528" i="1" s="1"/>
  <c r="CW529" i="1"/>
  <c r="CO529" i="1" s="1"/>
  <c r="CW530" i="1"/>
  <c r="CO530" i="1" s="1"/>
  <c r="CW531" i="1"/>
  <c r="CU531" i="1" s="1"/>
  <c r="CW532" i="1"/>
  <c r="CO532" i="1" s="1"/>
  <c r="CW533" i="1"/>
  <c r="CO533" i="1" s="1"/>
  <c r="CW534" i="1"/>
  <c r="CO534" i="1" s="1"/>
  <c r="CW535" i="1"/>
  <c r="CO535" i="1" s="1"/>
  <c r="CW536" i="1"/>
  <c r="CO536" i="1" s="1"/>
  <c r="CW537" i="1"/>
  <c r="CO537" i="1" s="1"/>
  <c r="CW538" i="1"/>
  <c r="CO538" i="1" s="1"/>
  <c r="CW539" i="1"/>
  <c r="CO539" i="1" s="1"/>
  <c r="CW540" i="1"/>
  <c r="CO540" i="1" s="1"/>
  <c r="CW541" i="1"/>
  <c r="CO541" i="1" s="1"/>
  <c r="CW542" i="1"/>
  <c r="CO542" i="1" s="1"/>
  <c r="CW543" i="1"/>
  <c r="CO543" i="1" s="1"/>
  <c r="CW544" i="1"/>
  <c r="CO544" i="1" s="1"/>
  <c r="CW545" i="1"/>
  <c r="CO545" i="1" s="1"/>
  <c r="CW546" i="1"/>
  <c r="CO546" i="1" s="1"/>
  <c r="CW547" i="1"/>
  <c r="CO547" i="1" s="1"/>
  <c r="CW548" i="1"/>
  <c r="CO548" i="1" s="1"/>
  <c r="CW549" i="1"/>
  <c r="CO549" i="1" s="1"/>
  <c r="CW550" i="1"/>
  <c r="CO550" i="1" s="1"/>
  <c r="CW551" i="1"/>
  <c r="CO551" i="1" s="1"/>
  <c r="CW552" i="1"/>
  <c r="CO552" i="1" s="1"/>
  <c r="CW553" i="1"/>
  <c r="CO553" i="1" s="1"/>
  <c r="CW554" i="1"/>
  <c r="CO554" i="1" s="1"/>
  <c r="CW555" i="1"/>
  <c r="CO555" i="1" s="1"/>
  <c r="CW556" i="1"/>
  <c r="CO556" i="1" s="1"/>
  <c r="CW557" i="1"/>
  <c r="CO557" i="1" s="1"/>
  <c r="CW558" i="1"/>
  <c r="CO558" i="1" s="1"/>
  <c r="CW559" i="1"/>
  <c r="CU559" i="1" s="1"/>
  <c r="CW560" i="1"/>
  <c r="CO560" i="1" s="1"/>
  <c r="CW561" i="1"/>
  <c r="CO561" i="1" s="1"/>
  <c r="CW562" i="1"/>
  <c r="CO562" i="1" s="1"/>
  <c r="CW563" i="1"/>
  <c r="CO563" i="1" s="1"/>
  <c r="CW564" i="1"/>
  <c r="CO564" i="1" s="1"/>
  <c r="CW565" i="1"/>
  <c r="CO565" i="1" s="1"/>
  <c r="CW566" i="1"/>
  <c r="CO566" i="1" s="1"/>
  <c r="CW567" i="1"/>
  <c r="CO567" i="1" s="1"/>
  <c r="CW568" i="1"/>
  <c r="CO568" i="1" s="1"/>
  <c r="CW569" i="1"/>
  <c r="CU569" i="1" s="1"/>
  <c r="CW570" i="1"/>
  <c r="CO570" i="1" s="1"/>
  <c r="CW571" i="1"/>
  <c r="CO571" i="1" s="1"/>
  <c r="CW572" i="1"/>
  <c r="CO572" i="1" s="1"/>
  <c r="CW573" i="1"/>
  <c r="CO573" i="1" s="1"/>
  <c r="CW574" i="1"/>
  <c r="CO574" i="1" s="1"/>
  <c r="CW575" i="1"/>
  <c r="CO575" i="1" s="1"/>
  <c r="CW576" i="1"/>
  <c r="CO576" i="1" s="1"/>
  <c r="CW577" i="1"/>
  <c r="CO577" i="1" s="1"/>
  <c r="CW578" i="1"/>
  <c r="CO578" i="1" s="1"/>
  <c r="CW579" i="1"/>
  <c r="CO579" i="1" s="1"/>
  <c r="CW580" i="1"/>
  <c r="CO580" i="1" s="1"/>
  <c r="CW581" i="1"/>
  <c r="CO581" i="1" s="1"/>
  <c r="CW582" i="1"/>
  <c r="CO582" i="1" s="1"/>
  <c r="CW583" i="1"/>
  <c r="CO583" i="1" s="1"/>
  <c r="CW584" i="1"/>
  <c r="CO584" i="1" s="1"/>
  <c r="CW585" i="1"/>
  <c r="CO585" i="1" s="1"/>
  <c r="CW586" i="1"/>
  <c r="CO586" i="1" s="1"/>
  <c r="CW587" i="1"/>
  <c r="CO587" i="1" s="1"/>
  <c r="CW588" i="1"/>
  <c r="CO588" i="1" s="1"/>
  <c r="CW589" i="1"/>
  <c r="CO589" i="1" s="1"/>
  <c r="CW590" i="1"/>
  <c r="CO590" i="1" s="1"/>
  <c r="CW591" i="1"/>
  <c r="CO591" i="1" s="1"/>
  <c r="CW592" i="1"/>
  <c r="CO592" i="1" s="1"/>
  <c r="CW593" i="1"/>
  <c r="CO593" i="1" s="1"/>
  <c r="CW594" i="1"/>
  <c r="CO594" i="1" s="1"/>
  <c r="CW595" i="1"/>
  <c r="CO595" i="1" s="1"/>
  <c r="CW596" i="1"/>
  <c r="CO596" i="1" s="1"/>
  <c r="CW597" i="1"/>
  <c r="CO597" i="1" s="1"/>
  <c r="CW598" i="1"/>
  <c r="CO598" i="1" s="1"/>
  <c r="CW599" i="1"/>
  <c r="CO599" i="1" s="1"/>
  <c r="CW600" i="1"/>
  <c r="CO600" i="1" s="1"/>
  <c r="CW601" i="1"/>
  <c r="CO601" i="1" s="1"/>
  <c r="CW602" i="1"/>
  <c r="CO602" i="1" s="1"/>
  <c r="CW603" i="1"/>
  <c r="CO603" i="1" s="1"/>
  <c r="CW604" i="1"/>
  <c r="CO604" i="1" s="1"/>
  <c r="CW605" i="1"/>
  <c r="CO605" i="1" s="1"/>
  <c r="CW606" i="1"/>
  <c r="CO606" i="1" s="1"/>
  <c r="CW607" i="1"/>
  <c r="CO607" i="1" s="1"/>
  <c r="CW608" i="1"/>
  <c r="CO608" i="1" s="1"/>
  <c r="CW609" i="1"/>
  <c r="CO609" i="1" s="1"/>
  <c r="CW610" i="1"/>
  <c r="CO610" i="1" s="1"/>
  <c r="CW611" i="1"/>
  <c r="CO611" i="1" s="1"/>
  <c r="CW612" i="1"/>
  <c r="CO612" i="1" s="1"/>
  <c r="CW613" i="1"/>
  <c r="CO613" i="1" s="1"/>
  <c r="CW614" i="1"/>
  <c r="CU614" i="1" s="1"/>
  <c r="CW615" i="1"/>
  <c r="CU615" i="1" s="1"/>
  <c r="CW616" i="1"/>
  <c r="CO616" i="1" s="1"/>
  <c r="CW617" i="1"/>
  <c r="CO617" i="1" s="1"/>
  <c r="CW618" i="1"/>
  <c r="CO618" i="1" s="1"/>
  <c r="CW619" i="1"/>
  <c r="CO619" i="1" s="1"/>
  <c r="CW620" i="1"/>
  <c r="CO620" i="1" s="1"/>
  <c r="CW621" i="1"/>
  <c r="CO621" i="1" s="1"/>
  <c r="CW622" i="1"/>
  <c r="CO622" i="1" s="1"/>
  <c r="CW623" i="1"/>
  <c r="CO623" i="1" s="1"/>
  <c r="CW624" i="1"/>
  <c r="CO624" i="1" s="1"/>
  <c r="CW625" i="1"/>
  <c r="CO625" i="1" s="1"/>
  <c r="CW626" i="1"/>
  <c r="CO626" i="1" s="1"/>
  <c r="CW627" i="1"/>
  <c r="CO627" i="1" s="1"/>
  <c r="CW628" i="1"/>
  <c r="CO628" i="1" s="1"/>
  <c r="CW629" i="1"/>
  <c r="CO629" i="1" s="1"/>
  <c r="CW630" i="1"/>
  <c r="CO630" i="1" s="1"/>
  <c r="CW631" i="1"/>
  <c r="CO631" i="1" s="1"/>
  <c r="CW632" i="1"/>
  <c r="CO632" i="1" s="1"/>
  <c r="CW633" i="1"/>
  <c r="CO633" i="1" s="1"/>
  <c r="CW634" i="1"/>
  <c r="CO634" i="1" s="1"/>
  <c r="CW635" i="1"/>
  <c r="CO635" i="1" s="1"/>
  <c r="CW636" i="1"/>
  <c r="CO636" i="1" s="1"/>
  <c r="CW637" i="1"/>
  <c r="CO637" i="1" s="1"/>
  <c r="CW638" i="1"/>
  <c r="CO638" i="1" s="1"/>
  <c r="CW639" i="1"/>
  <c r="CO639" i="1" s="1"/>
  <c r="CW640" i="1"/>
  <c r="CO640" i="1" s="1"/>
  <c r="CW641" i="1"/>
  <c r="CO641" i="1" s="1"/>
  <c r="CW642" i="1"/>
  <c r="CU642" i="1" s="1"/>
  <c r="CW643" i="1"/>
  <c r="CU643" i="1" s="1"/>
  <c r="CW644" i="1"/>
  <c r="CO644" i="1" s="1"/>
  <c r="CW645" i="1"/>
  <c r="CO645" i="1" s="1"/>
  <c r="CW646" i="1"/>
  <c r="CO646" i="1" s="1"/>
  <c r="CW647" i="1"/>
  <c r="CO647" i="1" s="1"/>
  <c r="CW648" i="1"/>
  <c r="CO648" i="1" s="1"/>
  <c r="CW649" i="1"/>
  <c r="CO649" i="1" s="1"/>
  <c r="CW650" i="1"/>
  <c r="CO650" i="1" s="1"/>
  <c r="CW651" i="1"/>
  <c r="CO651" i="1" s="1"/>
  <c r="CW652" i="1"/>
  <c r="CO652" i="1" s="1"/>
  <c r="CW653" i="1"/>
  <c r="CO653" i="1" s="1"/>
  <c r="CW654" i="1"/>
  <c r="CO654" i="1" s="1"/>
  <c r="CW655" i="1"/>
  <c r="CO655" i="1" s="1"/>
  <c r="CW656" i="1"/>
  <c r="CU656" i="1" s="1"/>
  <c r="CW657" i="1"/>
  <c r="CO657" i="1" s="1"/>
  <c r="CW658" i="1"/>
  <c r="CO658" i="1" s="1"/>
  <c r="CW659" i="1"/>
  <c r="CO659" i="1" s="1"/>
  <c r="CW660" i="1"/>
  <c r="CO660" i="1" s="1"/>
  <c r="CW661" i="1"/>
  <c r="CO661" i="1" s="1"/>
  <c r="CW662" i="1"/>
  <c r="CO662" i="1" s="1"/>
  <c r="CW663" i="1"/>
  <c r="CO663" i="1" s="1"/>
  <c r="CW664" i="1"/>
  <c r="CO664" i="1" s="1"/>
  <c r="CW665" i="1"/>
  <c r="CO665" i="1" s="1"/>
  <c r="CW666" i="1"/>
  <c r="CU666" i="1" s="1"/>
  <c r="CW667" i="1"/>
  <c r="CU667" i="1" s="1"/>
  <c r="CW668" i="1"/>
  <c r="CO668" i="1" s="1"/>
  <c r="CW669" i="1"/>
  <c r="CU669" i="1" s="1"/>
  <c r="CW670" i="1"/>
  <c r="CO670" i="1" s="1"/>
  <c r="CW671" i="1"/>
  <c r="CO671" i="1" s="1"/>
  <c r="CW672" i="1"/>
  <c r="CO672" i="1" s="1"/>
  <c r="CW673" i="1"/>
  <c r="CO673" i="1" s="1"/>
  <c r="CW674" i="1"/>
  <c r="CO674" i="1" s="1"/>
  <c r="CW675" i="1"/>
  <c r="CO675" i="1" s="1"/>
  <c r="CW676" i="1"/>
  <c r="CO676" i="1" s="1"/>
  <c r="CW677" i="1"/>
  <c r="CO677" i="1" s="1"/>
  <c r="CW678" i="1"/>
  <c r="CO678" i="1" s="1"/>
  <c r="CW679" i="1"/>
  <c r="CO679" i="1" s="1"/>
  <c r="CW680" i="1"/>
  <c r="CO680" i="1" s="1"/>
  <c r="CW681" i="1"/>
  <c r="CO681" i="1" s="1"/>
  <c r="CW682" i="1"/>
  <c r="CO682" i="1" s="1"/>
  <c r="CW683" i="1"/>
  <c r="CO683" i="1" s="1"/>
  <c r="CW684" i="1"/>
  <c r="CU684" i="1" s="1"/>
  <c r="CW685" i="1"/>
  <c r="CU685" i="1" s="1"/>
  <c r="CW686" i="1"/>
  <c r="CO686" i="1" s="1"/>
  <c r="CW687" i="1"/>
  <c r="CO687" i="1" s="1"/>
  <c r="CW688" i="1"/>
  <c r="CO688" i="1" s="1"/>
  <c r="CW689" i="1"/>
  <c r="CO689" i="1" s="1"/>
  <c r="CW690" i="1"/>
  <c r="CO690" i="1" s="1"/>
  <c r="CW691" i="1"/>
  <c r="CO691" i="1" s="1"/>
  <c r="CW692" i="1"/>
  <c r="CO692" i="1" s="1"/>
  <c r="CW693" i="1"/>
  <c r="CU693" i="1" s="1"/>
  <c r="CW694" i="1"/>
  <c r="CU694" i="1" s="1"/>
  <c r="CW695" i="1"/>
  <c r="CO695" i="1" s="1"/>
  <c r="CW696" i="1"/>
  <c r="CU696" i="1" s="1"/>
  <c r="CW697" i="1"/>
  <c r="CU697" i="1" s="1"/>
  <c r="CW698" i="1"/>
  <c r="CU698" i="1" s="1"/>
  <c r="CW699" i="1"/>
  <c r="CO699" i="1" s="1"/>
  <c r="CW700" i="1"/>
  <c r="CO700" i="1" s="1"/>
  <c r="CW701" i="1"/>
  <c r="CO701" i="1" s="1"/>
  <c r="CW702" i="1"/>
  <c r="CO702" i="1" s="1"/>
  <c r="CW703" i="1"/>
  <c r="CO703" i="1" s="1"/>
  <c r="CW704" i="1"/>
  <c r="CO704" i="1" s="1"/>
  <c r="CW705" i="1"/>
  <c r="CO705" i="1" s="1"/>
  <c r="CW706" i="1"/>
  <c r="CO706" i="1" s="1"/>
  <c r="CW707" i="1"/>
  <c r="CO707" i="1" s="1"/>
  <c r="CW708" i="1"/>
  <c r="CO708" i="1" s="1"/>
  <c r="CW709" i="1"/>
  <c r="CO709" i="1" s="1"/>
  <c r="CW710" i="1"/>
  <c r="CO710" i="1" s="1"/>
  <c r="CW711" i="1"/>
  <c r="CO711" i="1" s="1"/>
  <c r="CW712" i="1"/>
  <c r="CO712" i="1" s="1"/>
  <c r="CW713" i="1"/>
  <c r="CU713" i="1" s="1"/>
  <c r="CW714" i="1"/>
  <c r="CO714" i="1" s="1"/>
  <c r="CW715" i="1"/>
  <c r="CO715" i="1" s="1"/>
  <c r="CW716" i="1"/>
  <c r="CO716" i="1" s="1"/>
  <c r="CW717" i="1"/>
  <c r="CO717" i="1" s="1"/>
  <c r="CW718" i="1"/>
  <c r="CO718" i="1" s="1"/>
  <c r="CW719" i="1"/>
  <c r="CO719" i="1" s="1"/>
  <c r="CW720" i="1"/>
  <c r="CO720" i="1" s="1"/>
  <c r="CW721" i="1"/>
  <c r="CO721" i="1" s="1"/>
  <c r="CW722" i="1"/>
  <c r="CO722" i="1" s="1"/>
  <c r="CW723" i="1"/>
  <c r="CO723" i="1" s="1"/>
  <c r="CW724" i="1"/>
  <c r="CO724" i="1" s="1"/>
  <c r="CW725" i="1"/>
  <c r="CO725" i="1" s="1"/>
  <c r="CW726" i="1"/>
  <c r="CU726" i="1" s="1"/>
  <c r="CW727" i="1"/>
  <c r="CO727" i="1" s="1"/>
  <c r="CW728" i="1"/>
  <c r="CO728" i="1" s="1"/>
  <c r="CW729" i="1"/>
  <c r="CO729" i="1" s="1"/>
  <c r="CW730" i="1"/>
  <c r="CO730" i="1" s="1"/>
  <c r="CW731" i="1"/>
  <c r="CO731" i="1" s="1"/>
  <c r="CW732" i="1"/>
  <c r="CO732" i="1" s="1"/>
  <c r="CW733" i="1"/>
  <c r="CO733" i="1" s="1"/>
  <c r="CW734" i="1"/>
  <c r="CO734" i="1" s="1"/>
  <c r="CW735" i="1"/>
  <c r="CO735" i="1" s="1"/>
  <c r="CW736" i="1"/>
  <c r="CO736" i="1" s="1"/>
  <c r="CW737" i="1"/>
  <c r="CO737" i="1" s="1"/>
  <c r="CW738" i="1"/>
  <c r="CO738" i="1" s="1"/>
  <c r="CW739" i="1"/>
  <c r="CU739" i="1" s="1"/>
  <c r="CW740" i="1"/>
  <c r="CU740" i="1" s="1"/>
  <c r="CW741" i="1"/>
  <c r="CO741" i="1" s="1"/>
  <c r="CW742" i="1"/>
  <c r="CO742" i="1" s="1"/>
  <c r="CW743" i="1"/>
  <c r="CO743" i="1" s="1"/>
  <c r="CW744" i="1"/>
  <c r="CO744" i="1" s="1"/>
  <c r="CW745" i="1"/>
  <c r="CO745" i="1" s="1"/>
  <c r="CW746" i="1"/>
  <c r="CO746" i="1" s="1"/>
  <c r="CW747" i="1"/>
  <c r="CO747" i="1" s="1"/>
  <c r="CW6" i="1"/>
  <c r="CU7" i="1"/>
  <c r="CU21" i="1"/>
  <c r="CU22" i="1"/>
  <c r="CU34" i="1"/>
  <c r="CU35" i="1"/>
  <c r="CU49" i="1"/>
  <c r="CU62" i="1"/>
  <c r="CU63" i="1"/>
  <c r="CU70" i="1"/>
  <c r="CU77" i="1"/>
  <c r="CU91" i="1"/>
  <c r="CU98" i="1"/>
  <c r="CU104" i="1"/>
  <c r="CU105" i="1"/>
  <c r="CU118" i="1"/>
  <c r="CU119" i="1"/>
  <c r="CU132" i="1"/>
  <c r="CU133" i="1"/>
  <c r="CU146" i="1"/>
  <c r="CU147" i="1"/>
  <c r="CU154" i="1"/>
  <c r="CU161" i="1"/>
  <c r="CU174" i="1"/>
  <c r="CU175" i="1"/>
  <c r="CU189" i="1"/>
  <c r="CU203" i="1"/>
  <c r="CU210" i="1"/>
  <c r="CU217" i="1"/>
  <c r="CU314" i="1"/>
  <c r="CU316" i="1"/>
  <c r="CU328" i="1"/>
  <c r="CU412" i="1"/>
  <c r="CU442" i="1"/>
  <c r="CU456" i="1"/>
  <c r="CU512" i="1"/>
  <c r="CU526" i="1"/>
  <c r="CU651" i="1"/>
  <c r="CV18" i="1"/>
  <c r="CV24" i="1"/>
  <c r="CV81" i="1"/>
  <c r="CV82" i="1"/>
  <c r="CV182" i="1"/>
  <c r="CV185" i="1"/>
  <c r="CV196" i="1"/>
  <c r="CV224" i="1"/>
  <c r="CV225" i="1"/>
  <c r="CV227" i="1"/>
  <c r="CV261" i="1"/>
  <c r="CV262" i="1"/>
  <c r="CV263" i="1"/>
  <c r="CV288" i="1"/>
  <c r="CV290" i="1"/>
  <c r="CV303" i="1"/>
  <c r="CV331" i="1"/>
  <c r="CV344" i="1"/>
  <c r="CV345" i="1"/>
  <c r="CV373" i="1"/>
  <c r="CV415" i="1"/>
  <c r="CV457" i="1"/>
  <c r="CV485" i="1"/>
  <c r="CV486" i="1"/>
  <c r="CV498" i="1"/>
  <c r="CV499" i="1"/>
  <c r="CV526" i="1"/>
  <c r="CV527" i="1"/>
  <c r="CV569" i="1"/>
  <c r="CV611" i="1"/>
  <c r="CV639" i="1"/>
  <c r="CV653" i="1"/>
  <c r="CV680" i="1"/>
  <c r="CV722" i="1"/>
  <c r="CV723" i="1"/>
  <c r="CV724" i="1"/>
  <c r="CS538" i="1"/>
  <c r="CS539" i="1"/>
  <c r="CS540" i="1"/>
  <c r="CS541" i="1"/>
  <c r="CS542" i="1"/>
  <c r="CS543" i="1"/>
  <c r="CS544" i="1"/>
  <c r="CS545" i="1"/>
  <c r="CS546" i="1"/>
  <c r="CS547" i="1"/>
  <c r="CS548" i="1"/>
  <c r="CS549" i="1"/>
  <c r="CS550" i="1"/>
  <c r="CS551" i="1"/>
  <c r="CS552" i="1"/>
  <c r="CS553" i="1"/>
  <c r="CS554" i="1"/>
  <c r="CS555" i="1"/>
  <c r="CS556" i="1"/>
  <c r="CS557" i="1"/>
  <c r="CS558" i="1"/>
  <c r="CS559" i="1"/>
  <c r="CS560" i="1"/>
  <c r="CS561" i="1"/>
  <c r="CS562" i="1"/>
  <c r="CS563" i="1"/>
  <c r="CS564" i="1"/>
  <c r="CS565" i="1"/>
  <c r="CS566" i="1"/>
  <c r="CS567" i="1"/>
  <c r="CS568" i="1"/>
  <c r="CS569" i="1"/>
  <c r="CS570" i="1"/>
  <c r="CS571" i="1"/>
  <c r="CS572" i="1"/>
  <c r="CS573" i="1"/>
  <c r="CS574" i="1"/>
  <c r="CS575" i="1"/>
  <c r="CS576" i="1"/>
  <c r="CS577" i="1"/>
  <c r="CS578" i="1"/>
  <c r="CS579" i="1"/>
  <c r="CS580" i="1"/>
  <c r="CS581" i="1"/>
  <c r="CS582" i="1"/>
  <c r="CS583" i="1"/>
  <c r="CS584" i="1"/>
  <c r="CS585" i="1"/>
  <c r="CS586" i="1"/>
  <c r="CS587" i="1"/>
  <c r="CS588" i="1"/>
  <c r="CS589" i="1"/>
  <c r="CS590" i="1"/>
  <c r="CS591" i="1"/>
  <c r="CS592" i="1"/>
  <c r="CS593" i="1"/>
  <c r="CS594" i="1"/>
  <c r="CS595" i="1"/>
  <c r="CS596" i="1"/>
  <c r="CS597" i="1"/>
  <c r="CS598" i="1"/>
  <c r="CS599" i="1"/>
  <c r="CS600" i="1"/>
  <c r="CS601" i="1"/>
  <c r="CS602" i="1"/>
  <c r="CS603" i="1"/>
  <c r="CS604" i="1"/>
  <c r="CS605" i="1"/>
  <c r="CS606" i="1"/>
  <c r="CS607" i="1"/>
  <c r="CS608" i="1"/>
  <c r="CS609" i="1"/>
  <c r="CS610" i="1"/>
  <c r="CS611" i="1"/>
  <c r="CS612" i="1"/>
  <c r="CS613" i="1"/>
  <c r="CS614" i="1"/>
  <c r="CS615" i="1"/>
  <c r="CS616" i="1"/>
  <c r="CS617" i="1"/>
  <c r="CS618" i="1"/>
  <c r="CS619" i="1"/>
  <c r="CS620" i="1"/>
  <c r="CS621" i="1"/>
  <c r="CS622" i="1"/>
  <c r="CS623" i="1"/>
  <c r="CS624" i="1"/>
  <c r="CS625" i="1"/>
  <c r="CS626" i="1"/>
  <c r="CS627" i="1"/>
  <c r="CS628" i="1"/>
  <c r="CS629" i="1"/>
  <c r="CS630" i="1"/>
  <c r="CS631" i="1"/>
  <c r="CS632" i="1"/>
  <c r="CS633" i="1"/>
  <c r="CS634" i="1"/>
  <c r="CS635" i="1"/>
  <c r="CS636" i="1"/>
  <c r="CS637" i="1"/>
  <c r="CS638" i="1"/>
  <c r="CS639" i="1"/>
  <c r="CS640" i="1"/>
  <c r="CS641" i="1"/>
  <c r="CS642" i="1"/>
  <c r="CS643" i="1"/>
  <c r="CS644" i="1"/>
  <c r="CS645" i="1"/>
  <c r="CS646" i="1"/>
  <c r="CS647" i="1"/>
  <c r="CS648" i="1"/>
  <c r="CS649" i="1"/>
  <c r="CS650" i="1"/>
  <c r="CS651" i="1"/>
  <c r="CS652" i="1"/>
  <c r="CS653" i="1"/>
  <c r="CS654" i="1"/>
  <c r="CS655" i="1"/>
  <c r="CS656" i="1"/>
  <c r="CS657" i="1"/>
  <c r="CS658" i="1"/>
  <c r="CS659" i="1"/>
  <c r="CS660" i="1"/>
  <c r="CS661" i="1"/>
  <c r="CS662" i="1"/>
  <c r="CS663" i="1"/>
  <c r="CS664" i="1"/>
  <c r="CS665" i="1"/>
  <c r="CS666" i="1"/>
  <c r="CS667" i="1"/>
  <c r="CS668" i="1"/>
  <c r="CS669" i="1"/>
  <c r="CS670" i="1"/>
  <c r="CS671" i="1"/>
  <c r="CS672" i="1"/>
  <c r="CS673" i="1"/>
  <c r="CS674" i="1"/>
  <c r="CS675" i="1"/>
  <c r="CS676" i="1"/>
  <c r="CS677" i="1"/>
  <c r="CS678" i="1"/>
  <c r="CS679" i="1"/>
  <c r="CS680" i="1"/>
  <c r="CS681" i="1"/>
  <c r="CS682" i="1"/>
  <c r="CS683" i="1"/>
  <c r="CS684" i="1"/>
  <c r="CS685" i="1"/>
  <c r="CS686" i="1"/>
  <c r="CS687" i="1"/>
  <c r="CS688" i="1"/>
  <c r="CS689" i="1"/>
  <c r="CS690" i="1"/>
  <c r="CS691" i="1"/>
  <c r="CS692" i="1"/>
  <c r="CS693" i="1"/>
  <c r="CS694" i="1"/>
  <c r="CS695" i="1"/>
  <c r="CS696" i="1"/>
  <c r="CS697" i="1"/>
  <c r="CS698" i="1"/>
  <c r="CS699" i="1"/>
  <c r="CS700" i="1"/>
  <c r="CS701" i="1"/>
  <c r="CS702" i="1"/>
  <c r="CS703" i="1"/>
  <c r="CS704" i="1"/>
  <c r="CS705" i="1"/>
  <c r="CS706" i="1"/>
  <c r="CS707" i="1"/>
  <c r="CS708" i="1"/>
  <c r="CS709" i="1"/>
  <c r="CS710" i="1"/>
  <c r="CS711" i="1"/>
  <c r="CS712" i="1"/>
  <c r="CS713" i="1"/>
  <c r="CS714" i="1"/>
  <c r="CS715" i="1"/>
  <c r="CS716" i="1"/>
  <c r="CS717" i="1"/>
  <c r="CS718" i="1"/>
  <c r="CS719" i="1"/>
  <c r="CS720" i="1"/>
  <c r="CS721" i="1"/>
  <c r="CS722" i="1"/>
  <c r="CS723" i="1"/>
  <c r="CS724" i="1"/>
  <c r="CS725" i="1"/>
  <c r="CS726" i="1"/>
  <c r="CS727" i="1"/>
  <c r="CS728" i="1"/>
  <c r="CS729" i="1"/>
  <c r="CS730" i="1"/>
  <c r="CS731" i="1"/>
  <c r="CS732" i="1"/>
  <c r="CS733" i="1"/>
  <c r="CS734" i="1"/>
  <c r="CS735" i="1"/>
  <c r="CS736" i="1"/>
  <c r="CS737" i="1"/>
  <c r="CS738" i="1"/>
  <c r="CS739" i="1"/>
  <c r="CS740" i="1"/>
  <c r="CS741" i="1"/>
  <c r="CS742" i="1"/>
  <c r="CS743" i="1"/>
  <c r="CS744" i="1"/>
  <c r="CS745" i="1"/>
  <c r="CS746" i="1"/>
  <c r="CS747" i="1"/>
  <c r="CS7" i="1"/>
  <c r="CS8" i="1"/>
  <c r="CS9" i="1"/>
  <c r="CS10" i="1"/>
  <c r="CS11" i="1"/>
  <c r="CS12" i="1"/>
  <c r="CS13" i="1"/>
  <c r="CS14" i="1"/>
  <c r="CS15" i="1"/>
  <c r="CS16" i="1"/>
  <c r="CS17" i="1"/>
  <c r="CS18" i="1"/>
  <c r="CS19" i="1"/>
  <c r="CS20" i="1"/>
  <c r="CS21" i="1"/>
  <c r="CS22" i="1"/>
  <c r="CS23" i="1"/>
  <c r="CS24" i="1"/>
  <c r="CS25" i="1"/>
  <c r="CS26" i="1"/>
  <c r="CS27" i="1"/>
  <c r="CS28" i="1"/>
  <c r="CS29" i="1"/>
  <c r="CS30" i="1"/>
  <c r="CS31" i="1"/>
  <c r="CS32" i="1"/>
  <c r="CS33" i="1"/>
  <c r="CS34" i="1"/>
  <c r="CS35" i="1"/>
  <c r="CS36" i="1"/>
  <c r="CS37" i="1"/>
  <c r="CS38" i="1"/>
  <c r="CS39" i="1"/>
  <c r="CS40" i="1"/>
  <c r="CS41" i="1"/>
  <c r="CS42" i="1"/>
  <c r="CS43" i="1"/>
  <c r="CS44" i="1"/>
  <c r="CS45" i="1"/>
  <c r="CS46" i="1"/>
  <c r="CS47" i="1"/>
  <c r="CS48" i="1"/>
  <c r="CS49" i="1"/>
  <c r="CS50" i="1"/>
  <c r="CS51" i="1"/>
  <c r="CS52" i="1"/>
  <c r="CS53" i="1"/>
  <c r="CS54" i="1"/>
  <c r="CS55" i="1"/>
  <c r="CS56" i="1"/>
  <c r="CS57" i="1"/>
  <c r="CS58" i="1"/>
  <c r="CS59" i="1"/>
  <c r="CS60" i="1"/>
  <c r="CS61" i="1"/>
  <c r="CS62" i="1"/>
  <c r="CS63" i="1"/>
  <c r="CS64" i="1"/>
  <c r="CS65" i="1"/>
  <c r="CS66" i="1"/>
  <c r="CS67" i="1"/>
  <c r="CS68" i="1"/>
  <c r="CS69" i="1"/>
  <c r="CS70" i="1"/>
  <c r="CS71" i="1"/>
  <c r="CS72" i="1"/>
  <c r="CS73" i="1"/>
  <c r="CS74" i="1"/>
  <c r="CS75" i="1"/>
  <c r="CS76" i="1"/>
  <c r="CS77" i="1"/>
  <c r="CS78" i="1"/>
  <c r="CS79" i="1"/>
  <c r="CS80" i="1"/>
  <c r="CS81" i="1"/>
  <c r="CS82" i="1"/>
  <c r="CS83" i="1"/>
  <c r="CS84" i="1"/>
  <c r="CS85" i="1"/>
  <c r="CS86" i="1"/>
  <c r="CS87" i="1"/>
  <c r="CS88" i="1"/>
  <c r="CS89" i="1"/>
  <c r="CS90" i="1"/>
  <c r="CS91" i="1"/>
  <c r="CS92" i="1"/>
  <c r="CS93" i="1"/>
  <c r="CS94" i="1"/>
  <c r="CS95" i="1"/>
  <c r="CS96" i="1"/>
  <c r="CS97" i="1"/>
  <c r="CS98" i="1"/>
  <c r="CS99" i="1"/>
  <c r="CS100" i="1"/>
  <c r="CS101" i="1"/>
  <c r="CS102" i="1"/>
  <c r="CS103" i="1"/>
  <c r="CS104" i="1"/>
  <c r="CS105" i="1"/>
  <c r="CS106" i="1"/>
  <c r="CS107" i="1"/>
  <c r="CS108" i="1"/>
  <c r="CS109" i="1"/>
  <c r="CS110" i="1"/>
  <c r="CS111" i="1"/>
  <c r="CS112" i="1"/>
  <c r="CS113" i="1"/>
  <c r="CS114" i="1"/>
  <c r="CS115" i="1"/>
  <c r="CS116" i="1"/>
  <c r="CS117" i="1"/>
  <c r="CS118" i="1"/>
  <c r="CS119" i="1"/>
  <c r="CS120" i="1"/>
  <c r="CS121" i="1"/>
  <c r="CS122" i="1"/>
  <c r="CS123" i="1"/>
  <c r="CS124" i="1"/>
  <c r="CS125" i="1"/>
  <c r="CS126" i="1"/>
  <c r="CS127" i="1"/>
  <c r="CS128" i="1"/>
  <c r="CS129" i="1"/>
  <c r="CS130" i="1"/>
  <c r="CS131" i="1"/>
  <c r="CS132" i="1"/>
  <c r="CS133" i="1"/>
  <c r="CS134" i="1"/>
  <c r="CS135" i="1"/>
  <c r="CS136" i="1"/>
  <c r="CS137" i="1"/>
  <c r="CS138" i="1"/>
  <c r="CS139" i="1"/>
  <c r="CS140" i="1"/>
  <c r="CS141" i="1"/>
  <c r="CS142" i="1"/>
  <c r="CS143" i="1"/>
  <c r="CS144" i="1"/>
  <c r="CS145" i="1"/>
  <c r="CS146" i="1"/>
  <c r="CS147" i="1"/>
  <c r="CS148" i="1"/>
  <c r="CS149" i="1"/>
  <c r="CS150" i="1"/>
  <c r="CS151" i="1"/>
  <c r="CS152" i="1"/>
  <c r="CS153" i="1"/>
  <c r="CS154" i="1"/>
  <c r="CS155" i="1"/>
  <c r="CS156" i="1"/>
  <c r="CS157" i="1"/>
  <c r="CS158" i="1"/>
  <c r="CS159" i="1"/>
  <c r="CS160" i="1"/>
  <c r="CS161" i="1"/>
  <c r="CS162" i="1"/>
  <c r="CS163" i="1"/>
  <c r="CS164" i="1"/>
  <c r="CS165" i="1"/>
  <c r="CS166" i="1"/>
  <c r="CS167" i="1"/>
  <c r="CS168" i="1"/>
  <c r="CS169" i="1"/>
  <c r="CS170" i="1"/>
  <c r="CS171" i="1"/>
  <c r="CS172" i="1"/>
  <c r="CS173" i="1"/>
  <c r="CS174" i="1"/>
  <c r="CS175" i="1"/>
  <c r="CS176" i="1"/>
  <c r="CS177" i="1"/>
  <c r="CS178" i="1"/>
  <c r="CS179" i="1"/>
  <c r="CS180" i="1"/>
  <c r="CS181" i="1"/>
  <c r="CS182" i="1"/>
  <c r="CS183" i="1"/>
  <c r="CS184" i="1"/>
  <c r="CS185" i="1"/>
  <c r="CS186" i="1"/>
  <c r="CS187" i="1"/>
  <c r="CS188" i="1"/>
  <c r="CS189" i="1"/>
  <c r="CS190" i="1"/>
  <c r="CS191" i="1"/>
  <c r="CS192" i="1"/>
  <c r="CS193" i="1"/>
  <c r="CS194" i="1"/>
  <c r="CS195" i="1"/>
  <c r="CS196" i="1"/>
  <c r="CS197" i="1"/>
  <c r="CS198" i="1"/>
  <c r="CS199" i="1"/>
  <c r="CS200" i="1"/>
  <c r="CS201" i="1"/>
  <c r="CS202" i="1"/>
  <c r="CS203" i="1"/>
  <c r="CS204" i="1"/>
  <c r="CS205" i="1"/>
  <c r="CS206" i="1"/>
  <c r="CS207" i="1"/>
  <c r="CS208" i="1"/>
  <c r="CS209" i="1"/>
  <c r="CS210" i="1"/>
  <c r="CS211" i="1"/>
  <c r="CS212" i="1"/>
  <c r="CS213" i="1"/>
  <c r="CS214" i="1"/>
  <c r="CS215" i="1"/>
  <c r="CS216" i="1"/>
  <c r="CS217" i="1"/>
  <c r="CS218" i="1"/>
  <c r="CS219" i="1"/>
  <c r="CS220" i="1"/>
  <c r="CS221" i="1"/>
  <c r="CS222" i="1"/>
  <c r="CS223" i="1"/>
  <c r="CS224" i="1"/>
  <c r="CS225" i="1"/>
  <c r="CS226" i="1"/>
  <c r="CS227" i="1"/>
  <c r="CS228" i="1"/>
  <c r="CS229" i="1"/>
  <c r="CS230" i="1"/>
  <c r="CS231" i="1"/>
  <c r="CS232" i="1"/>
  <c r="CS233" i="1"/>
  <c r="CS234" i="1"/>
  <c r="CS235" i="1"/>
  <c r="CS236" i="1"/>
  <c r="CS237" i="1"/>
  <c r="CS238" i="1"/>
  <c r="CS239" i="1"/>
  <c r="CS240" i="1"/>
  <c r="CS241" i="1"/>
  <c r="CS242" i="1"/>
  <c r="CS243" i="1"/>
  <c r="CS244" i="1"/>
  <c r="CS245" i="1"/>
  <c r="CS246" i="1"/>
  <c r="CS247" i="1"/>
  <c r="CS248" i="1"/>
  <c r="CS249" i="1"/>
  <c r="CS250" i="1"/>
  <c r="CS251" i="1"/>
  <c r="CS252" i="1"/>
  <c r="CS253" i="1"/>
  <c r="CS254" i="1"/>
  <c r="CS255" i="1"/>
  <c r="CS256" i="1"/>
  <c r="CS257" i="1"/>
  <c r="CS258" i="1"/>
  <c r="CS259" i="1"/>
  <c r="CS260" i="1"/>
  <c r="CS261" i="1"/>
  <c r="CS262" i="1"/>
  <c r="CS263" i="1"/>
  <c r="CS264" i="1"/>
  <c r="CS265" i="1"/>
  <c r="CS266" i="1"/>
  <c r="CS267" i="1"/>
  <c r="CS268" i="1"/>
  <c r="CS269" i="1"/>
  <c r="CS270" i="1"/>
  <c r="CS271" i="1"/>
  <c r="CS272" i="1"/>
  <c r="CS273" i="1"/>
  <c r="CS274" i="1"/>
  <c r="CS275" i="1"/>
  <c r="CS276" i="1"/>
  <c r="CS277" i="1"/>
  <c r="CS278" i="1"/>
  <c r="CS279" i="1"/>
  <c r="CS280" i="1"/>
  <c r="CS281" i="1"/>
  <c r="CS282" i="1"/>
  <c r="CS283" i="1"/>
  <c r="CS284" i="1"/>
  <c r="CS285" i="1"/>
  <c r="CS286" i="1"/>
  <c r="CS287" i="1"/>
  <c r="CS288" i="1"/>
  <c r="CS289" i="1"/>
  <c r="CS290" i="1"/>
  <c r="CS291" i="1"/>
  <c r="CS292" i="1"/>
  <c r="CS293" i="1"/>
  <c r="CS294" i="1"/>
  <c r="CS295" i="1"/>
  <c r="CS296" i="1"/>
  <c r="CS297" i="1"/>
  <c r="CS298" i="1"/>
  <c r="CS299" i="1"/>
  <c r="CS300" i="1"/>
  <c r="CS301" i="1"/>
  <c r="CS302" i="1"/>
  <c r="CS303" i="1"/>
  <c r="CS304" i="1"/>
  <c r="CS305" i="1"/>
  <c r="CS306" i="1"/>
  <c r="CS307" i="1"/>
  <c r="CS308" i="1"/>
  <c r="CS309" i="1"/>
  <c r="CS310" i="1"/>
  <c r="CS311" i="1"/>
  <c r="CS312" i="1"/>
  <c r="CS313" i="1"/>
  <c r="CS314" i="1"/>
  <c r="CS315" i="1"/>
  <c r="CS316" i="1"/>
  <c r="CS317" i="1"/>
  <c r="CS318" i="1"/>
  <c r="CS319" i="1"/>
  <c r="CS320" i="1"/>
  <c r="CS321" i="1"/>
  <c r="CS322" i="1"/>
  <c r="CS323" i="1"/>
  <c r="CS324" i="1"/>
  <c r="CS325" i="1"/>
  <c r="CS326" i="1"/>
  <c r="CS327" i="1"/>
  <c r="CS328" i="1"/>
  <c r="CS329" i="1"/>
  <c r="CS330" i="1"/>
  <c r="CS331" i="1"/>
  <c r="CS332" i="1"/>
  <c r="CS333" i="1"/>
  <c r="CS334" i="1"/>
  <c r="CS335" i="1"/>
  <c r="CS336" i="1"/>
  <c r="CS337" i="1"/>
  <c r="CS338" i="1"/>
  <c r="CS339" i="1"/>
  <c r="CS340" i="1"/>
  <c r="CS341" i="1"/>
  <c r="CS342" i="1"/>
  <c r="CS343" i="1"/>
  <c r="CS344" i="1"/>
  <c r="CS345" i="1"/>
  <c r="CS346" i="1"/>
  <c r="CS347" i="1"/>
  <c r="CS348" i="1"/>
  <c r="CS349" i="1"/>
  <c r="CS350" i="1"/>
  <c r="CS351" i="1"/>
  <c r="CS352" i="1"/>
  <c r="CS353" i="1"/>
  <c r="CS354" i="1"/>
  <c r="CS355" i="1"/>
  <c r="CS356" i="1"/>
  <c r="CS357" i="1"/>
  <c r="CS358" i="1"/>
  <c r="CS359" i="1"/>
  <c r="CS360" i="1"/>
  <c r="CS361" i="1"/>
  <c r="CS362" i="1"/>
  <c r="CS363" i="1"/>
  <c r="CS364" i="1"/>
  <c r="CS365" i="1"/>
  <c r="CS366" i="1"/>
  <c r="CS367" i="1"/>
  <c r="CS368" i="1"/>
  <c r="CS369" i="1"/>
  <c r="CS370" i="1"/>
  <c r="CS371" i="1"/>
  <c r="CS372" i="1"/>
  <c r="CS373" i="1"/>
  <c r="CS374" i="1"/>
  <c r="CS375" i="1"/>
  <c r="CS376" i="1"/>
  <c r="CS377" i="1"/>
  <c r="CS378" i="1"/>
  <c r="CS379" i="1"/>
  <c r="CS380" i="1"/>
  <c r="CS381" i="1"/>
  <c r="CS382" i="1"/>
  <c r="CS383" i="1"/>
  <c r="CS384" i="1"/>
  <c r="CS385" i="1"/>
  <c r="CS386" i="1"/>
  <c r="CS387" i="1"/>
  <c r="CS388" i="1"/>
  <c r="CS389" i="1"/>
  <c r="CS390" i="1"/>
  <c r="CS391" i="1"/>
  <c r="CS392" i="1"/>
  <c r="CS393" i="1"/>
  <c r="CS394" i="1"/>
  <c r="CS395" i="1"/>
  <c r="CS396" i="1"/>
  <c r="CS397" i="1"/>
  <c r="CS398" i="1"/>
  <c r="CS399" i="1"/>
  <c r="CS400" i="1"/>
  <c r="CS401" i="1"/>
  <c r="CS402" i="1"/>
  <c r="CS403" i="1"/>
  <c r="CS404" i="1"/>
  <c r="CS405" i="1"/>
  <c r="CS406" i="1"/>
  <c r="CS407" i="1"/>
  <c r="CS408" i="1"/>
  <c r="CS409" i="1"/>
  <c r="CS410" i="1"/>
  <c r="CS411" i="1"/>
  <c r="CS412" i="1"/>
  <c r="CS413" i="1"/>
  <c r="CS414" i="1"/>
  <c r="CS415" i="1"/>
  <c r="CS416" i="1"/>
  <c r="CS417" i="1"/>
  <c r="CS418" i="1"/>
  <c r="CS419" i="1"/>
  <c r="CS420" i="1"/>
  <c r="CS421" i="1"/>
  <c r="CS422" i="1"/>
  <c r="CS423" i="1"/>
  <c r="CS424" i="1"/>
  <c r="CS425" i="1"/>
  <c r="CS426" i="1"/>
  <c r="CS427" i="1"/>
  <c r="CS428" i="1"/>
  <c r="CS429" i="1"/>
  <c r="CS430" i="1"/>
  <c r="CS431" i="1"/>
  <c r="CS432" i="1"/>
  <c r="CS433" i="1"/>
  <c r="CS434" i="1"/>
  <c r="CS435" i="1"/>
  <c r="CS436" i="1"/>
  <c r="CS437" i="1"/>
  <c r="CS438" i="1"/>
  <c r="CS439" i="1"/>
  <c r="CS440" i="1"/>
  <c r="CS441" i="1"/>
  <c r="CS442" i="1"/>
  <c r="CS443" i="1"/>
  <c r="CS444" i="1"/>
  <c r="CS445" i="1"/>
  <c r="CS446" i="1"/>
  <c r="CS447" i="1"/>
  <c r="CS448" i="1"/>
  <c r="CS449" i="1"/>
  <c r="CS450" i="1"/>
  <c r="CS451" i="1"/>
  <c r="CS452" i="1"/>
  <c r="CS453" i="1"/>
  <c r="CS454" i="1"/>
  <c r="CS455" i="1"/>
  <c r="CS456" i="1"/>
  <c r="CS457" i="1"/>
  <c r="CS458" i="1"/>
  <c r="CS459" i="1"/>
  <c r="CS460" i="1"/>
  <c r="CS461" i="1"/>
  <c r="CS462" i="1"/>
  <c r="CS463" i="1"/>
  <c r="CS464" i="1"/>
  <c r="CS465" i="1"/>
  <c r="CS466" i="1"/>
  <c r="CS467" i="1"/>
  <c r="CS468" i="1"/>
  <c r="CS469" i="1"/>
  <c r="CS470" i="1"/>
  <c r="CS471" i="1"/>
  <c r="CS472" i="1"/>
  <c r="CS473" i="1"/>
  <c r="CS474" i="1"/>
  <c r="CS475" i="1"/>
  <c r="CS476" i="1"/>
  <c r="CS477" i="1"/>
  <c r="CS478" i="1"/>
  <c r="CS479" i="1"/>
  <c r="CS480" i="1"/>
  <c r="CS481" i="1"/>
  <c r="CS482" i="1"/>
  <c r="CS483" i="1"/>
  <c r="CS484" i="1"/>
  <c r="CS485" i="1"/>
  <c r="CS486" i="1"/>
  <c r="CS487" i="1"/>
  <c r="CS488" i="1"/>
  <c r="CS489" i="1"/>
  <c r="CS490" i="1"/>
  <c r="CS491" i="1"/>
  <c r="CS492" i="1"/>
  <c r="CS493" i="1"/>
  <c r="CS494" i="1"/>
  <c r="CS495" i="1"/>
  <c r="CS496" i="1"/>
  <c r="CS497" i="1"/>
  <c r="CS498" i="1"/>
  <c r="CS499" i="1"/>
  <c r="CS500" i="1"/>
  <c r="CS501" i="1"/>
  <c r="CS502" i="1"/>
  <c r="CS503" i="1"/>
  <c r="CS504" i="1"/>
  <c r="CS505" i="1"/>
  <c r="CS506" i="1"/>
  <c r="CS507" i="1"/>
  <c r="CS508" i="1"/>
  <c r="CS509" i="1"/>
  <c r="CS510" i="1"/>
  <c r="CS511" i="1"/>
  <c r="CS512" i="1"/>
  <c r="CS513" i="1"/>
  <c r="CS514" i="1"/>
  <c r="CS515" i="1"/>
  <c r="CS516" i="1"/>
  <c r="CS517" i="1"/>
  <c r="CS518" i="1"/>
  <c r="CS519" i="1"/>
  <c r="CS520" i="1"/>
  <c r="CS521" i="1"/>
  <c r="CS522" i="1"/>
  <c r="CS523" i="1"/>
  <c r="CS524" i="1"/>
  <c r="CS525" i="1"/>
  <c r="CS526" i="1"/>
  <c r="CS527" i="1"/>
  <c r="CS528" i="1"/>
  <c r="CS529" i="1"/>
  <c r="CS530" i="1"/>
  <c r="CS531" i="1"/>
  <c r="CS532" i="1"/>
  <c r="CS533" i="1"/>
  <c r="CS534" i="1"/>
  <c r="CS535" i="1"/>
  <c r="CS536" i="1"/>
  <c r="CS537" i="1"/>
  <c r="CS6" i="1"/>
  <c r="CU330" i="1" l="1"/>
  <c r="CU260" i="1"/>
  <c r="CU61" i="1"/>
  <c r="CU285" i="1"/>
  <c r="CU173" i="1"/>
  <c r="CU10" i="1"/>
  <c r="CU131" i="1"/>
  <c r="CU215" i="1"/>
  <c r="CU83" i="1"/>
  <c r="CU288" i="1"/>
  <c r="CU76" i="1"/>
  <c r="CU212" i="1"/>
  <c r="CU440" i="1"/>
  <c r="CU209" i="1"/>
  <c r="CU97" i="1"/>
  <c r="CU8" i="1"/>
  <c r="CU400" i="1"/>
  <c r="CU272" i="1"/>
  <c r="CU188" i="1"/>
  <c r="CU48" i="1"/>
  <c r="CU370" i="1"/>
  <c r="CU246" i="1"/>
  <c r="CU26" i="1"/>
  <c r="CU20" i="1"/>
  <c r="CU386" i="1"/>
  <c r="CU258" i="1"/>
  <c r="CU358" i="1"/>
  <c r="CU244" i="1"/>
  <c r="CU25" i="1"/>
  <c r="CU398" i="1"/>
  <c r="CU356" i="1"/>
  <c r="CU160" i="1"/>
  <c r="CU90" i="1"/>
  <c r="CU24" i="1"/>
  <c r="CU610" i="1"/>
  <c r="CU342" i="1"/>
  <c r="CU216" i="1"/>
  <c r="CU23" i="1"/>
  <c r="CU426" i="1"/>
  <c r="CU286" i="1"/>
  <c r="CU202" i="1"/>
  <c r="CU139" i="1"/>
  <c r="CU82" i="1"/>
  <c r="CU180" i="1"/>
  <c r="CU69" i="1"/>
  <c r="CU369" i="1"/>
  <c r="CU355" i="1"/>
  <c r="CU167" i="1"/>
  <c r="CU100" i="1"/>
  <c r="CU55" i="1"/>
  <c r="CU457" i="1"/>
  <c r="CU425" i="1"/>
  <c r="CU341" i="1"/>
  <c r="CU125" i="1"/>
  <c r="CU89" i="1"/>
  <c r="CU47" i="1"/>
  <c r="CU19" i="1"/>
  <c r="CU271" i="1"/>
  <c r="CU327" i="1"/>
  <c r="CU195" i="1"/>
  <c r="CU13" i="1"/>
  <c r="CU11" i="1"/>
  <c r="CU111" i="1"/>
  <c r="CU257" i="1"/>
  <c r="CU201" i="1"/>
  <c r="CU159" i="1"/>
  <c r="CU156" i="1"/>
  <c r="CU117" i="1"/>
  <c r="CU44" i="1"/>
  <c r="CU397" i="1"/>
  <c r="CU243" i="1"/>
  <c r="CU384" i="1"/>
  <c r="CU313" i="1"/>
  <c r="CU229" i="1"/>
  <c r="CU187" i="1"/>
  <c r="CU74" i="1"/>
  <c r="CU128" i="1"/>
  <c r="CU529" i="1"/>
  <c r="CU41" i="1"/>
  <c r="CU153" i="1"/>
  <c r="CU75" i="1"/>
  <c r="CU461" i="1"/>
  <c r="CU383" i="1"/>
  <c r="CU300" i="1"/>
  <c r="CU223" i="1"/>
  <c r="CU184" i="1"/>
  <c r="CU103" i="1"/>
  <c r="CU72" i="1"/>
  <c r="CU33" i="1"/>
  <c r="CU439" i="1"/>
  <c r="CU299" i="1"/>
  <c r="CU181" i="1"/>
  <c r="CU145" i="1"/>
  <c r="CU102" i="1"/>
  <c r="CU27" i="1"/>
  <c r="CU186" i="1"/>
  <c r="CU32" i="1"/>
  <c r="CU15" i="1"/>
  <c r="CU18" i="1"/>
  <c r="CU16" i="1"/>
  <c r="CU30" i="1"/>
  <c r="CU14" i="1"/>
  <c r="CU491" i="1"/>
  <c r="CU116" i="1"/>
  <c r="CU88" i="1"/>
  <c r="CU214" i="1"/>
  <c r="CU17" i="1"/>
  <c r="CU142" i="1"/>
  <c r="CU158" i="1"/>
  <c r="CU130" i="1"/>
  <c r="CU463" i="1"/>
  <c r="CU144" i="1"/>
  <c r="CU228" i="1"/>
  <c r="CU198" i="1"/>
  <c r="CU112" i="1"/>
  <c r="CU226" i="1"/>
  <c r="CU196" i="1"/>
  <c r="CU168" i="1"/>
  <c r="CU140" i="1"/>
  <c r="CU60" i="1"/>
  <c r="CU200" i="1"/>
  <c r="CU172" i="1"/>
  <c r="CU114" i="1"/>
  <c r="CU86" i="1"/>
  <c r="CU58" i="1"/>
  <c r="CU170" i="1"/>
  <c r="CU46" i="1"/>
  <c r="CU194" i="1"/>
  <c r="CU42" i="1"/>
  <c r="CU12" i="1"/>
  <c r="CU222" i="1"/>
  <c r="CU96" i="1"/>
  <c r="CU9" i="1"/>
  <c r="CU166" i="1"/>
  <c r="CU68" i="1"/>
  <c r="CU40" i="1"/>
  <c r="CU138" i="1"/>
  <c r="CU485" i="1"/>
  <c r="CU490" i="1"/>
  <c r="CU208" i="1"/>
  <c r="CU182" i="1"/>
  <c r="CU110" i="1"/>
  <c r="CU84" i="1"/>
  <c r="CU462" i="1"/>
  <c r="CU56" i="1"/>
  <c r="CU224" i="1"/>
  <c r="CU152" i="1"/>
  <c r="CU126" i="1"/>
  <c r="CU54" i="1"/>
  <c r="CU124" i="1"/>
  <c r="CU527" i="1"/>
  <c r="CU513" i="1"/>
  <c r="CU165" i="1"/>
  <c r="CU206" i="1"/>
  <c r="CU122" i="1"/>
  <c r="CU38" i="1"/>
  <c r="CU302" i="1"/>
  <c r="CU428" i="1"/>
  <c r="CU232" i="1"/>
  <c r="CU221" i="1"/>
  <c r="CU179" i="1"/>
  <c r="CU109" i="1"/>
  <c r="CU81" i="1"/>
  <c r="CU192" i="1"/>
  <c r="CU150" i="1"/>
  <c r="CU108" i="1"/>
  <c r="CU80" i="1"/>
  <c r="CU489" i="1"/>
  <c r="CU39" i="1"/>
  <c r="CU737" i="1"/>
  <c r="CU484" i="1"/>
  <c r="CU414" i="1"/>
  <c r="CU227" i="1"/>
  <c r="CU213" i="1"/>
  <c r="CU199" i="1"/>
  <c r="CU185" i="1"/>
  <c r="CU171" i="1"/>
  <c r="CU157" i="1"/>
  <c r="CU143" i="1"/>
  <c r="CU129" i="1"/>
  <c r="CU115" i="1"/>
  <c r="CU101" i="1"/>
  <c r="CU87" i="1"/>
  <c r="CU73" i="1"/>
  <c r="CU59" i="1"/>
  <c r="CU45" i="1"/>
  <c r="CU31" i="1"/>
  <c r="CU471" i="1"/>
  <c r="CU736" i="1"/>
  <c r="CU344" i="1"/>
  <c r="CU470" i="1"/>
  <c r="CU411" i="1"/>
  <c r="CU274" i="1"/>
  <c r="CU225" i="1"/>
  <c r="CU211" i="1"/>
  <c r="CU197" i="1"/>
  <c r="CU183" i="1"/>
  <c r="CU169" i="1"/>
  <c r="CU155" i="1"/>
  <c r="CU141" i="1"/>
  <c r="CU127" i="1"/>
  <c r="CU113" i="1"/>
  <c r="CU99" i="1"/>
  <c r="CU85" i="1"/>
  <c r="CU71" i="1"/>
  <c r="CU57" i="1"/>
  <c r="CU43" i="1"/>
  <c r="CU29" i="1"/>
  <c r="CU207" i="1"/>
  <c r="CU123" i="1"/>
  <c r="CU53" i="1"/>
  <c r="CU738" i="1"/>
  <c r="CU151" i="1"/>
  <c r="CU193" i="1"/>
  <c r="CU137" i="1"/>
  <c r="CU95" i="1"/>
  <c r="CU67" i="1"/>
  <c r="CU220" i="1"/>
  <c r="CU178" i="1"/>
  <c r="CU164" i="1"/>
  <c r="CU136" i="1"/>
  <c r="CU94" i="1"/>
  <c r="CU66" i="1"/>
  <c r="CU52" i="1"/>
  <c r="CU219" i="1"/>
  <c r="CU205" i="1"/>
  <c r="CU191" i="1"/>
  <c r="CU177" i="1"/>
  <c r="CU163" i="1"/>
  <c r="CU149" i="1"/>
  <c r="CU135" i="1"/>
  <c r="CU121" i="1"/>
  <c r="CU107" i="1"/>
  <c r="CU93" i="1"/>
  <c r="CU79" i="1"/>
  <c r="CU65" i="1"/>
  <c r="CU51" i="1"/>
  <c r="CU37" i="1"/>
  <c r="CU498" i="1"/>
  <c r="CU372" i="1"/>
  <c r="CU218" i="1"/>
  <c r="CU204" i="1"/>
  <c r="CU190" i="1"/>
  <c r="CU176" i="1"/>
  <c r="CU162" i="1"/>
  <c r="CU148" i="1"/>
  <c r="CU134" i="1"/>
  <c r="CU120" i="1"/>
  <c r="CU106" i="1"/>
  <c r="CU92" i="1"/>
  <c r="CU78" i="1"/>
  <c r="CU64" i="1"/>
  <c r="CU50" i="1"/>
  <c r="CU36" i="1"/>
  <c r="CU718" i="1"/>
  <c r="CU435" i="1"/>
  <c r="CU379" i="1"/>
  <c r="CU239" i="1"/>
  <c r="CU361" i="1"/>
  <c r="CU438" i="1"/>
  <c r="CU382" i="1"/>
  <c r="CU326" i="1"/>
  <c r="CU256" i="1"/>
  <c r="CU422" i="1"/>
  <c r="CU380" i="1"/>
  <c r="CU310" i="1"/>
  <c r="CU268" i="1"/>
  <c r="CU517" i="1"/>
  <c r="CU405" i="1"/>
  <c r="CU307" i="1"/>
  <c r="CU480" i="1"/>
  <c r="CU250" i="1"/>
  <c r="CU494" i="1"/>
  <c r="CU410" i="1"/>
  <c r="CU354" i="1"/>
  <c r="CU298" i="1"/>
  <c r="CU437" i="1"/>
  <c r="CU423" i="1"/>
  <c r="CU381" i="1"/>
  <c r="CU339" i="1"/>
  <c r="CU311" i="1"/>
  <c r="CU283" i="1"/>
  <c r="CU269" i="1"/>
  <c r="CU522" i="1"/>
  <c r="CU436" i="1"/>
  <c r="CU394" i="1"/>
  <c r="CU366" i="1"/>
  <c r="CU324" i="1"/>
  <c r="CU282" i="1"/>
  <c r="CU240" i="1"/>
  <c r="CU403" i="1"/>
  <c r="CU508" i="1"/>
  <c r="CU430" i="1"/>
  <c r="CU402" i="1"/>
  <c r="CU346" i="1"/>
  <c r="CU304" i="1"/>
  <c r="CU234" i="1"/>
  <c r="CU601" i="1"/>
  <c r="CU505" i="1"/>
  <c r="CU475" i="1"/>
  <c r="CU443" i="1"/>
  <c r="CU429" i="1"/>
  <c r="CU415" i="1"/>
  <c r="CU401" i="1"/>
  <c r="CU387" i="1"/>
  <c r="CU373" i="1"/>
  <c r="CU359" i="1"/>
  <c r="CU345" i="1"/>
  <c r="CU331" i="1"/>
  <c r="CU317" i="1"/>
  <c r="CU303" i="1"/>
  <c r="CU289" i="1"/>
  <c r="CU275" i="1"/>
  <c r="CU261" i="1"/>
  <c r="CU247" i="1"/>
  <c r="CU233" i="1"/>
  <c r="CU396" i="1"/>
  <c r="CU395" i="1"/>
  <c r="CU325" i="1"/>
  <c r="CU241" i="1"/>
  <c r="CU519" i="1"/>
  <c r="CU253" i="1"/>
  <c r="CU431" i="1"/>
  <c r="CU375" i="1"/>
  <c r="CU319" i="1"/>
  <c r="CU277" i="1"/>
  <c r="CU235" i="1"/>
  <c r="CU476" i="1"/>
  <c r="CU388" i="1"/>
  <c r="CU318" i="1"/>
  <c r="CU262" i="1"/>
  <c r="CU504" i="1"/>
  <c r="CU424" i="1"/>
  <c r="CU340" i="1"/>
  <c r="CU270" i="1"/>
  <c r="CU367" i="1"/>
  <c r="CU338" i="1"/>
  <c r="CU421" i="1"/>
  <c r="CU393" i="1"/>
  <c r="CU365" i="1"/>
  <c r="CU337" i="1"/>
  <c r="CU323" i="1"/>
  <c r="CU309" i="1"/>
  <c r="CU295" i="1"/>
  <c r="CU267" i="1"/>
  <c r="CU28" i="1"/>
  <c r="CU704" i="1"/>
  <c r="CU452" i="1"/>
  <c r="CU420" i="1"/>
  <c r="CU392" i="1"/>
  <c r="CU378" i="1"/>
  <c r="CU350" i="1"/>
  <c r="CU336" i="1"/>
  <c r="CU308" i="1"/>
  <c r="CU294" i="1"/>
  <c r="CU280" i="1"/>
  <c r="CU252" i="1"/>
  <c r="CU238" i="1"/>
  <c r="CU449" i="1"/>
  <c r="CU419" i="1"/>
  <c r="CU391" i="1"/>
  <c r="CU377" i="1"/>
  <c r="CU363" i="1"/>
  <c r="CU349" i="1"/>
  <c r="CU321" i="1"/>
  <c r="CU293" i="1"/>
  <c r="CU279" i="1"/>
  <c r="CU265" i="1"/>
  <c r="CU251" i="1"/>
  <c r="CU237" i="1"/>
  <c r="CU432" i="1"/>
  <c r="CU418" i="1"/>
  <c r="CU404" i="1"/>
  <c r="CU390" i="1"/>
  <c r="CU362" i="1"/>
  <c r="CU348" i="1"/>
  <c r="CU334" i="1"/>
  <c r="CU320" i="1"/>
  <c r="CU306" i="1"/>
  <c r="CU292" i="1"/>
  <c r="CU264" i="1"/>
  <c r="CU447" i="1"/>
  <c r="CU389" i="1"/>
  <c r="CU333" i="1"/>
  <c r="CU291" i="1"/>
  <c r="CU263" i="1"/>
  <c r="CU444" i="1"/>
  <c r="CU374" i="1"/>
  <c r="CU332" i="1"/>
  <c r="CU290" i="1"/>
  <c r="CU248" i="1"/>
  <c r="CU573" i="1"/>
  <c r="CU503" i="1"/>
  <c r="CU441" i="1"/>
  <c r="CU427" i="1"/>
  <c r="CU413" i="1"/>
  <c r="CU399" i="1"/>
  <c r="CU385" i="1"/>
  <c r="CU371" i="1"/>
  <c r="CU357" i="1"/>
  <c r="CU343" i="1"/>
  <c r="CU329" i="1"/>
  <c r="CU315" i="1"/>
  <c r="CU301" i="1"/>
  <c r="CU287" i="1"/>
  <c r="CU273" i="1"/>
  <c r="CU259" i="1"/>
  <c r="CU245" i="1"/>
  <c r="CU231" i="1"/>
  <c r="CU368" i="1"/>
  <c r="CU312" i="1"/>
  <c r="CU284" i="1"/>
  <c r="CU242" i="1"/>
  <c r="CU409" i="1"/>
  <c r="CU353" i="1"/>
  <c r="CU297" i="1"/>
  <c r="CU255" i="1"/>
  <c r="CU408" i="1"/>
  <c r="CU352" i="1"/>
  <c r="CU296" i="1"/>
  <c r="CU254" i="1"/>
  <c r="CU407" i="1"/>
  <c r="CU351" i="1"/>
  <c r="CU281" i="1"/>
  <c r="CU518" i="1"/>
  <c r="CU434" i="1"/>
  <c r="CU406" i="1"/>
  <c r="CU364" i="1"/>
  <c r="CU322" i="1"/>
  <c r="CU266" i="1"/>
  <c r="CU433" i="1"/>
  <c r="CU335" i="1"/>
  <c r="CU619" i="1"/>
  <c r="CU448" i="1"/>
  <c r="CU376" i="1"/>
  <c r="CU278" i="1"/>
  <c r="CU236" i="1"/>
  <c r="CU477" i="1"/>
  <c r="CU417" i="1"/>
  <c r="CU347" i="1"/>
  <c r="CU305" i="1"/>
  <c r="CU249" i="1"/>
  <c r="CU605" i="1"/>
  <c r="CU416" i="1"/>
  <c r="CU360" i="1"/>
  <c r="CU276" i="1"/>
  <c r="CU591" i="1"/>
  <c r="CU535" i="1"/>
  <c r="CU499" i="1"/>
  <c r="CU466" i="1"/>
  <c r="CO667" i="1"/>
  <c r="CU515" i="1"/>
  <c r="CU501" i="1"/>
  <c r="CU487" i="1"/>
  <c r="CU473" i="1"/>
  <c r="CU459" i="1"/>
  <c r="CU609" i="1"/>
  <c r="CU528" i="1"/>
  <c r="CU514" i="1"/>
  <c r="CU500" i="1"/>
  <c r="CU486" i="1"/>
  <c r="CU472" i="1"/>
  <c r="CU458" i="1"/>
  <c r="CU516" i="1"/>
  <c r="CU502" i="1"/>
  <c r="CU474" i="1"/>
  <c r="CU446" i="1"/>
  <c r="CU483" i="1"/>
  <c r="CU524" i="1"/>
  <c r="CU497" i="1"/>
  <c r="CU720" i="1"/>
  <c r="CU577" i="1"/>
  <c r="CU510" i="1"/>
  <c r="CU496" i="1"/>
  <c r="CU482" i="1"/>
  <c r="CU468" i="1"/>
  <c r="CU454" i="1"/>
  <c r="CU523" i="1"/>
  <c r="CU509" i="1"/>
  <c r="CU495" i="1"/>
  <c r="CU481" i="1"/>
  <c r="CU467" i="1"/>
  <c r="CU453" i="1"/>
  <c r="CU525" i="1"/>
  <c r="CU469" i="1"/>
  <c r="CU230" i="1"/>
  <c r="CU460" i="1"/>
  <c r="CU511" i="1"/>
  <c r="CU572" i="1"/>
  <c r="CO694" i="1"/>
  <c r="CU507" i="1"/>
  <c r="CU465" i="1"/>
  <c r="CU678" i="1"/>
  <c r="CU567" i="1"/>
  <c r="CU520" i="1"/>
  <c r="CU506" i="1"/>
  <c r="CU492" i="1"/>
  <c r="CU478" i="1"/>
  <c r="CU464" i="1"/>
  <c r="CU450" i="1"/>
  <c r="CO666" i="1"/>
  <c r="CU568" i="1"/>
  <c r="CU521" i="1"/>
  <c r="CU493" i="1"/>
  <c r="CU479" i="1"/>
  <c r="CU451" i="1"/>
  <c r="CU563" i="1"/>
  <c r="CO656" i="1"/>
  <c r="CU530" i="1"/>
  <c r="CU488" i="1"/>
  <c r="CU455" i="1"/>
  <c r="CU680" i="1"/>
  <c r="CU652" i="1"/>
  <c r="CU549" i="1"/>
  <c r="CO615" i="1"/>
  <c r="CU596" i="1"/>
  <c r="CU595" i="1"/>
  <c r="CO614" i="1"/>
  <c r="CU707" i="1"/>
  <c r="CU628" i="1"/>
  <c r="CU587" i="1"/>
  <c r="CO559" i="1"/>
  <c r="CU445" i="1"/>
  <c r="CU639" i="1"/>
  <c r="CU558" i="1"/>
  <c r="CU638" i="1"/>
  <c r="CU554" i="1"/>
  <c r="CU708" i="1"/>
  <c r="CU629" i="1"/>
  <c r="CU624" i="1"/>
  <c r="CU586" i="1"/>
  <c r="CU545" i="1"/>
  <c r="CO569" i="1"/>
  <c r="CU553" i="1"/>
  <c r="CU623" i="1"/>
  <c r="CU582" i="1"/>
  <c r="CU544" i="1"/>
  <c r="CU600" i="1"/>
  <c r="CU682" i="1"/>
  <c r="CU581" i="1"/>
  <c r="CU540" i="1"/>
  <c r="CU640" i="1"/>
  <c r="CU681" i="1"/>
  <c r="CU539" i="1"/>
  <c r="CO740" i="1"/>
  <c r="CU557" i="1"/>
  <c r="CO696" i="1"/>
  <c r="CU710" i="1"/>
  <c r="CU650" i="1"/>
  <c r="CU626" i="1"/>
  <c r="CU612" i="1"/>
  <c r="CU598" i="1"/>
  <c r="CU584" i="1"/>
  <c r="CU570" i="1"/>
  <c r="CU556" i="1"/>
  <c r="CU542" i="1"/>
  <c r="CO697" i="1"/>
  <c r="CU627" i="1"/>
  <c r="CU613" i="1"/>
  <c r="CU599" i="1"/>
  <c r="CU585" i="1"/>
  <c r="CU571" i="1"/>
  <c r="CU543" i="1"/>
  <c r="CU746" i="1"/>
  <c r="CU709" i="1"/>
  <c r="CU679" i="1"/>
  <c r="CU648" i="1"/>
  <c r="CU625" i="1"/>
  <c r="CU611" i="1"/>
  <c r="CU597" i="1"/>
  <c r="CU583" i="1"/>
  <c r="CU555" i="1"/>
  <c r="CU541" i="1"/>
  <c r="CO693" i="1"/>
  <c r="CO669" i="1"/>
  <c r="CU676" i="1"/>
  <c r="CU637" i="1"/>
  <c r="CU607" i="1"/>
  <c r="CU579" i="1"/>
  <c r="CU565" i="1"/>
  <c r="CU537" i="1"/>
  <c r="CU734" i="1"/>
  <c r="CU636" i="1"/>
  <c r="CU620" i="1"/>
  <c r="CU606" i="1"/>
  <c r="CU592" i="1"/>
  <c r="CU578" i="1"/>
  <c r="CU564" i="1"/>
  <c r="CU550" i="1"/>
  <c r="CU536" i="1"/>
  <c r="CO739" i="1"/>
  <c r="CU706" i="1"/>
  <c r="CU668" i="1"/>
  <c r="CU622" i="1"/>
  <c r="CU608" i="1"/>
  <c r="CU594" i="1"/>
  <c r="CU580" i="1"/>
  <c r="CU566" i="1"/>
  <c r="CU552" i="1"/>
  <c r="CU538" i="1"/>
  <c r="CU695" i="1"/>
  <c r="CU665" i="1"/>
  <c r="CU724" i="1"/>
  <c r="CU664" i="1"/>
  <c r="CU632" i="1"/>
  <c r="CU618" i="1"/>
  <c r="CU604" i="1"/>
  <c r="CU590" i="1"/>
  <c r="CU576" i="1"/>
  <c r="CU562" i="1"/>
  <c r="CU548" i="1"/>
  <c r="CU534" i="1"/>
  <c r="CU723" i="1"/>
  <c r="CU631" i="1"/>
  <c r="CU617" i="1"/>
  <c r="CU589" i="1"/>
  <c r="CU561" i="1"/>
  <c r="CU547" i="1"/>
  <c r="CU722" i="1"/>
  <c r="CU692" i="1"/>
  <c r="CU654" i="1"/>
  <c r="CU630" i="1"/>
  <c r="CU616" i="1"/>
  <c r="CU602" i="1"/>
  <c r="CU588" i="1"/>
  <c r="CU574" i="1"/>
  <c r="CU560" i="1"/>
  <c r="CU546" i="1"/>
  <c r="CU532" i="1"/>
  <c r="CU735" i="1"/>
  <c r="CU621" i="1"/>
  <c r="CU593" i="1"/>
  <c r="CU551" i="1"/>
  <c r="CU732" i="1"/>
  <c r="CU634" i="1"/>
  <c r="CU662" i="1"/>
  <c r="CU603" i="1"/>
  <c r="CU575" i="1"/>
  <c r="CU533" i="1"/>
  <c r="CU721" i="1"/>
  <c r="CU690" i="1"/>
  <c r="CU653" i="1"/>
  <c r="CO698" i="1"/>
  <c r="CO726" i="1"/>
  <c r="CU712" i="1"/>
  <c r="CU670" i="1"/>
  <c r="CO643" i="1"/>
  <c r="CU725" i="1"/>
  <c r="CU711" i="1"/>
  <c r="CU683" i="1"/>
  <c r="CU655" i="1"/>
  <c r="CU641" i="1"/>
  <c r="CO685" i="1"/>
  <c r="CO642" i="1"/>
  <c r="CU731" i="1"/>
  <c r="CU703" i="1"/>
  <c r="CU647" i="1"/>
  <c r="CU686" i="1"/>
  <c r="CO684" i="1"/>
  <c r="CO713" i="1"/>
  <c r="CO531" i="1"/>
  <c r="CU744" i="1"/>
  <c r="CU716" i="1"/>
  <c r="CU688" i="1"/>
  <c r="CU646" i="1"/>
  <c r="CU743" i="1"/>
  <c r="CU729" i="1"/>
  <c r="CU701" i="1"/>
  <c r="CU659" i="1"/>
  <c r="CU742" i="1"/>
  <c r="CU728" i="1"/>
  <c r="CU714" i="1"/>
  <c r="CU700" i="1"/>
  <c r="CU672" i="1"/>
  <c r="CU658" i="1"/>
  <c r="CU644" i="1"/>
  <c r="CU741" i="1"/>
  <c r="CU727" i="1"/>
  <c r="CU699" i="1"/>
  <c r="CU671" i="1"/>
  <c r="CU657" i="1"/>
  <c r="CU745" i="1"/>
  <c r="CU661" i="1"/>
  <c r="CU730" i="1"/>
  <c r="CU660" i="1"/>
  <c r="CU717" i="1"/>
  <c r="CU689" i="1"/>
  <c r="CU675" i="1"/>
  <c r="CU702" i="1"/>
  <c r="CU674" i="1"/>
  <c r="CU715" i="1"/>
  <c r="CU687" i="1"/>
  <c r="CU673" i="1"/>
  <c r="CU645" i="1"/>
  <c r="CU747" i="1"/>
  <c r="CU733" i="1"/>
  <c r="CU719" i="1"/>
  <c r="CU705" i="1"/>
  <c r="CU691" i="1"/>
  <c r="CU677" i="1"/>
  <c r="CU663" i="1"/>
  <c r="CU649" i="1"/>
  <c r="CU635" i="1"/>
  <c r="CU633" i="1"/>
  <c r="CU6" i="1"/>
  <c r="CO6" i="1"/>
  <c r="B21" i="26" l="1"/>
  <c r="E30" i="13" l="1"/>
  <c r="H55" i="13"/>
  <c r="H56" i="13"/>
  <c r="H57" i="13"/>
  <c r="H58" i="13"/>
  <c r="H59" i="13"/>
  <c r="H60" i="13"/>
  <c r="H61" i="13"/>
  <c r="H62" i="13"/>
  <c r="H63" i="13"/>
  <c r="H64" i="13"/>
  <c r="H65" i="13"/>
  <c r="H66" i="13"/>
  <c r="H67" i="13"/>
  <c r="H68" i="13"/>
  <c r="H69" i="13"/>
  <c r="H70" i="13"/>
  <c r="H71" i="13"/>
  <c r="H72" i="13"/>
  <c r="H73" i="13"/>
  <c r="H74" i="13"/>
  <c r="H75" i="13"/>
  <c r="H76" i="13"/>
  <c r="H77" i="13"/>
  <c r="H78" i="13"/>
  <c r="H79" i="13"/>
  <c r="H80" i="13"/>
  <c r="H81" i="13"/>
  <c r="H82" i="13"/>
  <c r="H83" i="13"/>
  <c r="H84" i="13"/>
  <c r="H85" i="13"/>
  <c r="H86" i="13"/>
  <c r="H87" i="13"/>
  <c r="H88" i="13"/>
  <c r="H89" i="13"/>
  <c r="H90" i="13"/>
  <c r="H91" i="13"/>
  <c r="H92" i="13"/>
  <c r="H93" i="13"/>
  <c r="H94" i="13"/>
  <c r="H95" i="13"/>
  <c r="H96" i="13"/>
  <c r="H97" i="13"/>
  <c r="H98" i="13"/>
  <c r="H99" i="13"/>
  <c r="H100" i="13"/>
  <c r="H101" i="13"/>
  <c r="H102" i="13"/>
  <c r="H103" i="13"/>
  <c r="H104" i="13"/>
  <c r="H105" i="13"/>
  <c r="H106" i="13"/>
  <c r="H107" i="13"/>
  <c r="H108" i="13"/>
  <c r="H109" i="13"/>
  <c r="H110" i="13"/>
  <c r="H111" i="13"/>
  <c r="H112" i="13"/>
  <c r="H113" i="13"/>
  <c r="H114" i="13"/>
  <c r="H115" i="13"/>
  <c r="H116" i="13"/>
  <c r="H117" i="13"/>
  <c r="H118" i="13"/>
  <c r="H119" i="13"/>
  <c r="H120" i="13"/>
  <c r="H121" i="13"/>
  <c r="H122" i="13"/>
  <c r="H123" i="13"/>
  <c r="H124" i="13"/>
  <c r="H125" i="13"/>
  <c r="H126" i="13"/>
  <c r="H127" i="13"/>
  <c r="H128" i="13"/>
  <c r="H129" i="13"/>
  <c r="H130" i="13"/>
  <c r="H131" i="13"/>
  <c r="H132" i="13"/>
  <c r="H133" i="13"/>
  <c r="H134" i="13"/>
  <c r="H135" i="13"/>
  <c r="H136" i="13"/>
  <c r="H137" i="13"/>
  <c r="H138" i="13"/>
  <c r="H139" i="13"/>
  <c r="H140" i="13"/>
  <c r="H141" i="13"/>
  <c r="H142" i="13"/>
  <c r="H143" i="13"/>
  <c r="H144" i="13"/>
  <c r="H145" i="13"/>
  <c r="H146" i="13"/>
  <c r="H147" i="13"/>
  <c r="H148" i="13"/>
  <c r="F170" i="13" l="1"/>
  <c r="N15" i="28" s="1"/>
  <c r="I170" i="13"/>
  <c r="O15" i="28" s="1"/>
  <c r="M171" i="13"/>
  <c r="R16" i="28" s="1"/>
  <c r="N171" i="13"/>
  <c r="E55" i="13"/>
  <c r="E56" i="13"/>
  <c r="E57" i="13"/>
  <c r="E58" i="13"/>
  <c r="E59" i="13"/>
  <c r="E60" i="13"/>
  <c r="E61" i="13"/>
  <c r="E62" i="13"/>
  <c r="E63" i="13"/>
  <c r="E64" i="13"/>
  <c r="E65" i="13"/>
  <c r="E66" i="13"/>
  <c r="E67" i="13"/>
  <c r="E68" i="13"/>
  <c r="E69" i="13"/>
  <c r="E70" i="13"/>
  <c r="E71" i="13"/>
  <c r="E72" i="13"/>
  <c r="E73" i="13"/>
  <c r="E74" i="13"/>
  <c r="E75" i="13"/>
  <c r="E76" i="13"/>
  <c r="E77" i="13"/>
  <c r="E78" i="13"/>
  <c r="E79" i="13"/>
  <c r="E80" i="13"/>
  <c r="E81" i="13"/>
  <c r="E82" i="13"/>
  <c r="E83" i="13"/>
  <c r="E84" i="13"/>
  <c r="E85" i="13"/>
  <c r="E86" i="13"/>
  <c r="E87" i="13"/>
  <c r="E88" i="13"/>
  <c r="E89" i="13"/>
  <c r="E90" i="13"/>
  <c r="E91" i="13"/>
  <c r="E92" i="13"/>
  <c r="E93" i="13"/>
  <c r="E94" i="13"/>
  <c r="E95" i="13"/>
  <c r="E96" i="13"/>
  <c r="E97" i="13"/>
  <c r="E98" i="13"/>
  <c r="E99" i="13"/>
  <c r="E100" i="13"/>
  <c r="E101" i="13"/>
  <c r="E102" i="13"/>
  <c r="E103" i="13"/>
  <c r="E104" i="13"/>
  <c r="E105" i="13"/>
  <c r="E106" i="13"/>
  <c r="E107" i="13"/>
  <c r="E108" i="13"/>
  <c r="E109" i="13"/>
  <c r="E110" i="13"/>
  <c r="E111" i="13"/>
  <c r="E112" i="13"/>
  <c r="E113" i="13"/>
  <c r="E114" i="13"/>
  <c r="E115" i="13"/>
  <c r="E116" i="13"/>
  <c r="E117" i="13"/>
  <c r="E118" i="13"/>
  <c r="E119" i="13"/>
  <c r="E120" i="13"/>
  <c r="E121" i="13"/>
  <c r="E122" i="13"/>
  <c r="E123" i="13"/>
  <c r="E124" i="13"/>
  <c r="E125" i="13"/>
  <c r="E126" i="13"/>
  <c r="E127" i="13"/>
  <c r="E128" i="13"/>
  <c r="E129" i="13"/>
  <c r="E130" i="13"/>
  <c r="E131" i="13"/>
  <c r="E132" i="13"/>
  <c r="E133" i="13"/>
  <c r="E134" i="13"/>
  <c r="E135" i="13"/>
  <c r="E136" i="13"/>
  <c r="E137" i="13"/>
  <c r="E138" i="13"/>
  <c r="E139" i="13"/>
  <c r="E140" i="13"/>
  <c r="E141" i="13"/>
  <c r="E142" i="13"/>
  <c r="E143" i="13"/>
  <c r="E144" i="13"/>
  <c r="E145" i="13"/>
  <c r="E146" i="13"/>
  <c r="E147" i="13"/>
  <c r="G55" i="13"/>
  <c r="G56" i="13"/>
  <c r="G57" i="13"/>
  <c r="G58" i="13"/>
  <c r="G59" i="13"/>
  <c r="G60" i="13"/>
  <c r="G61" i="13"/>
  <c r="G62" i="13"/>
  <c r="G63" i="13"/>
  <c r="G64" i="13"/>
  <c r="G65" i="13"/>
  <c r="G66" i="13"/>
  <c r="G67" i="13"/>
  <c r="G68" i="13"/>
  <c r="G69" i="13"/>
  <c r="G70" i="13"/>
  <c r="G71" i="13"/>
  <c r="G72" i="13"/>
  <c r="G73" i="13"/>
  <c r="G74" i="13"/>
  <c r="G75" i="13"/>
  <c r="G76" i="13"/>
  <c r="G77" i="13"/>
  <c r="G78" i="13"/>
  <c r="G79" i="13"/>
  <c r="G80" i="13"/>
  <c r="G81" i="13"/>
  <c r="G82" i="13"/>
  <c r="G83" i="13"/>
  <c r="G84" i="13"/>
  <c r="G85" i="13"/>
  <c r="G86" i="13"/>
  <c r="G87" i="13"/>
  <c r="G88" i="13"/>
  <c r="G89" i="13"/>
  <c r="G90" i="13"/>
  <c r="G91" i="13"/>
  <c r="G92" i="13"/>
  <c r="G93" i="13"/>
  <c r="G94" i="13"/>
  <c r="G95" i="13"/>
  <c r="G96" i="13"/>
  <c r="G97" i="13"/>
  <c r="G98" i="13"/>
  <c r="G99" i="13"/>
  <c r="G100" i="13"/>
  <c r="G101" i="13"/>
  <c r="G102" i="13"/>
  <c r="G103" i="13"/>
  <c r="G104" i="13"/>
  <c r="G105" i="13"/>
  <c r="G106" i="13"/>
  <c r="G107" i="13"/>
  <c r="G108" i="13"/>
  <c r="G109" i="13"/>
  <c r="G110" i="13"/>
  <c r="G111" i="13"/>
  <c r="G112" i="13"/>
  <c r="G113" i="13"/>
  <c r="G114" i="13"/>
  <c r="G115" i="13"/>
  <c r="G116" i="13"/>
  <c r="G117" i="13"/>
  <c r="G118" i="13"/>
  <c r="G119" i="13"/>
  <c r="G120" i="13"/>
  <c r="G121" i="13"/>
  <c r="G122" i="13"/>
  <c r="G123" i="13"/>
  <c r="G124" i="13"/>
  <c r="G125" i="13"/>
  <c r="G126" i="13"/>
  <c r="G127" i="13"/>
  <c r="G128" i="13"/>
  <c r="G129" i="13"/>
  <c r="G130" i="13"/>
  <c r="G131" i="13"/>
  <c r="G132" i="13"/>
  <c r="G133" i="13"/>
  <c r="G134" i="13"/>
  <c r="G135" i="13"/>
  <c r="G136" i="13"/>
  <c r="G137" i="13"/>
  <c r="G138" i="13"/>
  <c r="G139" i="13"/>
  <c r="G140" i="13"/>
  <c r="G141" i="13"/>
  <c r="G142" i="13"/>
  <c r="G143" i="13"/>
  <c r="G144" i="13"/>
  <c r="G145" i="13"/>
  <c r="G146" i="13"/>
  <c r="G147" i="13"/>
  <c r="G57" i="27" l="1"/>
  <c r="G58" i="27"/>
  <c r="G59" i="27"/>
  <c r="G60" i="27"/>
  <c r="G61" i="27"/>
  <c r="C39" i="27"/>
  <c r="D195" i="13"/>
  <c r="D196" i="13"/>
  <c r="D197" i="13"/>
  <c r="D198" i="13"/>
  <c r="D199" i="13"/>
  <c r="D200" i="13"/>
  <c r="D201" i="13"/>
  <c r="D202" i="13"/>
  <c r="D203" i="13"/>
  <c r="D204" i="13"/>
  <c r="D205" i="13"/>
  <c r="D206" i="13"/>
  <c r="D207" i="13"/>
  <c r="D208" i="13"/>
  <c r="D209" i="13"/>
  <c r="D210" i="13"/>
  <c r="D211" i="13"/>
  <c r="D212" i="13"/>
  <c r="D213" i="13"/>
  <c r="D214" i="13"/>
  <c r="D215" i="13"/>
  <c r="D216" i="13"/>
  <c r="D217" i="13"/>
  <c r="D218" i="13"/>
  <c r="D219" i="13"/>
  <c r="D220" i="13"/>
  <c r="D221" i="13"/>
  <c r="D222" i="13"/>
  <c r="D223" i="13"/>
  <c r="D224" i="13"/>
  <c r="D225" i="13"/>
  <c r="D226" i="13"/>
  <c r="D227" i="13"/>
  <c r="D228" i="13"/>
  <c r="D229" i="13"/>
  <c r="D230" i="13"/>
  <c r="D231" i="13"/>
  <c r="D232" i="13"/>
  <c r="D233" i="13"/>
  <c r="D234" i="13"/>
  <c r="D235" i="13"/>
  <c r="D236" i="13"/>
  <c r="D237" i="13"/>
  <c r="D238" i="13"/>
  <c r="D239" i="13"/>
  <c r="D240" i="13"/>
  <c r="D241" i="13"/>
  <c r="D242" i="13"/>
  <c r="D243" i="13"/>
  <c r="D244" i="13"/>
  <c r="D245" i="13"/>
  <c r="D246" i="13"/>
  <c r="D247" i="13"/>
  <c r="D248" i="13"/>
  <c r="D249" i="13"/>
  <c r="D250" i="13"/>
  <c r="D251" i="13"/>
  <c r="D252" i="13"/>
  <c r="D253" i="13"/>
  <c r="D254" i="13"/>
  <c r="D255" i="13"/>
  <c r="D256" i="13"/>
  <c r="D257" i="13"/>
  <c r="D258" i="13"/>
  <c r="D259" i="13"/>
  <c r="D260" i="13"/>
  <c r="D261" i="13"/>
  <c r="D262" i="13"/>
  <c r="D263" i="13"/>
  <c r="D264" i="13"/>
  <c r="D265" i="13"/>
  <c r="D266" i="13"/>
  <c r="D267" i="13"/>
  <c r="D268" i="13"/>
  <c r="D269" i="13"/>
  <c r="D174" i="13"/>
  <c r="D175" i="13"/>
  <c r="D176" i="13"/>
  <c r="D177" i="13"/>
  <c r="D178" i="13"/>
  <c r="D179" i="13"/>
  <c r="D180" i="13"/>
  <c r="D181" i="13"/>
  <c r="D182" i="13"/>
  <c r="D183" i="13"/>
  <c r="D184" i="13"/>
  <c r="D185" i="13"/>
  <c r="D186" i="13"/>
  <c r="D187" i="13"/>
  <c r="D188" i="13"/>
  <c r="D189" i="13"/>
  <c r="D190" i="13"/>
  <c r="D191" i="13"/>
  <c r="D192" i="13"/>
  <c r="D193" i="13"/>
  <c r="D194" i="13"/>
  <c r="C20" i="27" l="1"/>
  <c r="C16" i="27"/>
  <c r="E23" i="13"/>
  <c r="D26" i="20"/>
  <c r="T47" i="13"/>
  <c r="C78" i="10"/>
  <c r="H56" i="31"/>
  <c r="C71" i="10"/>
  <c r="C68" i="10"/>
  <c r="C78" i="31" l="1"/>
  <c r="C77" i="31"/>
  <c r="D28" i="22" l="1"/>
  <c r="E25" i="22"/>
  <c r="D25" i="22"/>
  <c r="C25" i="22"/>
  <c r="E24" i="22"/>
  <c r="D24" i="22"/>
  <c r="C24" i="22"/>
  <c r="D15" i="22"/>
  <c r="E15" i="22"/>
  <c r="C15" i="22"/>
  <c r="P14" i="15"/>
  <c r="J14" i="15"/>
  <c r="D14" i="15"/>
  <c r="D24" i="9"/>
  <c r="D27" i="9"/>
  <c r="D28" i="9"/>
  <c r="D26" i="9"/>
  <c r="D48" i="15"/>
  <c r="P48" i="15"/>
  <c r="J48" i="15"/>
  <c r="H57" i="31" l="1"/>
  <c r="B155" i="10"/>
  <c r="D411" i="13"/>
  <c r="D412" i="13"/>
  <c r="D413" i="13"/>
  <c r="D414" i="13"/>
  <c r="D415" i="13"/>
  <c r="D416" i="13"/>
  <c r="D417" i="13"/>
  <c r="D418" i="13"/>
  <c r="D419" i="13"/>
  <c r="D420" i="13"/>
  <c r="C102" i="10"/>
  <c r="C101" i="10"/>
  <c r="C100" i="10"/>
  <c r="C90" i="10"/>
  <c r="C89" i="10"/>
  <c r="J3" i="34"/>
  <c r="B35" i="26"/>
  <c r="D401" i="13"/>
  <c r="E401" i="13" s="1"/>
  <c r="G272" i="13"/>
  <c r="J272" i="13"/>
  <c r="BN278" i="13"/>
  <c r="BN275" i="13"/>
  <c r="K146" i="9"/>
  <c r="K147" i="9"/>
  <c r="L147" i="9"/>
  <c r="K148" i="9"/>
  <c r="L148" i="9"/>
  <c r="K149" i="9"/>
  <c r="L149" i="9" s="1"/>
  <c r="K150" i="9"/>
  <c r="L150" i="9" s="1"/>
  <c r="K151" i="9"/>
  <c r="L151" i="9" s="1"/>
  <c r="C172" i="13"/>
  <c r="C173" i="13"/>
  <c r="C174" i="13"/>
  <c r="C175" i="13"/>
  <c r="C176" i="13"/>
  <c r="C177" i="13"/>
  <c r="C178" i="13"/>
  <c r="C179" i="13"/>
  <c r="C180" i="13"/>
  <c r="C181" i="13"/>
  <c r="C182" i="13"/>
  <c r="C183" i="13"/>
  <c r="C184" i="13"/>
  <c r="C185" i="13"/>
  <c r="C186" i="13"/>
  <c r="C187" i="13"/>
  <c r="C188" i="13"/>
  <c r="C189" i="13"/>
  <c r="C190" i="13"/>
  <c r="C191" i="13"/>
  <c r="C192" i="13"/>
  <c r="C193" i="13"/>
  <c r="C194" i="13"/>
  <c r="C195" i="13"/>
  <c r="C196" i="13"/>
  <c r="C197" i="13"/>
  <c r="C198" i="13"/>
  <c r="C199" i="13"/>
  <c r="C200" i="13"/>
  <c r="C201" i="13"/>
  <c r="C202" i="13"/>
  <c r="C203" i="13"/>
  <c r="C204" i="13"/>
  <c r="C205" i="13"/>
  <c r="C206" i="13"/>
  <c r="C207" i="13"/>
  <c r="C208" i="13"/>
  <c r="C209" i="13"/>
  <c r="C210" i="13"/>
  <c r="C211" i="13"/>
  <c r="C212" i="13"/>
  <c r="C213" i="13"/>
  <c r="C214" i="13"/>
  <c r="C215" i="13"/>
  <c r="C216" i="13"/>
  <c r="C217" i="13"/>
  <c r="C218" i="13"/>
  <c r="C219" i="13"/>
  <c r="C220" i="13"/>
  <c r="C221" i="13"/>
  <c r="C222" i="13"/>
  <c r="C223" i="13"/>
  <c r="C224" i="13"/>
  <c r="C225" i="13"/>
  <c r="C226" i="13"/>
  <c r="C227" i="13"/>
  <c r="C228" i="13"/>
  <c r="C229" i="13"/>
  <c r="C230" i="13"/>
  <c r="C231" i="13"/>
  <c r="C232" i="13"/>
  <c r="C233" i="13"/>
  <c r="C234" i="13"/>
  <c r="C235" i="13"/>
  <c r="C236" i="13"/>
  <c r="C237" i="13"/>
  <c r="C238" i="13"/>
  <c r="C239" i="13"/>
  <c r="C240" i="13"/>
  <c r="C241" i="13"/>
  <c r="C242" i="13"/>
  <c r="C243" i="13"/>
  <c r="C244" i="13"/>
  <c r="C245" i="13"/>
  <c r="C246" i="13"/>
  <c r="C247" i="13"/>
  <c r="C248" i="13"/>
  <c r="C249" i="13"/>
  <c r="C250" i="13"/>
  <c r="C251" i="13"/>
  <c r="C252" i="13"/>
  <c r="C253" i="13"/>
  <c r="C254" i="13"/>
  <c r="C255" i="13"/>
  <c r="C256" i="13"/>
  <c r="C257" i="13"/>
  <c r="C258" i="13"/>
  <c r="C259" i="13"/>
  <c r="C260" i="13"/>
  <c r="C261" i="13"/>
  <c r="C262" i="13"/>
  <c r="C263" i="13"/>
  <c r="C264" i="13"/>
  <c r="C265" i="13"/>
  <c r="C266" i="13"/>
  <c r="C267" i="13"/>
  <c r="C268" i="13"/>
  <c r="C269" i="13"/>
  <c r="C171" i="13"/>
  <c r="AA268" i="13"/>
  <c r="E29" i="13"/>
  <c r="C22" i="10" s="1"/>
  <c r="E28" i="13"/>
  <c r="F158" i="13" s="1"/>
  <c r="I158" i="13" s="1"/>
  <c r="E27" i="13"/>
  <c r="E26" i="13"/>
  <c r="E25" i="13"/>
  <c r="C19" i="10" s="1"/>
  <c r="E24" i="13"/>
  <c r="C18" i="10" s="1"/>
  <c r="C17" i="10"/>
  <c r="E22" i="13"/>
  <c r="C16" i="10" s="1"/>
  <c r="E21" i="13"/>
  <c r="C15" i="10" s="1"/>
  <c r="E20" i="13"/>
  <c r="C14" i="10" s="1"/>
  <c r="E19" i="13"/>
  <c r="C13" i="10" s="1"/>
  <c r="E18" i="13"/>
  <c r="C12" i="10" s="1"/>
  <c r="F166" i="13" l="1"/>
  <c r="F201" i="13"/>
  <c r="AA267" i="13"/>
  <c r="K201" i="13"/>
  <c r="K196" i="13"/>
  <c r="N186" i="13"/>
  <c r="Q251" i="13"/>
  <c r="AV248" i="13"/>
  <c r="Q236" i="13"/>
  <c r="F208" i="13"/>
  <c r="R170" i="13"/>
  <c r="K208" i="13"/>
  <c r="Z231" i="13"/>
  <c r="K200" i="13"/>
  <c r="BK257" i="13"/>
  <c r="N188" i="13"/>
  <c r="AW248" i="13"/>
  <c r="F207" i="13"/>
  <c r="R265" i="13"/>
  <c r="AA261" i="13"/>
  <c r="N267" i="13"/>
  <c r="N253" i="13"/>
  <c r="AR256" i="13"/>
  <c r="F202" i="13"/>
  <c r="BC182" i="13"/>
  <c r="BA27" i="28" s="1"/>
  <c r="AJ210" i="13"/>
  <c r="BB229" i="13"/>
  <c r="AU241" i="13"/>
  <c r="BC249" i="13"/>
  <c r="AH259" i="13"/>
  <c r="BE267" i="13"/>
  <c r="Y186" i="13"/>
  <c r="AA31" i="28" s="1"/>
  <c r="AB231" i="13"/>
  <c r="AB170" i="13"/>
  <c r="AD15" i="28" s="1"/>
  <c r="U241" i="13"/>
  <c r="S215" i="13"/>
  <c r="R207" i="13"/>
  <c r="Q179" i="13"/>
  <c r="Q257" i="13"/>
  <c r="P242" i="13"/>
  <c r="O224" i="13"/>
  <c r="N209" i="13"/>
  <c r="M181" i="13"/>
  <c r="R26" i="28" s="1"/>
  <c r="M261" i="13"/>
  <c r="L246" i="13"/>
  <c r="K222" i="13"/>
  <c r="I193" i="13"/>
  <c r="I253" i="13"/>
  <c r="F214" i="13"/>
  <c r="AL211" i="13"/>
  <c r="AK231" i="13"/>
  <c r="AZ241" i="13"/>
  <c r="AM251" i="13"/>
  <c r="AU259" i="13"/>
  <c r="BI267" i="13"/>
  <c r="Y191" i="13"/>
  <c r="AA243" i="13"/>
  <c r="T176" i="13"/>
  <c r="T242" i="13"/>
  <c r="S220" i="13"/>
  <c r="R208" i="13"/>
  <c r="Q193" i="13"/>
  <c r="Q265" i="13"/>
  <c r="P244" i="13"/>
  <c r="O229" i="13"/>
  <c r="N210" i="13"/>
  <c r="M196" i="13"/>
  <c r="M268" i="13"/>
  <c r="L247" i="13"/>
  <c r="K227" i="13"/>
  <c r="I200" i="13"/>
  <c r="I257" i="13"/>
  <c r="F221" i="13"/>
  <c r="AU234" i="13"/>
  <c r="L189" i="13"/>
  <c r="Q34" i="28" s="1"/>
  <c r="BF234" i="13"/>
  <c r="AY245" i="13"/>
  <c r="BM262" i="13"/>
  <c r="AA255" i="13"/>
  <c r="T264" i="13"/>
  <c r="Q221" i="13"/>
  <c r="M225" i="13"/>
  <c r="F181" i="13"/>
  <c r="N26" i="28" s="1"/>
  <c r="AL190" i="13"/>
  <c r="AU219" i="13"/>
  <c r="BL234" i="13"/>
  <c r="BF245" i="13"/>
  <c r="BN254" i="13"/>
  <c r="AT264" i="13"/>
  <c r="AU170" i="13"/>
  <c r="AS15" i="28" s="1"/>
  <c r="AB213" i="13"/>
  <c r="AB255" i="13"/>
  <c r="T212" i="13"/>
  <c r="T268" i="13"/>
  <c r="S253" i="13"/>
  <c r="R241" i="13"/>
  <c r="Q222" i="13"/>
  <c r="P208" i="13"/>
  <c r="O180" i="13"/>
  <c r="O259" i="13"/>
  <c r="N244" i="13"/>
  <c r="M226" i="13"/>
  <c r="L211" i="13"/>
  <c r="K182" i="13"/>
  <c r="P27" i="28" s="1"/>
  <c r="K254" i="13"/>
  <c r="I226" i="13"/>
  <c r="F182" i="13"/>
  <c r="N27" i="28" s="1"/>
  <c r="F247" i="13"/>
  <c r="BA211" i="13"/>
  <c r="AU231" i="13"/>
  <c r="BO242" i="13"/>
  <c r="BN251" i="13"/>
  <c r="AP261" i="13"/>
  <c r="AR268" i="13"/>
  <c r="Y194" i="13"/>
  <c r="AA244" i="13"/>
  <c r="T188" i="13"/>
  <c r="T248" i="13"/>
  <c r="S221" i="13"/>
  <c r="R212" i="13"/>
  <c r="Q194" i="13"/>
  <c r="P179" i="13"/>
  <c r="P251" i="13"/>
  <c r="O231" i="13"/>
  <c r="N216" i="13"/>
  <c r="M197" i="13"/>
  <c r="L183" i="13"/>
  <c r="Q28" i="28" s="1"/>
  <c r="L255" i="13"/>
  <c r="K228" i="13"/>
  <c r="I201" i="13"/>
  <c r="I259" i="13"/>
  <c r="F228" i="13"/>
  <c r="AM219" i="13"/>
  <c r="AS253" i="13"/>
  <c r="BD262" i="13"/>
  <c r="AJ170" i="13"/>
  <c r="AH15" i="28" s="1"/>
  <c r="AA207" i="13"/>
  <c r="AA249" i="13"/>
  <c r="T194" i="13"/>
  <c r="U263" i="13"/>
  <c r="S247" i="13"/>
  <c r="Q207" i="13"/>
  <c r="P187" i="13"/>
  <c r="O172" i="13"/>
  <c r="N239" i="13"/>
  <c r="K174" i="13"/>
  <c r="P19" i="28" s="1"/>
  <c r="I213" i="13"/>
  <c r="F234" i="13"/>
  <c r="AN219" i="13"/>
  <c r="Y209" i="13"/>
  <c r="S252" i="13"/>
  <c r="P193" i="13"/>
  <c r="O258" i="13"/>
  <c r="L197" i="13"/>
  <c r="I219" i="13"/>
  <c r="BB191" i="13"/>
  <c r="BN223" i="13"/>
  <c r="BJ235" i="13"/>
  <c r="AX246" i="13"/>
  <c r="BI255" i="13"/>
  <c r="AW264" i="13"/>
  <c r="AA215" i="13"/>
  <c r="Z258" i="13"/>
  <c r="U212" i="13"/>
  <c r="S181" i="13"/>
  <c r="S261" i="13"/>
  <c r="R243" i="13"/>
  <c r="Q228" i="13"/>
  <c r="P209" i="13"/>
  <c r="O195" i="13"/>
  <c r="O267" i="13"/>
  <c r="N245" i="13"/>
  <c r="M230" i="13"/>
  <c r="L212" i="13"/>
  <c r="K195" i="13"/>
  <c r="K260" i="13"/>
  <c r="I227" i="13"/>
  <c r="F188" i="13"/>
  <c r="N33" i="28" s="1"/>
  <c r="F254" i="13"/>
  <c r="BL193" i="13"/>
  <c r="AP224" i="13"/>
  <c r="BM237" i="13"/>
  <c r="BL246" i="13"/>
  <c r="AQ256" i="13"/>
  <c r="AX265" i="13"/>
  <c r="Y216" i="13"/>
  <c r="AA258" i="13"/>
  <c r="U217" i="13"/>
  <c r="S182" i="13"/>
  <c r="R177" i="13"/>
  <c r="R249" i="13"/>
  <c r="Q229" i="13"/>
  <c r="P214" i="13"/>
  <c r="BN215" i="13"/>
  <c r="AV231" i="13"/>
  <c r="AG243" i="13"/>
  <c r="AW252" i="13"/>
  <c r="BF261" i="13"/>
  <c r="AT269" i="13"/>
  <c r="Z194" i="13"/>
  <c r="Z246" i="13"/>
  <c r="T190" i="13"/>
  <c r="U259" i="13"/>
  <c r="S229" i="13"/>
  <c r="R213" i="13"/>
  <c r="Q198" i="13"/>
  <c r="P180" i="13"/>
  <c r="P265" i="13"/>
  <c r="O237" i="13"/>
  <c r="N217" i="13"/>
  <c r="M202" i="13"/>
  <c r="L184" i="13"/>
  <c r="Q29" i="28" s="1"/>
  <c r="L269" i="13"/>
  <c r="K234" i="13"/>
  <c r="I205" i="13"/>
  <c r="I265" i="13"/>
  <c r="F229" i="13"/>
  <c r="L170" i="13"/>
  <c r="Q15" i="28" s="1"/>
  <c r="K247" i="13"/>
  <c r="I206" i="13"/>
  <c r="F175" i="13"/>
  <c r="N20" i="28" s="1"/>
  <c r="F233" i="13"/>
  <c r="AR245" i="13"/>
  <c r="R235" i="13"/>
  <c r="O253" i="13"/>
  <c r="M211" i="13"/>
  <c r="K248" i="13"/>
  <c r="F176" i="13"/>
  <c r="N21" i="28" s="1"/>
  <c r="BB178" i="13"/>
  <c r="AZ23" i="28" s="1"/>
  <c r="BM254" i="13"/>
  <c r="AP170" i="13"/>
  <c r="AN15" i="28" s="1"/>
  <c r="T200" i="13"/>
  <c r="R236" i="13"/>
  <c r="O173" i="13"/>
  <c r="N240" i="13"/>
  <c r="K175" i="13"/>
  <c r="P20" i="28" s="1"/>
  <c r="K253" i="13"/>
  <c r="F241" i="13"/>
  <c r="AI171" i="13"/>
  <c r="AG16" i="28" s="1"/>
  <c r="BO215" i="13"/>
  <c r="AT233" i="13"/>
  <c r="AP243" i="13"/>
  <c r="BA252" i="13"/>
  <c r="BO261" i="13"/>
  <c r="AU269" i="13"/>
  <c r="AA198" i="13"/>
  <c r="AA246" i="13"/>
  <c r="U193" i="13"/>
  <c r="U260" i="13"/>
  <c r="S245" i="13"/>
  <c r="R221" i="13"/>
  <c r="Q200" i="13"/>
  <c r="P185" i="13"/>
  <c r="P266" i="13"/>
  <c r="O252" i="13"/>
  <c r="N224" i="13"/>
  <c r="M203" i="13"/>
  <c r="L188" i="13"/>
  <c r="Q33" i="28" s="1"/>
  <c r="AN171" i="13"/>
  <c r="AL16" i="28" s="1"/>
  <c r="AO206" i="13"/>
  <c r="BO226" i="13"/>
  <c r="BE239" i="13"/>
  <c r="AW249" i="13"/>
  <c r="BN257" i="13"/>
  <c r="BK206" i="13"/>
  <c r="BA229" i="13"/>
  <c r="BK239" i="13"/>
  <c r="BB249" i="13"/>
  <c r="BO258" i="13"/>
  <c r="AV267" i="13"/>
  <c r="AB177" i="13"/>
  <c r="AD22" i="28" s="1"/>
  <c r="AA231" i="13"/>
  <c r="AA170" i="13"/>
  <c r="AC15" i="28" s="1"/>
  <c r="T238" i="13"/>
  <c r="S213" i="13"/>
  <c r="R192" i="13"/>
  <c r="Q171" i="13"/>
  <c r="Q256" i="13"/>
  <c r="P238" i="13"/>
  <c r="O223" i="13"/>
  <c r="N195" i="13"/>
  <c r="M175" i="13"/>
  <c r="R20" i="28" s="1"/>
  <c r="M260" i="13"/>
  <c r="L241" i="13"/>
  <c r="K221" i="13"/>
  <c r="I187" i="13"/>
  <c r="O32" i="28" s="1"/>
  <c r="L240" i="13"/>
  <c r="N182" i="13"/>
  <c r="L225" i="13"/>
  <c r="N181" i="13"/>
  <c r="R185" i="13"/>
  <c r="AA224" i="13"/>
  <c r="I239" i="13"/>
  <c r="L217" i="13"/>
  <c r="O201" i="13"/>
  <c r="R178" i="13"/>
  <c r="Y177" i="13"/>
  <c r="AA22" i="28" s="1"/>
  <c r="AG225" i="13"/>
  <c r="I232" i="13"/>
  <c r="M254" i="13"/>
  <c r="O200" i="13"/>
  <c r="S197" i="13"/>
  <c r="AS198" i="13"/>
  <c r="I231" i="13"/>
  <c r="M253" i="13"/>
  <c r="O196" i="13"/>
  <c r="S189" i="13"/>
  <c r="AN198" i="13"/>
  <c r="F195" i="13"/>
  <c r="AS239" i="13"/>
  <c r="AO238" i="13"/>
  <c r="I245" i="13"/>
  <c r="O209" i="13"/>
  <c r="BB226" i="13"/>
  <c r="F267" i="13"/>
  <c r="I180" i="13"/>
  <c r="O25" i="28" s="1"/>
  <c r="M239" i="13"/>
  <c r="P237" i="13"/>
  <c r="S188" i="13"/>
  <c r="I252" i="13"/>
  <c r="Y225" i="13"/>
  <c r="L219" i="13"/>
  <c r="R184" i="13"/>
  <c r="AA177" i="13"/>
  <c r="AC22" i="28" s="1"/>
  <c r="F260" i="13"/>
  <c r="I179" i="13"/>
  <c r="O24" i="28" s="1"/>
  <c r="M232" i="13"/>
  <c r="P223" i="13"/>
  <c r="T236" i="13"/>
  <c r="BH266" i="13"/>
  <c r="F259" i="13"/>
  <c r="I175" i="13"/>
  <c r="O20" i="28" s="1"/>
  <c r="M173" i="13"/>
  <c r="R18" i="28" s="1"/>
  <c r="P215" i="13"/>
  <c r="T224" i="13"/>
  <c r="BC265" i="13"/>
  <c r="R264" i="13"/>
  <c r="F255" i="13"/>
  <c r="I173" i="13"/>
  <c r="O18" i="28" s="1"/>
  <c r="N268" i="13"/>
  <c r="Q252" i="13"/>
  <c r="T218" i="13"/>
  <c r="BA265" i="13"/>
  <c r="F258" i="13"/>
  <c r="F232" i="13"/>
  <c r="F206" i="13"/>
  <c r="F180" i="13"/>
  <c r="N25" i="28" s="1"/>
  <c r="I256" i="13"/>
  <c r="I230" i="13"/>
  <c r="I204" i="13"/>
  <c r="I178" i="13"/>
  <c r="O23" i="28" s="1"/>
  <c r="K252" i="13"/>
  <c r="K225" i="13"/>
  <c r="K199" i="13"/>
  <c r="K173" i="13"/>
  <c r="P18" i="28" s="1"/>
  <c r="L245" i="13"/>
  <c r="L216" i="13"/>
  <c r="L187" i="13"/>
  <c r="Q32" i="28" s="1"/>
  <c r="M259" i="13"/>
  <c r="M229" i="13"/>
  <c r="M201" i="13"/>
  <c r="M172" i="13"/>
  <c r="R17" i="28" s="1"/>
  <c r="N243" i="13"/>
  <c r="N215" i="13"/>
  <c r="N185" i="13"/>
  <c r="O257" i="13"/>
  <c r="O228" i="13"/>
  <c r="O199" i="13"/>
  <c r="O171" i="13"/>
  <c r="P241" i="13"/>
  <c r="P213" i="13"/>
  <c r="P184" i="13"/>
  <c r="Q255" i="13"/>
  <c r="Q227" i="13"/>
  <c r="Q197" i="13"/>
  <c r="R269" i="13"/>
  <c r="R240" i="13"/>
  <c r="R211" i="13"/>
  <c r="R183" i="13"/>
  <c r="S251" i="13"/>
  <c r="S218" i="13"/>
  <c r="S187" i="13"/>
  <c r="T263" i="13"/>
  <c r="T240" i="13"/>
  <c r="T217" i="13"/>
  <c r="T193" i="13"/>
  <c r="AA269" i="13"/>
  <c r="Y258" i="13"/>
  <c r="Y246" i="13"/>
  <c r="Y231" i="13"/>
  <c r="AA209" i="13"/>
  <c r="AB192" i="13"/>
  <c r="AB174" i="13"/>
  <c r="AD19" i="28" s="1"/>
  <c r="AZ269" i="13"/>
  <c r="BD267" i="13"/>
  <c r="AN265" i="13"/>
  <c r="BI261" i="13"/>
  <c r="BL258" i="13"/>
  <c r="AK255" i="13"/>
  <c r="AT252" i="13"/>
  <c r="AQ249" i="13"/>
  <c r="BE245" i="13"/>
  <c r="BN242" i="13"/>
  <c r="AY238" i="13"/>
  <c r="BE234" i="13"/>
  <c r="BH230" i="13"/>
  <c r="BO224" i="13"/>
  <c r="BL218" i="13"/>
  <c r="AM207" i="13"/>
  <c r="BM192" i="13"/>
  <c r="AH171" i="13"/>
  <c r="AF16" i="28" s="1"/>
  <c r="F257" i="13"/>
  <c r="F231" i="13"/>
  <c r="F205" i="13"/>
  <c r="F178" i="13"/>
  <c r="N23" i="28" s="1"/>
  <c r="I255" i="13"/>
  <c r="I229" i="13"/>
  <c r="I203" i="13"/>
  <c r="I177" i="13"/>
  <c r="O22" i="28" s="1"/>
  <c r="K251" i="13"/>
  <c r="K224" i="13"/>
  <c r="K198" i="13"/>
  <c r="K172" i="13"/>
  <c r="P17" i="28" s="1"/>
  <c r="L244" i="13"/>
  <c r="L214" i="13"/>
  <c r="L186" i="13"/>
  <c r="Q31" i="28" s="1"/>
  <c r="M257" i="13"/>
  <c r="M228" i="13"/>
  <c r="M200" i="13"/>
  <c r="N170" i="13"/>
  <c r="N242" i="13"/>
  <c r="N213" i="13"/>
  <c r="N184" i="13"/>
  <c r="O256" i="13"/>
  <c r="O226" i="13"/>
  <c r="O198" i="13"/>
  <c r="P269" i="13"/>
  <c r="P240" i="13"/>
  <c r="P212" i="13"/>
  <c r="P182" i="13"/>
  <c r="Q254" i="13"/>
  <c r="Q225" i="13"/>
  <c r="Q196" i="13"/>
  <c r="R268" i="13"/>
  <c r="R238" i="13"/>
  <c r="R210" i="13"/>
  <c r="R181" i="13"/>
  <c r="S249" i="13"/>
  <c r="S217" i="13"/>
  <c r="S185" i="13"/>
  <c r="U261" i="13"/>
  <c r="U239" i="13"/>
  <c r="U215" i="13"/>
  <c r="U191" i="13"/>
  <c r="Z269" i="13"/>
  <c r="Z257" i="13"/>
  <c r="Z245" i="13"/>
  <c r="Y230" i="13"/>
  <c r="Z209" i="13"/>
  <c r="Z192" i="13"/>
  <c r="AW269" i="13"/>
  <c r="BC267" i="13"/>
  <c r="AY264" i="13"/>
  <c r="BH261" i="13"/>
  <c r="BH258" i="13"/>
  <c r="AJ255" i="13"/>
  <c r="AS252" i="13"/>
  <c r="AX248" i="13"/>
  <c r="BB245" i="13"/>
  <c r="AU242" i="13"/>
  <c r="AX238" i="13"/>
  <c r="AZ234" i="13"/>
  <c r="BD229" i="13"/>
  <c r="BM224" i="13"/>
  <c r="AT218" i="13"/>
  <c r="AL207" i="13"/>
  <c r="BL192" i="13"/>
  <c r="AG171" i="13"/>
  <c r="AE16" i="28" s="1"/>
  <c r="K267" i="13"/>
  <c r="K241" i="13"/>
  <c r="K215" i="13"/>
  <c r="K188" i="13"/>
  <c r="P33" i="28" s="1"/>
  <c r="L233" i="13"/>
  <c r="L204" i="13"/>
  <c r="L175" i="13"/>
  <c r="Q20" i="28" s="1"/>
  <c r="M217" i="13"/>
  <c r="N231" i="13"/>
  <c r="S237" i="13"/>
  <c r="F246" i="13"/>
  <c r="F220" i="13"/>
  <c r="F194" i="13"/>
  <c r="I244" i="13"/>
  <c r="I218" i="13"/>
  <c r="I192" i="13"/>
  <c r="K266" i="13"/>
  <c r="K240" i="13"/>
  <c r="K213" i="13"/>
  <c r="K187" i="13"/>
  <c r="P32" i="28" s="1"/>
  <c r="L260" i="13"/>
  <c r="L232" i="13"/>
  <c r="L202" i="13"/>
  <c r="L174" i="13"/>
  <c r="Q19" i="28" s="1"/>
  <c r="M245" i="13"/>
  <c r="M216" i="13"/>
  <c r="M188" i="13"/>
  <c r="R33" i="28" s="1"/>
  <c r="N258" i="13"/>
  <c r="N230" i="13"/>
  <c r="N201" i="13"/>
  <c r="N172" i="13"/>
  <c r="O244" i="13"/>
  <c r="O214" i="13"/>
  <c r="O186" i="13"/>
  <c r="P257" i="13"/>
  <c r="P228" i="13"/>
  <c r="P200" i="13"/>
  <c r="Q170" i="13"/>
  <c r="Q242" i="13"/>
  <c r="Q213" i="13"/>
  <c r="Q184" i="13"/>
  <c r="R256" i="13"/>
  <c r="R226" i="13"/>
  <c r="R198" i="13"/>
  <c r="S268" i="13"/>
  <c r="S236" i="13"/>
  <c r="S204" i="13"/>
  <c r="S172" i="13"/>
  <c r="U253" i="13"/>
  <c r="U229" i="13"/>
  <c r="U205" i="13"/>
  <c r="U181" i="13"/>
  <c r="Z264" i="13"/>
  <c r="Z252" i="13"/>
  <c r="Y240" i="13"/>
  <c r="AB222" i="13"/>
  <c r="Z201" i="13"/>
  <c r="Z185" i="13"/>
  <c r="AB30" i="28" s="1"/>
  <c r="BF268" i="13"/>
  <c r="BF266" i="13"/>
  <c r="AH264" i="13"/>
  <c r="AV260" i="13"/>
  <c r="AW257" i="13"/>
  <c r="BN253" i="13"/>
  <c r="AG251" i="13"/>
  <c r="BM247" i="13"/>
  <c r="AU244" i="13"/>
  <c r="AQ241" i="13"/>
  <c r="BH236" i="13"/>
  <c r="BI232" i="13"/>
  <c r="AK229" i="13"/>
  <c r="AR222" i="13"/>
  <c r="BL214" i="13"/>
  <c r="AO202" i="13"/>
  <c r="AG184" i="13"/>
  <c r="AE29" i="28" s="1"/>
  <c r="L261" i="13"/>
  <c r="M247" i="13"/>
  <c r="M189" i="13"/>
  <c r="R34" i="28" s="1"/>
  <c r="N260" i="13"/>
  <c r="N203" i="13"/>
  <c r="N173" i="13"/>
  <c r="O245" i="13"/>
  <c r="O216" i="13"/>
  <c r="O187" i="13"/>
  <c r="P259" i="13"/>
  <c r="P229" i="13"/>
  <c r="P201" i="13"/>
  <c r="P172" i="13"/>
  <c r="Q243" i="13"/>
  <c r="Q215" i="13"/>
  <c r="Q185" i="13"/>
  <c r="R257" i="13"/>
  <c r="R228" i="13"/>
  <c r="R199" i="13"/>
  <c r="S269" i="13"/>
  <c r="S205" i="13"/>
  <c r="S173" i="13"/>
  <c r="T254" i="13"/>
  <c r="T230" i="13"/>
  <c r="T206" i="13"/>
  <c r="T182" i="13"/>
  <c r="AA264" i="13"/>
  <c r="AA252" i="13"/>
  <c r="Z240" i="13"/>
  <c r="Z224" i="13"/>
  <c r="Z206" i="13"/>
  <c r="AA185" i="13"/>
  <c r="AC30" i="28" s="1"/>
  <c r="AM269" i="13"/>
  <c r="BG266" i="13"/>
  <c r="AR264" i="13"/>
  <c r="BA260" i="13"/>
  <c r="BJ257" i="13"/>
  <c r="BF254" i="13"/>
  <c r="AJ251" i="13"/>
  <c r="AI248" i="13"/>
  <c r="BC244" i="13"/>
  <c r="AT241" i="13"/>
  <c r="BB237" i="13"/>
  <c r="AR233" i="13"/>
  <c r="AO229" i="13"/>
  <c r="AW222" i="13"/>
  <c r="AQ215" i="13"/>
  <c r="AS205" i="13"/>
  <c r="AJ185" i="13"/>
  <c r="AH30" i="28" s="1"/>
  <c r="F245" i="13"/>
  <c r="F219" i="13"/>
  <c r="F193" i="13"/>
  <c r="I269" i="13"/>
  <c r="I243" i="13"/>
  <c r="I217" i="13"/>
  <c r="I191" i="13"/>
  <c r="K265" i="13"/>
  <c r="K239" i="13"/>
  <c r="K212" i="13"/>
  <c r="K186" i="13"/>
  <c r="P31" i="28" s="1"/>
  <c r="L259" i="13"/>
  <c r="L231" i="13"/>
  <c r="L201" i="13"/>
  <c r="L173" i="13"/>
  <c r="Q18" i="28" s="1"/>
  <c r="M244" i="13"/>
  <c r="M215" i="13"/>
  <c r="M187" i="13"/>
  <c r="R32" i="28" s="1"/>
  <c r="N257" i="13"/>
  <c r="N229" i="13"/>
  <c r="N200" i="13"/>
  <c r="O243" i="13"/>
  <c r="O213" i="13"/>
  <c r="O185" i="13"/>
  <c r="P256" i="13"/>
  <c r="P227" i="13"/>
  <c r="P199" i="13"/>
  <c r="Q269" i="13"/>
  <c r="Q241" i="13"/>
  <c r="Q212" i="13"/>
  <c r="Q183" i="13"/>
  <c r="R255" i="13"/>
  <c r="R225" i="13"/>
  <c r="R197" i="13"/>
  <c r="S266" i="13"/>
  <c r="S235" i="13"/>
  <c r="S203" i="13"/>
  <c r="T170" i="13"/>
  <c r="T253" i="13"/>
  <c r="T229" i="13"/>
  <c r="T204" i="13"/>
  <c r="T181" i="13"/>
  <c r="Y264" i="13"/>
  <c r="AA251" i="13"/>
  <c r="AA239" i="13"/>
  <c r="AA221" i="13"/>
  <c r="Y201" i="13"/>
  <c r="Y185" i="13"/>
  <c r="AA30" i="28" s="1"/>
  <c r="BN170" i="13"/>
  <c r="BL15" i="28" s="1"/>
  <c r="BD268" i="13"/>
  <c r="AU266" i="13"/>
  <c r="AS263" i="13"/>
  <c r="AU260" i="13"/>
  <c r="AU257" i="13"/>
  <c r="BM253" i="13"/>
  <c r="BJ250" i="13"/>
  <c r="AK247" i="13"/>
  <c r="AL244" i="13"/>
  <c r="AO241" i="13"/>
  <c r="BG236" i="13"/>
  <c r="BH232" i="13"/>
  <c r="BH227" i="13"/>
  <c r="AM222" i="13"/>
  <c r="AY214" i="13"/>
  <c r="AM200" i="13"/>
  <c r="AJ171" i="13"/>
  <c r="AH16" i="28" s="1"/>
  <c r="AV171" i="13"/>
  <c r="AT16" i="28" s="1"/>
  <c r="BH171" i="13"/>
  <c r="BF16" i="28" s="1"/>
  <c r="AK172" i="13"/>
  <c r="AI17" i="28" s="1"/>
  <c r="AW172" i="13"/>
  <c r="AU17" i="28" s="1"/>
  <c r="BI172" i="13"/>
  <c r="BG17" i="28" s="1"/>
  <c r="AL173" i="13"/>
  <c r="AJ18" i="28" s="1"/>
  <c r="AX173" i="13"/>
  <c r="AV18" i="28" s="1"/>
  <c r="BJ173" i="13"/>
  <c r="BH18" i="28" s="1"/>
  <c r="AM174" i="13"/>
  <c r="AK19" i="28" s="1"/>
  <c r="AY174" i="13"/>
  <c r="AW19" i="28" s="1"/>
  <c r="BK174" i="13"/>
  <c r="BI19" i="28" s="1"/>
  <c r="AN175" i="13"/>
  <c r="AL20" i="28" s="1"/>
  <c r="AZ175" i="13"/>
  <c r="AX20" i="28" s="1"/>
  <c r="BL175" i="13"/>
  <c r="BJ20" i="28" s="1"/>
  <c r="AO176" i="13"/>
  <c r="AM21" i="28" s="1"/>
  <c r="BA176" i="13"/>
  <c r="AY21" i="28" s="1"/>
  <c r="BM176" i="13"/>
  <c r="BK21" i="28" s="1"/>
  <c r="AP177" i="13"/>
  <c r="AN22" i="28" s="1"/>
  <c r="BB177" i="13"/>
  <c r="AZ22" i="28" s="1"/>
  <c r="BN177" i="13"/>
  <c r="BL22" i="28" s="1"/>
  <c r="AQ178" i="13"/>
  <c r="AO23" i="28" s="1"/>
  <c r="BC178" i="13"/>
  <c r="BA23" i="28" s="1"/>
  <c r="BO178" i="13"/>
  <c r="BM23" i="28" s="1"/>
  <c r="AR179" i="13"/>
  <c r="AP24" i="28" s="1"/>
  <c r="BD179" i="13"/>
  <c r="BB24" i="28" s="1"/>
  <c r="AG180" i="13"/>
  <c r="AE25" i="28" s="1"/>
  <c r="AS180" i="13"/>
  <c r="AQ25" i="28" s="1"/>
  <c r="BE180" i="13"/>
  <c r="BC25" i="28" s="1"/>
  <c r="AH181" i="13"/>
  <c r="AF26" i="28" s="1"/>
  <c r="AT181" i="13"/>
  <c r="AR26" i="28" s="1"/>
  <c r="BF181" i="13"/>
  <c r="BD26" i="28" s="1"/>
  <c r="AI182" i="13"/>
  <c r="AG27" i="28" s="1"/>
  <c r="AU182" i="13"/>
  <c r="AS27" i="28" s="1"/>
  <c r="BG182" i="13"/>
  <c r="BE27" i="28" s="1"/>
  <c r="AJ183" i="13"/>
  <c r="AH28" i="28" s="1"/>
  <c r="AV183" i="13"/>
  <c r="AT28" i="28" s="1"/>
  <c r="BH183" i="13"/>
  <c r="BF28" i="28" s="1"/>
  <c r="AK184" i="13"/>
  <c r="AI29" i="28" s="1"/>
  <c r="AW184" i="13"/>
  <c r="AU29" i="28" s="1"/>
  <c r="BI184" i="13"/>
  <c r="BG29" i="28" s="1"/>
  <c r="AL185" i="13"/>
  <c r="AJ30" i="28" s="1"/>
  <c r="AX185" i="13"/>
  <c r="AV30" i="28" s="1"/>
  <c r="BJ185" i="13"/>
  <c r="BH30" i="28" s="1"/>
  <c r="AM186" i="13"/>
  <c r="AK31" i="28" s="1"/>
  <c r="AY186" i="13"/>
  <c r="AW31" i="28" s="1"/>
  <c r="BK186" i="13"/>
  <c r="BI31" i="28" s="1"/>
  <c r="AN187" i="13"/>
  <c r="AL32" i="28" s="1"/>
  <c r="AZ187" i="13"/>
  <c r="AX32" i="28" s="1"/>
  <c r="BL187" i="13"/>
  <c r="BJ32" i="28" s="1"/>
  <c r="AO188" i="13"/>
  <c r="AM33" i="28" s="1"/>
  <c r="BA188" i="13"/>
  <c r="AY33" i="28" s="1"/>
  <c r="BM188" i="13"/>
  <c r="BK33" i="28" s="1"/>
  <c r="AP189" i="13"/>
  <c r="AN34" i="28" s="1"/>
  <c r="BB189" i="13"/>
  <c r="AZ34" i="28" s="1"/>
  <c r="BN189" i="13"/>
  <c r="BL34" i="28" s="1"/>
  <c r="AQ190" i="13"/>
  <c r="BC190" i="13"/>
  <c r="BO190" i="13"/>
  <c r="AR191" i="13"/>
  <c r="BD191" i="13"/>
  <c r="AG192" i="13"/>
  <c r="AS192" i="13"/>
  <c r="BE192" i="13"/>
  <c r="AH193" i="13"/>
  <c r="AT193" i="13"/>
  <c r="BF193" i="13"/>
  <c r="AI194" i="13"/>
  <c r="AU194" i="13"/>
  <c r="BG194" i="13"/>
  <c r="AJ195" i="13"/>
  <c r="AV195" i="13"/>
  <c r="BH195" i="13"/>
  <c r="AK196" i="13"/>
  <c r="AW196" i="13"/>
  <c r="BI196" i="13"/>
  <c r="AL197" i="13"/>
  <c r="AX197" i="13"/>
  <c r="BJ197" i="13"/>
  <c r="AM198" i="13"/>
  <c r="AY198" i="13"/>
  <c r="BK198" i="13"/>
  <c r="AN199" i="13"/>
  <c r="AZ199" i="13"/>
  <c r="AK171" i="13"/>
  <c r="AI16" i="28" s="1"/>
  <c r="AW171" i="13"/>
  <c r="AU16" i="28" s="1"/>
  <c r="BI171" i="13"/>
  <c r="BG16" i="28" s="1"/>
  <c r="AL172" i="13"/>
  <c r="AJ17" i="28" s="1"/>
  <c r="AX172" i="13"/>
  <c r="AV17" i="28" s="1"/>
  <c r="BJ172" i="13"/>
  <c r="BH17" i="28" s="1"/>
  <c r="AM173" i="13"/>
  <c r="AK18" i="28" s="1"/>
  <c r="AY173" i="13"/>
  <c r="AW18" i="28" s="1"/>
  <c r="BK173" i="13"/>
  <c r="BI18" i="28" s="1"/>
  <c r="AN174" i="13"/>
  <c r="AL19" i="28" s="1"/>
  <c r="AZ174" i="13"/>
  <c r="AX19" i="28" s="1"/>
  <c r="BL174" i="13"/>
  <c r="BJ19" i="28" s="1"/>
  <c r="AO175" i="13"/>
  <c r="AM20" i="28" s="1"/>
  <c r="BA175" i="13"/>
  <c r="AY20" i="28" s="1"/>
  <c r="BM175" i="13"/>
  <c r="BK20" i="28" s="1"/>
  <c r="AP176" i="13"/>
  <c r="AN21" i="28" s="1"/>
  <c r="BB176" i="13"/>
  <c r="AZ21" i="28" s="1"/>
  <c r="BN176" i="13"/>
  <c r="BL21" i="28" s="1"/>
  <c r="AQ177" i="13"/>
  <c r="AO22" i="28" s="1"/>
  <c r="BC177" i="13"/>
  <c r="BA22" i="28" s="1"/>
  <c r="BO177" i="13"/>
  <c r="BM22" i="28" s="1"/>
  <c r="AR178" i="13"/>
  <c r="AP23" i="28" s="1"/>
  <c r="BD178" i="13"/>
  <c r="BB23" i="28" s="1"/>
  <c r="AG179" i="13"/>
  <c r="AE24" i="28" s="1"/>
  <c r="AS179" i="13"/>
  <c r="AQ24" i="28" s="1"/>
  <c r="BE179" i="13"/>
  <c r="BC24" i="28" s="1"/>
  <c r="AH180" i="13"/>
  <c r="AF25" i="28" s="1"/>
  <c r="AT180" i="13"/>
  <c r="AR25" i="28" s="1"/>
  <c r="BF180" i="13"/>
  <c r="BD25" i="28" s="1"/>
  <c r="AI181" i="13"/>
  <c r="AG26" i="28" s="1"/>
  <c r="AU181" i="13"/>
  <c r="AS26" i="28" s="1"/>
  <c r="BG181" i="13"/>
  <c r="BE26" i="28" s="1"/>
  <c r="AJ182" i="13"/>
  <c r="AH27" i="28" s="1"/>
  <c r="AV182" i="13"/>
  <c r="AT27" i="28" s="1"/>
  <c r="BH182" i="13"/>
  <c r="BF27" i="28" s="1"/>
  <c r="AK183" i="13"/>
  <c r="AI28" i="28" s="1"/>
  <c r="AW183" i="13"/>
  <c r="AU28" i="28" s="1"/>
  <c r="BI183" i="13"/>
  <c r="BG28" i="28" s="1"/>
  <c r="AL184" i="13"/>
  <c r="AJ29" i="28" s="1"/>
  <c r="AX184" i="13"/>
  <c r="AV29" i="28" s="1"/>
  <c r="BJ184" i="13"/>
  <c r="BH29" i="28" s="1"/>
  <c r="AM185" i="13"/>
  <c r="AK30" i="28" s="1"/>
  <c r="AY185" i="13"/>
  <c r="AW30" i="28" s="1"/>
  <c r="BK185" i="13"/>
  <c r="BI30" i="28" s="1"/>
  <c r="AN186" i="13"/>
  <c r="AL31" i="28" s="1"/>
  <c r="AZ186" i="13"/>
  <c r="AX31" i="28" s="1"/>
  <c r="BL186" i="13"/>
  <c r="BJ31" i="28" s="1"/>
  <c r="AO187" i="13"/>
  <c r="AM32" i="28" s="1"/>
  <c r="BA187" i="13"/>
  <c r="AY32" i="28" s="1"/>
  <c r="BM187" i="13"/>
  <c r="BK32" i="28" s="1"/>
  <c r="AL171" i="13"/>
  <c r="AJ16" i="28" s="1"/>
  <c r="AX171" i="13"/>
  <c r="AV16" i="28" s="1"/>
  <c r="BJ171" i="13"/>
  <c r="BH16" i="28" s="1"/>
  <c r="AM172" i="13"/>
  <c r="AK17" i="28" s="1"/>
  <c r="AY172" i="13"/>
  <c r="AW17" i="28" s="1"/>
  <c r="BK172" i="13"/>
  <c r="BI17" i="28" s="1"/>
  <c r="AN173" i="13"/>
  <c r="AL18" i="28" s="1"/>
  <c r="AZ173" i="13"/>
  <c r="AX18" i="28" s="1"/>
  <c r="BL173" i="13"/>
  <c r="BJ18" i="28" s="1"/>
  <c r="AO174" i="13"/>
  <c r="AM19" i="28" s="1"/>
  <c r="BA174" i="13"/>
  <c r="AY19" i="28" s="1"/>
  <c r="BM174" i="13"/>
  <c r="BK19" i="28" s="1"/>
  <c r="AP175" i="13"/>
  <c r="AN20" i="28" s="1"/>
  <c r="BB175" i="13"/>
  <c r="AZ20" i="28" s="1"/>
  <c r="BN175" i="13"/>
  <c r="BL20" i="28" s="1"/>
  <c r="AQ176" i="13"/>
  <c r="AO21" i="28" s="1"/>
  <c r="BC176" i="13"/>
  <c r="BA21" i="28" s="1"/>
  <c r="BO176" i="13"/>
  <c r="BM21" i="28" s="1"/>
  <c r="AR177" i="13"/>
  <c r="AP22" i="28" s="1"/>
  <c r="BD177" i="13"/>
  <c r="BB22" i="28" s="1"/>
  <c r="AG178" i="13"/>
  <c r="AE23" i="28" s="1"/>
  <c r="AS178" i="13"/>
  <c r="AQ23" i="28" s="1"/>
  <c r="BE178" i="13"/>
  <c r="BC23" i="28" s="1"/>
  <c r="AH179" i="13"/>
  <c r="AF24" i="28" s="1"/>
  <c r="AT179" i="13"/>
  <c r="AR24" i="28" s="1"/>
  <c r="BF179" i="13"/>
  <c r="BD24" i="28" s="1"/>
  <c r="AI180" i="13"/>
  <c r="AG25" i="28" s="1"/>
  <c r="AU180" i="13"/>
  <c r="AS25" i="28" s="1"/>
  <c r="BG180" i="13"/>
  <c r="BE25" i="28" s="1"/>
  <c r="AJ181" i="13"/>
  <c r="AH26" i="28" s="1"/>
  <c r="AV181" i="13"/>
  <c r="AT26" i="28" s="1"/>
  <c r="BH181" i="13"/>
  <c r="BF26" i="28" s="1"/>
  <c r="AK182" i="13"/>
  <c r="AI27" i="28" s="1"/>
  <c r="AW182" i="13"/>
  <c r="AU27" i="28" s="1"/>
  <c r="BI182" i="13"/>
  <c r="BG27" i="28" s="1"/>
  <c r="AL183" i="13"/>
  <c r="AJ28" i="28" s="1"/>
  <c r="AX183" i="13"/>
  <c r="AV28" i="28" s="1"/>
  <c r="BJ183" i="13"/>
  <c r="BH28" i="28" s="1"/>
  <c r="AM184" i="13"/>
  <c r="AK29" i="28" s="1"/>
  <c r="AY184" i="13"/>
  <c r="AW29" i="28" s="1"/>
  <c r="BK184" i="13"/>
  <c r="BI29" i="28" s="1"/>
  <c r="AN185" i="13"/>
  <c r="AL30" i="28" s="1"/>
  <c r="AZ185" i="13"/>
  <c r="AX30" i="28" s="1"/>
  <c r="BL185" i="13"/>
  <c r="BJ30" i="28" s="1"/>
  <c r="AO186" i="13"/>
  <c r="AM31" i="28" s="1"/>
  <c r="BA186" i="13"/>
  <c r="AY31" i="28" s="1"/>
  <c r="BM186" i="13"/>
  <c r="BK31" i="28" s="1"/>
  <c r="AP187" i="13"/>
  <c r="AN32" i="28" s="1"/>
  <c r="BB187" i="13"/>
  <c r="AZ32" i="28" s="1"/>
  <c r="BN187" i="13"/>
  <c r="BL32" i="28" s="1"/>
  <c r="AM171" i="13"/>
  <c r="AK16" i="28" s="1"/>
  <c r="AY171" i="13"/>
  <c r="AW16" i="28" s="1"/>
  <c r="BK171" i="13"/>
  <c r="BI16" i="28" s="1"/>
  <c r="AN172" i="13"/>
  <c r="AL17" i="28" s="1"/>
  <c r="AZ172" i="13"/>
  <c r="AX17" i="28" s="1"/>
  <c r="BL172" i="13"/>
  <c r="BJ17" i="28" s="1"/>
  <c r="AO173" i="13"/>
  <c r="AM18" i="28" s="1"/>
  <c r="BA173" i="13"/>
  <c r="AY18" i="28" s="1"/>
  <c r="BM173" i="13"/>
  <c r="BK18" i="28" s="1"/>
  <c r="AP174" i="13"/>
  <c r="AN19" i="28" s="1"/>
  <c r="BB174" i="13"/>
  <c r="AZ19" i="28" s="1"/>
  <c r="BN174" i="13"/>
  <c r="BL19" i="28" s="1"/>
  <c r="AQ175" i="13"/>
  <c r="AO20" i="28" s="1"/>
  <c r="BC175" i="13"/>
  <c r="BA20" i="28" s="1"/>
  <c r="BO175" i="13"/>
  <c r="BM20" i="28" s="1"/>
  <c r="AR176" i="13"/>
  <c r="AP21" i="28" s="1"/>
  <c r="BD176" i="13"/>
  <c r="BB21" i="28" s="1"/>
  <c r="AG177" i="13"/>
  <c r="AE22" i="28" s="1"/>
  <c r="AS177" i="13"/>
  <c r="AQ22" i="28" s="1"/>
  <c r="BE177" i="13"/>
  <c r="BC22" i="28" s="1"/>
  <c r="AH178" i="13"/>
  <c r="AF23" i="28" s="1"/>
  <c r="AT178" i="13"/>
  <c r="AR23" i="28" s="1"/>
  <c r="BF178" i="13"/>
  <c r="BD23" i="28" s="1"/>
  <c r="AI179" i="13"/>
  <c r="AG24" i="28" s="1"/>
  <c r="AU179" i="13"/>
  <c r="AS24" i="28" s="1"/>
  <c r="BG179" i="13"/>
  <c r="BE24" i="28" s="1"/>
  <c r="AJ180" i="13"/>
  <c r="AH25" i="28" s="1"/>
  <c r="AV180" i="13"/>
  <c r="AT25" i="28" s="1"/>
  <c r="BH180" i="13"/>
  <c r="BF25" i="28" s="1"/>
  <c r="AK181" i="13"/>
  <c r="AI26" i="28" s="1"/>
  <c r="AW181" i="13"/>
  <c r="AU26" i="28" s="1"/>
  <c r="BI181" i="13"/>
  <c r="BG26" i="28" s="1"/>
  <c r="AL182" i="13"/>
  <c r="AJ27" i="28" s="1"/>
  <c r="AX182" i="13"/>
  <c r="AV27" i="28" s="1"/>
  <c r="BJ182" i="13"/>
  <c r="BH27" i="28" s="1"/>
  <c r="AM183" i="13"/>
  <c r="AK28" i="28" s="1"/>
  <c r="AY183" i="13"/>
  <c r="AW28" i="28" s="1"/>
  <c r="BK183" i="13"/>
  <c r="BI28" i="28" s="1"/>
  <c r="AN184" i="13"/>
  <c r="AL29" i="28" s="1"/>
  <c r="AZ184" i="13"/>
  <c r="AX29" i="28" s="1"/>
  <c r="BL184" i="13"/>
  <c r="BJ29" i="28" s="1"/>
  <c r="AO185" i="13"/>
  <c r="AM30" i="28" s="1"/>
  <c r="BA185" i="13"/>
  <c r="AY30" i="28" s="1"/>
  <c r="BM185" i="13"/>
  <c r="BK30" i="28" s="1"/>
  <c r="AP186" i="13"/>
  <c r="AN31" i="28" s="1"/>
  <c r="BB186" i="13"/>
  <c r="AZ31" i="28" s="1"/>
  <c r="BN186" i="13"/>
  <c r="BL31" i="28" s="1"/>
  <c r="AQ187" i="13"/>
  <c r="AO32" i="28" s="1"/>
  <c r="BC187" i="13"/>
  <c r="BA32" i="28" s="1"/>
  <c r="BO187" i="13"/>
  <c r="BM32" i="28" s="1"/>
  <c r="AR188" i="13"/>
  <c r="AP33" i="28" s="1"/>
  <c r="BD188" i="13"/>
  <c r="BB33" i="28" s="1"/>
  <c r="AG189" i="13"/>
  <c r="AE34" i="28" s="1"/>
  <c r="AS189" i="13"/>
  <c r="AQ34" i="28" s="1"/>
  <c r="BE189" i="13"/>
  <c r="BC34" i="28" s="1"/>
  <c r="AH190" i="13"/>
  <c r="AT190" i="13"/>
  <c r="BF190" i="13"/>
  <c r="AI191" i="13"/>
  <c r="AU191" i="13"/>
  <c r="BG191" i="13"/>
  <c r="AJ192" i="13"/>
  <c r="AV192" i="13"/>
  <c r="BH192" i="13"/>
  <c r="AK193" i="13"/>
  <c r="AW193" i="13"/>
  <c r="BI193" i="13"/>
  <c r="AL194" i="13"/>
  <c r="AX194" i="13"/>
  <c r="BJ194" i="13"/>
  <c r="AM195" i="13"/>
  <c r="AY195" i="13"/>
  <c r="BK195" i="13"/>
  <c r="AN196" i="13"/>
  <c r="AZ196" i="13"/>
  <c r="BL196" i="13"/>
  <c r="AO197" i="13"/>
  <c r="BA197" i="13"/>
  <c r="BM197" i="13"/>
  <c r="AP198" i="13"/>
  <c r="BB198" i="13"/>
  <c r="BN198" i="13"/>
  <c r="AQ199" i="13"/>
  <c r="BC199" i="13"/>
  <c r="AQ171" i="13"/>
  <c r="AO16" i="28" s="1"/>
  <c r="BC171" i="13"/>
  <c r="BA16" i="28" s="1"/>
  <c r="BO171" i="13"/>
  <c r="BM16" i="28" s="1"/>
  <c r="AR172" i="13"/>
  <c r="AP17" i="28" s="1"/>
  <c r="BD172" i="13"/>
  <c r="BB17" i="28" s="1"/>
  <c r="AG173" i="13"/>
  <c r="AE18" i="28" s="1"/>
  <c r="AS173" i="13"/>
  <c r="AQ18" i="28" s="1"/>
  <c r="BE173" i="13"/>
  <c r="BC18" i="28" s="1"/>
  <c r="AH174" i="13"/>
  <c r="AF19" i="28" s="1"/>
  <c r="AT174" i="13"/>
  <c r="AR19" i="28" s="1"/>
  <c r="BF174" i="13"/>
  <c r="BD19" i="28" s="1"/>
  <c r="AI175" i="13"/>
  <c r="AG20" i="28" s="1"/>
  <c r="AU175" i="13"/>
  <c r="AS20" i="28" s="1"/>
  <c r="BG175" i="13"/>
  <c r="BE20" i="28" s="1"/>
  <c r="AJ176" i="13"/>
  <c r="AH21" i="28" s="1"/>
  <c r="AV176" i="13"/>
  <c r="AT21" i="28" s="1"/>
  <c r="BH176" i="13"/>
  <c r="BF21" i="28" s="1"/>
  <c r="AK177" i="13"/>
  <c r="AI22" i="28" s="1"/>
  <c r="AW177" i="13"/>
  <c r="AU22" i="28" s="1"/>
  <c r="BI177" i="13"/>
  <c r="BG22" i="28" s="1"/>
  <c r="AL178" i="13"/>
  <c r="AJ23" i="28" s="1"/>
  <c r="AX178" i="13"/>
  <c r="AV23" i="28" s="1"/>
  <c r="BJ178" i="13"/>
  <c r="BH23" i="28" s="1"/>
  <c r="AM179" i="13"/>
  <c r="AK24" i="28" s="1"/>
  <c r="AY179" i="13"/>
  <c r="AW24" i="28" s="1"/>
  <c r="BK179" i="13"/>
  <c r="BI24" i="28" s="1"/>
  <c r="AN180" i="13"/>
  <c r="AL25" i="28" s="1"/>
  <c r="AZ180" i="13"/>
  <c r="AX25" i="28" s="1"/>
  <c r="BL180" i="13"/>
  <c r="BJ25" i="28" s="1"/>
  <c r="AO181" i="13"/>
  <c r="AM26" i="28" s="1"/>
  <c r="BA181" i="13"/>
  <c r="AY26" i="28" s="1"/>
  <c r="BM181" i="13"/>
  <c r="BK26" i="28" s="1"/>
  <c r="AP182" i="13"/>
  <c r="AN27" i="28" s="1"/>
  <c r="BB182" i="13"/>
  <c r="AZ27" i="28" s="1"/>
  <c r="BN182" i="13"/>
  <c r="BL27" i="28" s="1"/>
  <c r="AQ183" i="13"/>
  <c r="AO28" i="28" s="1"/>
  <c r="BC183" i="13"/>
  <c r="BA28" i="28" s="1"/>
  <c r="BO183" i="13"/>
  <c r="BM28" i="28" s="1"/>
  <c r="AR184" i="13"/>
  <c r="AP29" i="28" s="1"/>
  <c r="BD184" i="13"/>
  <c r="BB29" i="28" s="1"/>
  <c r="AG185" i="13"/>
  <c r="AE30" i="28" s="1"/>
  <c r="AS185" i="13"/>
  <c r="AQ30" i="28" s="1"/>
  <c r="BE185" i="13"/>
  <c r="BC30" i="28" s="1"/>
  <c r="AH186" i="13"/>
  <c r="AF31" i="28" s="1"/>
  <c r="AT186" i="13"/>
  <c r="AR31" i="28" s="1"/>
  <c r="BF186" i="13"/>
  <c r="BD31" i="28" s="1"/>
  <c r="AI187" i="13"/>
  <c r="AG32" i="28" s="1"/>
  <c r="AU187" i="13"/>
  <c r="AS32" i="28" s="1"/>
  <c r="BG187" i="13"/>
  <c r="BE32" i="28" s="1"/>
  <c r="AO171" i="13"/>
  <c r="AM16" i="28" s="1"/>
  <c r="BG171" i="13"/>
  <c r="BE16" i="28" s="1"/>
  <c r="AT172" i="13"/>
  <c r="AR17" i="28" s="1"/>
  <c r="BO172" i="13"/>
  <c r="BM17" i="28" s="1"/>
  <c r="BB173" i="13"/>
  <c r="AZ18" i="28" s="1"/>
  <c r="AK174" i="13"/>
  <c r="AI19" i="28" s="1"/>
  <c r="BG174" i="13"/>
  <c r="BE19" i="28" s="1"/>
  <c r="AS175" i="13"/>
  <c r="AQ20" i="28" s="1"/>
  <c r="BK175" i="13"/>
  <c r="BI20" i="28" s="1"/>
  <c r="AX176" i="13"/>
  <c r="AV21" i="28" s="1"/>
  <c r="AJ177" i="13"/>
  <c r="AH22" i="28" s="1"/>
  <c r="BF177" i="13"/>
  <c r="BD22" i="28" s="1"/>
  <c r="AO178" i="13"/>
  <c r="AM23" i="28" s="1"/>
  <c r="BK178" i="13"/>
  <c r="BI23" i="28" s="1"/>
  <c r="AW179" i="13"/>
  <c r="AU24" i="28" s="1"/>
  <c r="BO179" i="13"/>
  <c r="BM24" i="28" s="1"/>
  <c r="BB180" i="13"/>
  <c r="AZ25" i="28" s="1"/>
  <c r="AN181" i="13"/>
  <c r="AL26" i="28" s="1"/>
  <c r="BJ181" i="13"/>
  <c r="BH26" i="28" s="1"/>
  <c r="AS182" i="13"/>
  <c r="AQ27" i="28" s="1"/>
  <c r="BO182" i="13"/>
  <c r="BM27" i="28" s="1"/>
  <c r="BA183" i="13"/>
  <c r="AY28" i="28" s="1"/>
  <c r="AJ184" i="13"/>
  <c r="AH29" i="28" s="1"/>
  <c r="BF184" i="13"/>
  <c r="BD29" i="28" s="1"/>
  <c r="AR185" i="13"/>
  <c r="AP30" i="28" s="1"/>
  <c r="BN185" i="13"/>
  <c r="BL30" i="28" s="1"/>
  <c r="AW186" i="13"/>
  <c r="AU31" i="28" s="1"/>
  <c r="AJ187" i="13"/>
  <c r="AH32" i="28" s="1"/>
  <c r="BE187" i="13"/>
  <c r="BC32" i="28" s="1"/>
  <c r="AM188" i="13"/>
  <c r="AK33" i="28" s="1"/>
  <c r="BB188" i="13"/>
  <c r="AZ33" i="28" s="1"/>
  <c r="AH189" i="13"/>
  <c r="AF34" i="28" s="1"/>
  <c r="AV189" i="13"/>
  <c r="AT34" i="28" s="1"/>
  <c r="BJ189" i="13"/>
  <c r="BH34" i="28" s="1"/>
  <c r="AO190" i="13"/>
  <c r="BD190" i="13"/>
  <c r="AJ191" i="13"/>
  <c r="AX191" i="13"/>
  <c r="BL191" i="13"/>
  <c r="AQ192" i="13"/>
  <c r="BF192" i="13"/>
  <c r="AL193" i="13"/>
  <c r="AZ193" i="13"/>
  <c r="BN193" i="13"/>
  <c r="AS194" i="13"/>
  <c r="BH194" i="13"/>
  <c r="AN195" i="13"/>
  <c r="BB195" i="13"/>
  <c r="AG196" i="13"/>
  <c r="AU196" i="13"/>
  <c r="BJ196" i="13"/>
  <c r="AP197" i="13"/>
  <c r="BD197" i="13"/>
  <c r="AI198" i="13"/>
  <c r="AW198" i="13"/>
  <c r="BL198" i="13"/>
  <c r="AR199" i="13"/>
  <c r="BF199" i="13"/>
  <c r="AI200" i="13"/>
  <c r="AU200" i="13"/>
  <c r="BG200" i="13"/>
  <c r="AJ201" i="13"/>
  <c r="AV201" i="13"/>
  <c r="BH201" i="13"/>
  <c r="AK202" i="13"/>
  <c r="AW202" i="13"/>
  <c r="BI202" i="13"/>
  <c r="AL203" i="13"/>
  <c r="AX203" i="13"/>
  <c r="BJ203" i="13"/>
  <c r="AM204" i="13"/>
  <c r="AY204" i="13"/>
  <c r="BK204" i="13"/>
  <c r="AN205" i="13"/>
  <c r="AZ205" i="13"/>
  <c r="AP171" i="13"/>
  <c r="AN16" i="28" s="1"/>
  <c r="BL171" i="13"/>
  <c r="BJ16" i="28" s="1"/>
  <c r="AU172" i="13"/>
  <c r="AS17" i="28" s="1"/>
  <c r="AH173" i="13"/>
  <c r="AF18" i="28" s="1"/>
  <c r="BC173" i="13"/>
  <c r="BA18" i="28" s="1"/>
  <c r="AL174" i="13"/>
  <c r="AJ19" i="28" s="1"/>
  <c r="BH174" i="13"/>
  <c r="BF19" i="28" s="1"/>
  <c r="AT175" i="13"/>
  <c r="AR20" i="28" s="1"/>
  <c r="AG176" i="13"/>
  <c r="AE21" i="28" s="1"/>
  <c r="AY176" i="13"/>
  <c r="AW21" i="28" s="1"/>
  <c r="AL177" i="13"/>
  <c r="AJ22" i="28" s="1"/>
  <c r="BG177" i="13"/>
  <c r="BE22" i="28" s="1"/>
  <c r="AP178" i="13"/>
  <c r="AN23" i="28" s="1"/>
  <c r="BL178" i="13"/>
  <c r="BJ23" i="28" s="1"/>
  <c r="AX179" i="13"/>
  <c r="AV24" i="28" s="1"/>
  <c r="AK180" i="13"/>
  <c r="AI25" i="28" s="1"/>
  <c r="BC180" i="13"/>
  <c r="BA25" i="28" s="1"/>
  <c r="AP181" i="13"/>
  <c r="AN26" i="28" s="1"/>
  <c r="BK181" i="13"/>
  <c r="BI26" i="28" s="1"/>
  <c r="AT182" i="13"/>
  <c r="AR27" i="28" s="1"/>
  <c r="AG183" i="13"/>
  <c r="AE28" i="28" s="1"/>
  <c r="BB183" i="13"/>
  <c r="AZ28" i="28" s="1"/>
  <c r="AO184" i="13"/>
  <c r="AM29" i="28" s="1"/>
  <c r="BG184" i="13"/>
  <c r="BE29" i="28" s="1"/>
  <c r="AT185" i="13"/>
  <c r="AR30" i="28" s="1"/>
  <c r="BO185" i="13"/>
  <c r="BM30" i="28" s="1"/>
  <c r="AX186" i="13"/>
  <c r="AV31" i="28" s="1"/>
  <c r="AK187" i="13"/>
  <c r="AI32" i="28" s="1"/>
  <c r="BF187" i="13"/>
  <c r="BD32" i="28" s="1"/>
  <c r="AN188" i="13"/>
  <c r="AL33" i="28" s="1"/>
  <c r="BC188" i="13"/>
  <c r="BA33" i="28" s="1"/>
  <c r="AI189" i="13"/>
  <c r="AG34" i="28" s="1"/>
  <c r="AW189" i="13"/>
  <c r="AU34" i="28" s="1"/>
  <c r="BK189" i="13"/>
  <c r="BI34" i="28" s="1"/>
  <c r="AP190" i="13"/>
  <c r="BE190" i="13"/>
  <c r="AK191" i="13"/>
  <c r="AY191" i="13"/>
  <c r="BM191" i="13"/>
  <c r="AR192" i="13"/>
  <c r="BG192" i="13"/>
  <c r="AM193" i="13"/>
  <c r="BA193" i="13"/>
  <c r="BO193" i="13"/>
  <c r="AT194" i="13"/>
  <c r="BI194" i="13"/>
  <c r="AO195" i="13"/>
  <c r="BC195" i="13"/>
  <c r="AH196" i="13"/>
  <c r="AV196" i="13"/>
  <c r="BK196" i="13"/>
  <c r="AQ197" i="13"/>
  <c r="BE197" i="13"/>
  <c r="AJ198" i="13"/>
  <c r="AX198" i="13"/>
  <c r="BM198" i="13"/>
  <c r="AS199" i="13"/>
  <c r="BG199" i="13"/>
  <c r="AJ200" i="13"/>
  <c r="AV200" i="13"/>
  <c r="BH200" i="13"/>
  <c r="AK201" i="13"/>
  <c r="AW201" i="13"/>
  <c r="BI201" i="13"/>
  <c r="AL202" i="13"/>
  <c r="AX202" i="13"/>
  <c r="BJ202" i="13"/>
  <c r="AM203" i="13"/>
  <c r="AY203" i="13"/>
  <c r="BK203" i="13"/>
  <c r="AN204" i="13"/>
  <c r="AZ204" i="13"/>
  <c r="BL204" i="13"/>
  <c r="AO205" i="13"/>
  <c r="BA205" i="13"/>
  <c r="BM205" i="13"/>
  <c r="AR171" i="13"/>
  <c r="AP16" i="28" s="1"/>
  <c r="BM171" i="13"/>
  <c r="BK16" i="28" s="1"/>
  <c r="AV172" i="13"/>
  <c r="AT17" i="28" s="1"/>
  <c r="AI173" i="13"/>
  <c r="AG18" i="28" s="1"/>
  <c r="BD173" i="13"/>
  <c r="BB18" i="28" s="1"/>
  <c r="AQ174" i="13"/>
  <c r="AO19" i="28" s="1"/>
  <c r="BI174" i="13"/>
  <c r="BG19" i="28" s="1"/>
  <c r="AV175" i="13"/>
  <c r="AT20" i="28" s="1"/>
  <c r="AH176" i="13"/>
  <c r="AF21" i="28" s="1"/>
  <c r="AZ176" i="13"/>
  <c r="AX21" i="28" s="1"/>
  <c r="AM177" i="13"/>
  <c r="AK22" i="28" s="1"/>
  <c r="BH177" i="13"/>
  <c r="BF22" i="28" s="1"/>
  <c r="AU178" i="13"/>
  <c r="AS23" i="28" s="1"/>
  <c r="BM178" i="13"/>
  <c r="BK23" i="28" s="1"/>
  <c r="AZ179" i="13"/>
  <c r="AX24" i="28" s="1"/>
  <c r="AL180" i="13"/>
  <c r="AJ25" i="28" s="1"/>
  <c r="BD180" i="13"/>
  <c r="BB25" i="28" s="1"/>
  <c r="AQ181" i="13"/>
  <c r="AO26" i="28" s="1"/>
  <c r="BL181" i="13"/>
  <c r="BJ26" i="28" s="1"/>
  <c r="AY182" i="13"/>
  <c r="AW27" i="28" s="1"/>
  <c r="AH183" i="13"/>
  <c r="AF28" i="28" s="1"/>
  <c r="BD183" i="13"/>
  <c r="BB28" i="28" s="1"/>
  <c r="AP184" i="13"/>
  <c r="AN29" i="28" s="1"/>
  <c r="BH184" i="13"/>
  <c r="BF29" i="28" s="1"/>
  <c r="AU185" i="13"/>
  <c r="AS30" i="28" s="1"/>
  <c r="AG186" i="13"/>
  <c r="AE31" i="28" s="1"/>
  <c r="BC186" i="13"/>
  <c r="BA31" i="28" s="1"/>
  <c r="AL187" i="13"/>
  <c r="AJ32" i="28" s="1"/>
  <c r="BH187" i="13"/>
  <c r="BF32" i="28" s="1"/>
  <c r="AP188" i="13"/>
  <c r="AN33" i="28" s="1"/>
  <c r="BE188" i="13"/>
  <c r="BC33" i="28" s="1"/>
  <c r="AJ189" i="13"/>
  <c r="AH34" i="28" s="1"/>
  <c r="AX189" i="13"/>
  <c r="AV34" i="28" s="1"/>
  <c r="BL189" i="13"/>
  <c r="BJ34" i="28" s="1"/>
  <c r="AR190" i="13"/>
  <c r="BG190" i="13"/>
  <c r="AL191" i="13"/>
  <c r="AZ191" i="13"/>
  <c r="BN191" i="13"/>
  <c r="AT192" i="13"/>
  <c r="BI192" i="13"/>
  <c r="AN193" i="13"/>
  <c r="BB193" i="13"/>
  <c r="AG194" i="13"/>
  <c r="AV194" i="13"/>
  <c r="BK194" i="13"/>
  <c r="AP195" i="13"/>
  <c r="BD195" i="13"/>
  <c r="AI196" i="13"/>
  <c r="AX196" i="13"/>
  <c r="BM196" i="13"/>
  <c r="AR197" i="13"/>
  <c r="BF197" i="13"/>
  <c r="AK198" i="13"/>
  <c r="AZ198" i="13"/>
  <c r="BO198" i="13"/>
  <c r="AT199" i="13"/>
  <c r="BH199" i="13"/>
  <c r="AK200" i="13"/>
  <c r="AW200" i="13"/>
  <c r="BI200" i="13"/>
  <c r="AL201" i="13"/>
  <c r="AX201" i="13"/>
  <c r="BJ201" i="13"/>
  <c r="AM202" i="13"/>
  <c r="AY202" i="13"/>
  <c r="BK202" i="13"/>
  <c r="AN203" i="13"/>
  <c r="AZ203" i="13"/>
  <c r="BL203" i="13"/>
  <c r="AO204" i="13"/>
  <c r="BA204" i="13"/>
  <c r="BM204" i="13"/>
  <c r="AP205" i="13"/>
  <c r="BB205" i="13"/>
  <c r="BN205" i="13"/>
  <c r="AQ206" i="13"/>
  <c r="BC206" i="13"/>
  <c r="BO206" i="13"/>
  <c r="AR207" i="13"/>
  <c r="BD207" i="13"/>
  <c r="AG208" i="13"/>
  <c r="AS208" i="13"/>
  <c r="BE208" i="13"/>
  <c r="AH209" i="13"/>
  <c r="BA171" i="13"/>
  <c r="AY16" i="28" s="1"/>
  <c r="AJ172" i="13"/>
  <c r="AH17" i="28" s="1"/>
  <c r="BF172" i="13"/>
  <c r="BD17" i="28" s="1"/>
  <c r="AR173" i="13"/>
  <c r="AP18" i="28" s="1"/>
  <c r="BN173" i="13"/>
  <c r="BL18" i="28" s="1"/>
  <c r="AW174" i="13"/>
  <c r="AU19" i="28" s="1"/>
  <c r="AJ175" i="13"/>
  <c r="AH20" i="28" s="1"/>
  <c r="BE175" i="13"/>
  <c r="BC20" i="28" s="1"/>
  <c r="AN176" i="13"/>
  <c r="AL21" i="28" s="1"/>
  <c r="BJ176" i="13"/>
  <c r="BH21" i="28" s="1"/>
  <c r="AV177" i="13"/>
  <c r="AT22" i="28" s="1"/>
  <c r="AI178" i="13"/>
  <c r="AG23" i="28" s="1"/>
  <c r="BA178" i="13"/>
  <c r="AY23" i="28" s="1"/>
  <c r="AN179" i="13"/>
  <c r="AL24" i="28" s="1"/>
  <c r="BI179" i="13"/>
  <c r="BG24" i="28" s="1"/>
  <c r="AR180" i="13"/>
  <c r="AP25" i="28" s="1"/>
  <c r="BN180" i="13"/>
  <c r="BL25" i="28" s="1"/>
  <c r="AZ181" i="13"/>
  <c r="AX26" i="28" s="1"/>
  <c r="AM182" i="13"/>
  <c r="AK27" i="28" s="1"/>
  <c r="BE182" i="13"/>
  <c r="BC27" i="28" s="1"/>
  <c r="AR183" i="13"/>
  <c r="AP28" i="28" s="1"/>
  <c r="BM183" i="13"/>
  <c r="BK28" i="28" s="1"/>
  <c r="AV184" i="13"/>
  <c r="AT29" i="28" s="1"/>
  <c r="AI185" i="13"/>
  <c r="AG30" i="28" s="1"/>
  <c r="BD185" i="13"/>
  <c r="BB30" i="28" s="1"/>
  <c r="AQ186" i="13"/>
  <c r="AO31" i="28" s="1"/>
  <c r="BI186" i="13"/>
  <c r="BG31" i="28" s="1"/>
  <c r="AV187" i="13"/>
  <c r="AT32" i="28" s="1"/>
  <c r="AH188" i="13"/>
  <c r="AF33" i="28" s="1"/>
  <c r="AV188" i="13"/>
  <c r="AT33" i="28" s="1"/>
  <c r="BJ188" i="13"/>
  <c r="BH33" i="28" s="1"/>
  <c r="AO189" i="13"/>
  <c r="AM34" i="28" s="1"/>
  <c r="BD189" i="13"/>
  <c r="BB34" i="28" s="1"/>
  <c r="AJ190" i="13"/>
  <c r="AX190" i="13"/>
  <c r="BL190" i="13"/>
  <c r="AQ191" i="13"/>
  <c r="BF191" i="13"/>
  <c r="AL192" i="13"/>
  <c r="AZ192" i="13"/>
  <c r="BN192" i="13"/>
  <c r="AS193" i="13"/>
  <c r="BH193" i="13"/>
  <c r="AN194" i="13"/>
  <c r="BB194" i="13"/>
  <c r="AG195" i="13"/>
  <c r="AU195" i="13"/>
  <c r="BJ195" i="13"/>
  <c r="AP196" i="13"/>
  <c r="BD196" i="13"/>
  <c r="AI197" i="13"/>
  <c r="AW197" i="13"/>
  <c r="BL197" i="13"/>
  <c r="AR198" i="13"/>
  <c r="BF198" i="13"/>
  <c r="AK199" i="13"/>
  <c r="AY199" i="13"/>
  <c r="BM199" i="13"/>
  <c r="AP200" i="13"/>
  <c r="BB200" i="13"/>
  <c r="BN200" i="13"/>
  <c r="AQ201" i="13"/>
  <c r="BC201" i="13"/>
  <c r="BO201" i="13"/>
  <c r="AR202" i="13"/>
  <c r="BD202" i="13"/>
  <c r="AG203" i="13"/>
  <c r="AS203" i="13"/>
  <c r="BE203" i="13"/>
  <c r="AH204" i="13"/>
  <c r="AT204" i="13"/>
  <c r="BF204" i="13"/>
  <c r="AI205" i="13"/>
  <c r="AU205" i="13"/>
  <c r="AS171" i="13"/>
  <c r="AQ16" i="28" s="1"/>
  <c r="AO172" i="13"/>
  <c r="AM17" i="28" s="1"/>
  <c r="AJ173" i="13"/>
  <c r="AH18" i="28" s="1"/>
  <c r="BO173" i="13"/>
  <c r="BM18" i="28" s="1"/>
  <c r="BJ174" i="13"/>
  <c r="BH19" i="28" s="1"/>
  <c r="BF175" i="13"/>
  <c r="BD20" i="28" s="1"/>
  <c r="BE176" i="13"/>
  <c r="BC21" i="28" s="1"/>
  <c r="AX177" i="13"/>
  <c r="AV22" i="28" s="1"/>
  <c r="AV178" i="13"/>
  <c r="AT23" i="28" s="1"/>
  <c r="AO179" i="13"/>
  <c r="AM24" i="28" s="1"/>
  <c r="AM180" i="13"/>
  <c r="AK25" i="28" s="1"/>
  <c r="BO180" i="13"/>
  <c r="BM25" i="28" s="1"/>
  <c r="BN181" i="13"/>
  <c r="BL26" i="28" s="1"/>
  <c r="BF182" i="13"/>
  <c r="BD27" i="28" s="1"/>
  <c r="BE183" i="13"/>
  <c r="BC28" i="28" s="1"/>
  <c r="BA184" i="13"/>
  <c r="AY29" i="28" s="1"/>
  <c r="AV185" i="13"/>
  <c r="AT30" i="28" s="1"/>
  <c r="AR186" i="13"/>
  <c r="AP31" i="28" s="1"/>
  <c r="AM187" i="13"/>
  <c r="AK32" i="28" s="1"/>
  <c r="AI188" i="13"/>
  <c r="AG33" i="28" s="1"/>
  <c r="BF188" i="13"/>
  <c r="BD33" i="28" s="1"/>
  <c r="AQ189" i="13"/>
  <c r="AO34" i="28" s="1"/>
  <c r="BM189" i="13"/>
  <c r="BK34" i="28" s="1"/>
  <c r="AY190" i="13"/>
  <c r="AM191" i="13"/>
  <c r="BH191" i="13"/>
  <c r="AU192" i="13"/>
  <c r="BO192" i="13"/>
  <c r="BC193" i="13"/>
  <c r="AO194" i="13"/>
  <c r="BL194" i="13"/>
  <c r="AW195" i="13"/>
  <c r="AJ196" i="13"/>
  <c r="BE196" i="13"/>
  <c r="AS197" i="13"/>
  <c r="BN197" i="13"/>
  <c r="BA198" i="13"/>
  <c r="AL199" i="13"/>
  <c r="BI199" i="13"/>
  <c r="AQ200" i="13"/>
  <c r="BJ200" i="13"/>
  <c r="AR201" i="13"/>
  <c r="BK201" i="13"/>
  <c r="AS202" i="13"/>
  <c r="BL202" i="13"/>
  <c r="AT203" i="13"/>
  <c r="BM203" i="13"/>
  <c r="AU204" i="13"/>
  <c r="BN204" i="13"/>
  <c r="AV205" i="13"/>
  <c r="BK205" i="13"/>
  <c r="AP206" i="13"/>
  <c r="BD206" i="13"/>
  <c r="AH207" i="13"/>
  <c r="AU207" i="13"/>
  <c r="BH207" i="13"/>
  <c r="AL208" i="13"/>
  <c r="AY208" i="13"/>
  <c r="BL208" i="13"/>
  <c r="AP209" i="13"/>
  <c r="BB209" i="13"/>
  <c r="BN209" i="13"/>
  <c r="AQ210" i="13"/>
  <c r="BC210" i="13"/>
  <c r="BO210" i="13"/>
  <c r="AR211" i="13"/>
  <c r="BD211" i="13"/>
  <c r="AG212" i="13"/>
  <c r="AS212" i="13"/>
  <c r="BE212" i="13"/>
  <c r="AH213" i="13"/>
  <c r="AT213" i="13"/>
  <c r="BF213" i="13"/>
  <c r="AI214" i="13"/>
  <c r="AU214" i="13"/>
  <c r="BG214" i="13"/>
  <c r="AJ215" i="13"/>
  <c r="AV215" i="13"/>
  <c r="BH215" i="13"/>
  <c r="AK216" i="13"/>
  <c r="AW216" i="13"/>
  <c r="BI216" i="13"/>
  <c r="AL217" i="13"/>
  <c r="AX217" i="13"/>
  <c r="BJ217" i="13"/>
  <c r="AT171" i="13"/>
  <c r="AR16" i="28" s="1"/>
  <c r="AP172" i="13"/>
  <c r="AN17" i="28" s="1"/>
  <c r="AK173" i="13"/>
  <c r="AI18" i="28" s="1"/>
  <c r="AG174" i="13"/>
  <c r="AE19" i="28" s="1"/>
  <c r="BO174" i="13"/>
  <c r="BM19" i="28" s="1"/>
  <c r="BH175" i="13"/>
  <c r="BF20" i="28" s="1"/>
  <c r="BF176" i="13"/>
  <c r="BD21" i="28" s="1"/>
  <c r="AY177" i="13"/>
  <c r="AW22" i="28" s="1"/>
  <c r="AW178" i="13"/>
  <c r="AU23" i="28" s="1"/>
  <c r="AP179" i="13"/>
  <c r="AN24" i="28" s="1"/>
  <c r="AO180" i="13"/>
  <c r="AM25" i="28" s="1"/>
  <c r="AG181" i="13"/>
  <c r="AE26" i="28" s="1"/>
  <c r="BO181" i="13"/>
  <c r="BM26" i="28" s="1"/>
  <c r="BK182" i="13"/>
  <c r="BI27" i="28" s="1"/>
  <c r="BF183" i="13"/>
  <c r="BD28" i="28" s="1"/>
  <c r="BB184" i="13"/>
  <c r="AZ29" i="28" s="1"/>
  <c r="AW185" i="13"/>
  <c r="AU30" i="28" s="1"/>
  <c r="AS186" i="13"/>
  <c r="AQ31" i="28" s="1"/>
  <c r="AR187" i="13"/>
  <c r="AP32" i="28" s="1"/>
  <c r="AJ188" i="13"/>
  <c r="AH33" i="28" s="1"/>
  <c r="BG188" i="13"/>
  <c r="BE33" i="28" s="1"/>
  <c r="AR189" i="13"/>
  <c r="AP34" i="28" s="1"/>
  <c r="BO189" i="13"/>
  <c r="BM34" i="28" s="1"/>
  <c r="AZ190" i="13"/>
  <c r="AN191" i="13"/>
  <c r="BI191" i="13"/>
  <c r="AW192" i="13"/>
  <c r="AG193" i="13"/>
  <c r="BD193" i="13"/>
  <c r="AP194" i="13"/>
  <c r="BM194" i="13"/>
  <c r="AX195" i="13"/>
  <c r="AL196" i="13"/>
  <c r="BF196" i="13"/>
  <c r="AT197" i="13"/>
  <c r="BO197" i="13"/>
  <c r="BC198" i="13"/>
  <c r="AM199" i="13"/>
  <c r="BJ199" i="13"/>
  <c r="AR200" i="13"/>
  <c r="BK200" i="13"/>
  <c r="AS201" i="13"/>
  <c r="BL201" i="13"/>
  <c r="AT202" i="13"/>
  <c r="BM202" i="13"/>
  <c r="AU203" i="13"/>
  <c r="BN203" i="13"/>
  <c r="AV204" i="13"/>
  <c r="BO204" i="13"/>
  <c r="AW205" i="13"/>
  <c r="BL205" i="13"/>
  <c r="AR206" i="13"/>
  <c r="BE206" i="13"/>
  <c r="AI207" i="13"/>
  <c r="AV207" i="13"/>
  <c r="BI207" i="13"/>
  <c r="AM208" i="13"/>
  <c r="AZ208" i="13"/>
  <c r="BM208" i="13"/>
  <c r="AQ209" i="13"/>
  <c r="BC209" i="13"/>
  <c r="BO209" i="13"/>
  <c r="AR210" i="13"/>
  <c r="BD210" i="13"/>
  <c r="AG211" i="13"/>
  <c r="AS211" i="13"/>
  <c r="BE211" i="13"/>
  <c r="AH212" i="13"/>
  <c r="AT212" i="13"/>
  <c r="BF212" i="13"/>
  <c r="AI213" i="13"/>
  <c r="AU213" i="13"/>
  <c r="BG213" i="13"/>
  <c r="AJ214" i="13"/>
  <c r="AV214" i="13"/>
  <c r="BH214" i="13"/>
  <c r="AK215" i="13"/>
  <c r="AW215" i="13"/>
  <c r="BI215" i="13"/>
  <c r="AL216" i="13"/>
  <c r="AX216" i="13"/>
  <c r="BJ216" i="13"/>
  <c r="AM217" i="13"/>
  <c r="AY217" i="13"/>
  <c r="BK217" i="13"/>
  <c r="AU171" i="13"/>
  <c r="AS16" i="28" s="1"/>
  <c r="AQ172" i="13"/>
  <c r="AO17" i="28" s="1"/>
  <c r="AP173" i="13"/>
  <c r="AN18" i="28" s="1"/>
  <c r="AI174" i="13"/>
  <c r="AG19" i="28" s="1"/>
  <c r="AG175" i="13"/>
  <c r="AE20" i="28" s="1"/>
  <c r="BI175" i="13"/>
  <c r="BG20" i="28" s="1"/>
  <c r="BG176" i="13"/>
  <c r="BE21" i="28" s="1"/>
  <c r="AZ177" i="13"/>
  <c r="AX22" i="28" s="1"/>
  <c r="AY178" i="13"/>
  <c r="AW23" i="28" s="1"/>
  <c r="AQ179" i="13"/>
  <c r="AO24" i="28" s="1"/>
  <c r="AP180" i="13"/>
  <c r="AN25" i="28" s="1"/>
  <c r="AL181" i="13"/>
  <c r="AJ26" i="28" s="1"/>
  <c r="AG182" i="13"/>
  <c r="AE27" i="28" s="1"/>
  <c r="BL182" i="13"/>
  <c r="BJ27" i="28" s="1"/>
  <c r="BG183" i="13"/>
  <c r="BE28" i="28" s="1"/>
  <c r="BC184" i="13"/>
  <c r="BA29" i="28" s="1"/>
  <c r="BB185" i="13"/>
  <c r="AZ30" i="28" s="1"/>
  <c r="AU186" i="13"/>
  <c r="AS31" i="28" s="1"/>
  <c r="AS187" i="13"/>
  <c r="AQ32" i="28" s="1"/>
  <c r="AK188" i="13"/>
  <c r="AI33" i="28" s="1"/>
  <c r="BH188" i="13"/>
  <c r="BF33" i="28" s="1"/>
  <c r="AT189" i="13"/>
  <c r="AR34" i="28" s="1"/>
  <c r="AG190" i="13"/>
  <c r="BA190" i="13"/>
  <c r="AO191" i="13"/>
  <c r="BJ191" i="13"/>
  <c r="AX192" i="13"/>
  <c r="AI193" i="13"/>
  <c r="BE193" i="13"/>
  <c r="AQ194" i="13"/>
  <c r="BN194" i="13"/>
  <c r="AZ195" i="13"/>
  <c r="AM196" i="13"/>
  <c r="BG196" i="13"/>
  <c r="AU197" i="13"/>
  <c r="AG198" i="13"/>
  <c r="BD198" i="13"/>
  <c r="AO199" i="13"/>
  <c r="BK199" i="13"/>
  <c r="AS200" i="13"/>
  <c r="BL200" i="13"/>
  <c r="AT201" i="13"/>
  <c r="BM201" i="13"/>
  <c r="AU202" i="13"/>
  <c r="BN202" i="13"/>
  <c r="AV203" i="13"/>
  <c r="BO203" i="13"/>
  <c r="AW204" i="13"/>
  <c r="AG205" i="13"/>
  <c r="AX205" i="13"/>
  <c r="BO205" i="13"/>
  <c r="AS206" i="13"/>
  <c r="BF206" i="13"/>
  <c r="AJ207" i="13"/>
  <c r="AW207" i="13"/>
  <c r="BJ207" i="13"/>
  <c r="AN208" i="13"/>
  <c r="BA208" i="13"/>
  <c r="BN208" i="13"/>
  <c r="AR209" i="13"/>
  <c r="BD209" i="13"/>
  <c r="AG210" i="13"/>
  <c r="AS210" i="13"/>
  <c r="BE210" i="13"/>
  <c r="AH211" i="13"/>
  <c r="AT211" i="13"/>
  <c r="BF211" i="13"/>
  <c r="AI212" i="13"/>
  <c r="AU212" i="13"/>
  <c r="BG212" i="13"/>
  <c r="AJ213" i="13"/>
  <c r="AZ171" i="13"/>
  <c r="AX16" i="28" s="1"/>
  <c r="AS172" i="13"/>
  <c r="AQ17" i="28" s="1"/>
  <c r="AQ173" i="13"/>
  <c r="AO18" i="28" s="1"/>
  <c r="AJ174" i="13"/>
  <c r="AH19" i="28" s="1"/>
  <c r="AH175" i="13"/>
  <c r="AF20" i="28" s="1"/>
  <c r="BJ175" i="13"/>
  <c r="BH20" i="28" s="1"/>
  <c r="BI176" i="13"/>
  <c r="BG21" i="28" s="1"/>
  <c r="BA177" i="13"/>
  <c r="AY22" i="28" s="1"/>
  <c r="AZ178" i="13"/>
  <c r="AX23" i="28" s="1"/>
  <c r="AV179" i="13"/>
  <c r="AT24" i="28" s="1"/>
  <c r="AQ180" i="13"/>
  <c r="AO25" i="28" s="1"/>
  <c r="AM181" i="13"/>
  <c r="AK26" i="28" s="1"/>
  <c r="AH182" i="13"/>
  <c r="AF27" i="28" s="1"/>
  <c r="BM182" i="13"/>
  <c r="BK27" i="28" s="1"/>
  <c r="BL183" i="13"/>
  <c r="BJ28" i="28" s="1"/>
  <c r="BE184" i="13"/>
  <c r="BC29" i="28" s="1"/>
  <c r="BC185" i="13"/>
  <c r="BA30" i="28" s="1"/>
  <c r="AV186" i="13"/>
  <c r="AT31" i="28" s="1"/>
  <c r="AT187" i="13"/>
  <c r="AR32" i="28" s="1"/>
  <c r="AL188" i="13"/>
  <c r="AJ33" i="28" s="1"/>
  <c r="BI188" i="13"/>
  <c r="BG33" i="28" s="1"/>
  <c r="AU189" i="13"/>
  <c r="AS34" i="28" s="1"/>
  <c r="AI190" i="13"/>
  <c r="BB190" i="13"/>
  <c r="AP191" i="13"/>
  <c r="BK191" i="13"/>
  <c r="AY192" i="13"/>
  <c r="AJ193" i="13"/>
  <c r="BG193" i="13"/>
  <c r="AR194" i="13"/>
  <c r="BO194" i="13"/>
  <c r="BA195" i="13"/>
  <c r="AO196" i="13"/>
  <c r="BH196" i="13"/>
  <c r="AV197" i="13"/>
  <c r="AH198" i="13"/>
  <c r="BE198" i="13"/>
  <c r="AP199" i="13"/>
  <c r="BL199" i="13"/>
  <c r="AT200" i="13"/>
  <c r="BM200" i="13"/>
  <c r="AU201" i="13"/>
  <c r="BN201" i="13"/>
  <c r="AV202" i="13"/>
  <c r="BO202" i="13"/>
  <c r="AW203" i="13"/>
  <c r="AG204" i="13"/>
  <c r="AX204" i="13"/>
  <c r="AH205" i="13"/>
  <c r="AY205" i="13"/>
  <c r="AG206" i="13"/>
  <c r="AT206" i="13"/>
  <c r="BG206" i="13"/>
  <c r="AK207" i="13"/>
  <c r="AX207" i="13"/>
  <c r="BK207" i="13"/>
  <c r="AO208" i="13"/>
  <c r="BB208" i="13"/>
  <c r="BO208" i="13"/>
  <c r="AS209" i="13"/>
  <c r="BE209" i="13"/>
  <c r="AH210" i="13"/>
  <c r="AT210" i="13"/>
  <c r="BF210" i="13"/>
  <c r="AI211" i="13"/>
  <c r="AU211" i="13"/>
  <c r="BG211" i="13"/>
  <c r="AJ212" i="13"/>
  <c r="AV212" i="13"/>
  <c r="BH212" i="13"/>
  <c r="AK213" i="13"/>
  <c r="AW213" i="13"/>
  <c r="BI213" i="13"/>
  <c r="AL214" i="13"/>
  <c r="AX214" i="13"/>
  <c r="BJ214" i="13"/>
  <c r="AM215" i="13"/>
  <c r="AY215" i="13"/>
  <c r="BK215" i="13"/>
  <c r="AN216" i="13"/>
  <c r="AZ216" i="13"/>
  <c r="BL216" i="13"/>
  <c r="AO217" i="13"/>
  <c r="BA217" i="13"/>
  <c r="BM217" i="13"/>
  <c r="BB171" i="13"/>
  <c r="AZ16" i="28" s="1"/>
  <c r="BG172" i="13"/>
  <c r="BE17" i="28" s="1"/>
  <c r="AR174" i="13"/>
  <c r="AP19" i="28" s="1"/>
  <c r="AW175" i="13"/>
  <c r="AU20" i="28" s="1"/>
  <c r="BK176" i="13"/>
  <c r="BI21" i="28" s="1"/>
  <c r="AJ178" i="13"/>
  <c r="AH23" i="28" s="1"/>
  <c r="BA179" i="13"/>
  <c r="AY24" i="28" s="1"/>
  <c r="BI180" i="13"/>
  <c r="BG25" i="28" s="1"/>
  <c r="AN182" i="13"/>
  <c r="AL27" i="28" s="1"/>
  <c r="AS183" i="13"/>
  <c r="AQ28" i="28" s="1"/>
  <c r="BM184" i="13"/>
  <c r="BK29" i="28" s="1"/>
  <c r="AI186" i="13"/>
  <c r="AG31" i="28" s="1"/>
  <c r="AW187" i="13"/>
  <c r="AU32" i="28" s="1"/>
  <c r="AW188" i="13"/>
  <c r="AU33" i="28" s="1"/>
  <c r="AY189" i="13"/>
  <c r="AW34" i="28" s="1"/>
  <c r="AS190" i="13"/>
  <c r="AS191" i="13"/>
  <c r="AM192" i="13"/>
  <c r="AO193" i="13"/>
  <c r="AH194" i="13"/>
  <c r="AH195" i="13"/>
  <c r="BL195" i="13"/>
  <c r="BN196" i="13"/>
  <c r="BG197" i="13"/>
  <c r="BG198" i="13"/>
  <c r="BA199" i="13"/>
  <c r="AX200" i="13"/>
  <c r="AM201" i="13"/>
  <c r="AG202" i="13"/>
  <c r="BE202" i="13"/>
  <c r="BA203" i="13"/>
  <c r="AP204" i="13"/>
  <c r="AJ205" i="13"/>
  <c r="BG205" i="13"/>
  <c r="AU206" i="13"/>
  <c r="BL206" i="13"/>
  <c r="AY207" i="13"/>
  <c r="AH208" i="13"/>
  <c r="BC208" i="13"/>
  <c r="AL209" i="13"/>
  <c r="BF209" i="13"/>
  <c r="AM210" i="13"/>
  <c r="BG210" i="13"/>
  <c r="AN211" i="13"/>
  <c r="BH211" i="13"/>
  <c r="AO212" i="13"/>
  <c r="BI212" i="13"/>
  <c r="AP213" i="13"/>
  <c r="BE213" i="13"/>
  <c r="AN214" i="13"/>
  <c r="BC214" i="13"/>
  <c r="AI215" i="13"/>
  <c r="BA215" i="13"/>
  <c r="AG216" i="13"/>
  <c r="AV216" i="13"/>
  <c r="BN216" i="13"/>
  <c r="AT217" i="13"/>
  <c r="BI217" i="13"/>
  <c r="AO218" i="13"/>
  <c r="BA218" i="13"/>
  <c r="BM218" i="13"/>
  <c r="AP219" i="13"/>
  <c r="BB219" i="13"/>
  <c r="BN219" i="13"/>
  <c r="AQ220" i="13"/>
  <c r="BC220" i="13"/>
  <c r="BO220" i="13"/>
  <c r="AR221" i="13"/>
  <c r="BD221" i="13"/>
  <c r="AG222" i="13"/>
  <c r="AS222" i="13"/>
  <c r="BE222" i="13"/>
  <c r="AH223" i="13"/>
  <c r="AT223" i="13"/>
  <c r="BF223" i="13"/>
  <c r="AI224" i="13"/>
  <c r="AU224" i="13"/>
  <c r="BG224" i="13"/>
  <c r="AJ225" i="13"/>
  <c r="AV225" i="13"/>
  <c r="BH225" i="13"/>
  <c r="AK226" i="13"/>
  <c r="AW226" i="13"/>
  <c r="BI226" i="13"/>
  <c r="AL227" i="13"/>
  <c r="AX227" i="13"/>
  <c r="BJ227" i="13"/>
  <c r="AM228" i="13"/>
  <c r="AY228" i="13"/>
  <c r="BK228" i="13"/>
  <c r="AN229" i="13"/>
  <c r="BD171" i="13"/>
  <c r="BB16" i="28" s="1"/>
  <c r="BH172" i="13"/>
  <c r="BF17" i="28" s="1"/>
  <c r="AS174" i="13"/>
  <c r="AQ19" i="28" s="1"/>
  <c r="AX175" i="13"/>
  <c r="AV20" i="28" s="1"/>
  <c r="BL176" i="13"/>
  <c r="BJ21" i="28" s="1"/>
  <c r="AK178" i="13"/>
  <c r="AI23" i="28" s="1"/>
  <c r="BB179" i="13"/>
  <c r="AZ24" i="28" s="1"/>
  <c r="BJ180" i="13"/>
  <c r="BH25" i="28" s="1"/>
  <c r="AO182" i="13"/>
  <c r="AM27" i="28" s="1"/>
  <c r="AT183" i="13"/>
  <c r="AR28" i="28" s="1"/>
  <c r="BN184" i="13"/>
  <c r="BL29" i="28" s="1"/>
  <c r="AJ186" i="13"/>
  <c r="AH31" i="28" s="1"/>
  <c r="AX187" i="13"/>
  <c r="AV32" i="28" s="1"/>
  <c r="AX188" i="13"/>
  <c r="AV33" i="28" s="1"/>
  <c r="AZ189" i="13"/>
  <c r="AX34" i="28" s="1"/>
  <c r="AU190" i="13"/>
  <c r="AT191" i="13"/>
  <c r="AN192" i="13"/>
  <c r="AP193" i="13"/>
  <c r="AJ194" i="13"/>
  <c r="AI195" i="13"/>
  <c r="BM195" i="13"/>
  <c r="BO196" i="13"/>
  <c r="BH197" i="13"/>
  <c r="BH198" i="13"/>
  <c r="BB199" i="13"/>
  <c r="AY200" i="13"/>
  <c r="AN201" i="13"/>
  <c r="AH202" i="13"/>
  <c r="BF202" i="13"/>
  <c r="BB203" i="13"/>
  <c r="AQ204" i="13"/>
  <c r="AK205" i="13"/>
  <c r="BH205" i="13"/>
  <c r="AV206" i="13"/>
  <c r="BM206" i="13"/>
  <c r="AZ207" i="13"/>
  <c r="AI208" i="13"/>
  <c r="BD208" i="13"/>
  <c r="AM209" i="13"/>
  <c r="BG209" i="13"/>
  <c r="AN210" i="13"/>
  <c r="BH210" i="13"/>
  <c r="AO211" i="13"/>
  <c r="BI211" i="13"/>
  <c r="AP212" i="13"/>
  <c r="BJ212" i="13"/>
  <c r="AQ213" i="13"/>
  <c r="BH213" i="13"/>
  <c r="AO214" i="13"/>
  <c r="BD214" i="13"/>
  <c r="AL215" i="13"/>
  <c r="BB215" i="13"/>
  <c r="AH216" i="13"/>
  <c r="AY216" i="13"/>
  <c r="BO216" i="13"/>
  <c r="AU217" i="13"/>
  <c r="BL217" i="13"/>
  <c r="AP218" i="13"/>
  <c r="BB218" i="13"/>
  <c r="BN218" i="13"/>
  <c r="AQ219" i="13"/>
  <c r="BC219" i="13"/>
  <c r="BO219" i="13"/>
  <c r="AR220" i="13"/>
  <c r="BD220" i="13"/>
  <c r="AG221" i="13"/>
  <c r="AS221" i="13"/>
  <c r="BE221" i="13"/>
  <c r="AH222" i="13"/>
  <c r="AT222" i="13"/>
  <c r="BF222" i="13"/>
  <c r="AI223" i="13"/>
  <c r="AU223" i="13"/>
  <c r="BG223" i="13"/>
  <c r="AJ224" i="13"/>
  <c r="AV224" i="13"/>
  <c r="BH224" i="13"/>
  <c r="AK225" i="13"/>
  <c r="AW225" i="13"/>
  <c r="BI225" i="13"/>
  <c r="AL226" i="13"/>
  <c r="AX226" i="13"/>
  <c r="BJ226" i="13"/>
  <c r="AM227" i="13"/>
  <c r="BE171" i="13"/>
  <c r="BC16" i="28" s="1"/>
  <c r="BM172" i="13"/>
  <c r="BK17" i="28" s="1"/>
  <c r="AU174" i="13"/>
  <c r="AS19" i="28" s="1"/>
  <c r="AY175" i="13"/>
  <c r="AW20" i="28" s="1"/>
  <c r="AH177" i="13"/>
  <c r="AF22" i="28" s="1"/>
  <c r="AM178" i="13"/>
  <c r="AK23" i="28" s="1"/>
  <c r="BC179" i="13"/>
  <c r="BA24" i="28" s="1"/>
  <c r="BK180" i="13"/>
  <c r="BI25" i="28" s="1"/>
  <c r="AQ182" i="13"/>
  <c r="AO27" i="28" s="1"/>
  <c r="AU183" i="13"/>
  <c r="AS28" i="28" s="1"/>
  <c r="BO184" i="13"/>
  <c r="BM29" i="28" s="1"/>
  <c r="AK186" i="13"/>
  <c r="AI31" i="28" s="1"/>
  <c r="AY187" i="13"/>
  <c r="AW32" i="28" s="1"/>
  <c r="AY188" i="13"/>
  <c r="AW33" i="28" s="1"/>
  <c r="BA189" i="13"/>
  <c r="AY34" i="28" s="1"/>
  <c r="AV190" i="13"/>
  <c r="AV191" i="13"/>
  <c r="AO192" i="13"/>
  <c r="AQ193" i="13"/>
  <c r="AK194" i="13"/>
  <c r="AK195" i="13"/>
  <c r="BN195" i="13"/>
  <c r="AG197" i="13"/>
  <c r="BI197" i="13"/>
  <c r="BI198" i="13"/>
  <c r="BD199" i="13"/>
  <c r="AZ200" i="13"/>
  <c r="AO201" i="13"/>
  <c r="AI202" i="13"/>
  <c r="BG202" i="13"/>
  <c r="BC203" i="13"/>
  <c r="AR204" i="13"/>
  <c r="AL205" i="13"/>
  <c r="BI205" i="13"/>
  <c r="AW206" i="13"/>
  <c r="BN206" i="13"/>
  <c r="BA207" i="13"/>
  <c r="AJ208" i="13"/>
  <c r="BF208" i="13"/>
  <c r="AN209" i="13"/>
  <c r="BH209" i="13"/>
  <c r="AO210" i="13"/>
  <c r="BI210" i="13"/>
  <c r="AP211" i="13"/>
  <c r="BJ211" i="13"/>
  <c r="AQ212" i="13"/>
  <c r="BK212" i="13"/>
  <c r="AR213" i="13"/>
  <c r="BJ213" i="13"/>
  <c r="AP214" i="13"/>
  <c r="BE214" i="13"/>
  <c r="AN215" i="13"/>
  <c r="BC215" i="13"/>
  <c r="AI216" i="13"/>
  <c r="BA216" i="13"/>
  <c r="AG217" i="13"/>
  <c r="AV217" i="13"/>
  <c r="BN217" i="13"/>
  <c r="AQ218" i="13"/>
  <c r="BC218" i="13"/>
  <c r="BO218" i="13"/>
  <c r="AR219" i="13"/>
  <c r="BD219" i="13"/>
  <c r="AG220" i="13"/>
  <c r="AS220" i="13"/>
  <c r="BE220" i="13"/>
  <c r="AH221" i="13"/>
  <c r="AT221" i="13"/>
  <c r="BF221" i="13"/>
  <c r="AI222" i="13"/>
  <c r="AU222" i="13"/>
  <c r="BG222" i="13"/>
  <c r="AJ223" i="13"/>
  <c r="AV223" i="13"/>
  <c r="BH223" i="13"/>
  <c r="AK224" i="13"/>
  <c r="AW224" i="13"/>
  <c r="BI224" i="13"/>
  <c r="AL225" i="13"/>
  <c r="AX225" i="13"/>
  <c r="BJ225" i="13"/>
  <c r="AM226" i="13"/>
  <c r="AY226" i="13"/>
  <c r="BK226" i="13"/>
  <c r="AN227" i="13"/>
  <c r="AZ227" i="13"/>
  <c r="BL227" i="13"/>
  <c r="AO228" i="13"/>
  <c r="BF171" i="13"/>
  <c r="BD16" i="28" s="1"/>
  <c r="BN172" i="13"/>
  <c r="BL17" i="28" s="1"/>
  <c r="AV174" i="13"/>
  <c r="AT19" i="28" s="1"/>
  <c r="BD175" i="13"/>
  <c r="BB20" i="28" s="1"/>
  <c r="AI177" i="13"/>
  <c r="AG22" i="28" s="1"/>
  <c r="AN178" i="13"/>
  <c r="AL23" i="28" s="1"/>
  <c r="BH179" i="13"/>
  <c r="BF24" i="28" s="1"/>
  <c r="BM180" i="13"/>
  <c r="BK25" i="28" s="1"/>
  <c r="AR182" i="13"/>
  <c r="AP27" i="28" s="1"/>
  <c r="AZ183" i="13"/>
  <c r="AX28" i="28" s="1"/>
  <c r="AH185" i="13"/>
  <c r="AF30" i="28" s="1"/>
  <c r="AL186" i="13"/>
  <c r="AJ31" i="28" s="1"/>
  <c r="BD187" i="13"/>
  <c r="BB32" i="28" s="1"/>
  <c r="AZ188" i="13"/>
  <c r="AX33" i="28" s="1"/>
  <c r="BC189" i="13"/>
  <c r="BA34" i="28" s="1"/>
  <c r="AW190" i="13"/>
  <c r="AW191" i="13"/>
  <c r="AP192" i="13"/>
  <c r="AR193" i="13"/>
  <c r="AM194" i="13"/>
  <c r="AL195" i="13"/>
  <c r="BO195" i="13"/>
  <c r="AH197" i="13"/>
  <c r="BK197" i="13"/>
  <c r="BJ198" i="13"/>
  <c r="BE199" i="13"/>
  <c r="BA200" i="13"/>
  <c r="AP201" i="13"/>
  <c r="AJ202" i="13"/>
  <c r="BH202" i="13"/>
  <c r="BD203" i="13"/>
  <c r="AS204" i="13"/>
  <c r="AM205" i="13"/>
  <c r="BJ205" i="13"/>
  <c r="AX206" i="13"/>
  <c r="AG207" i="13"/>
  <c r="BB207" i="13"/>
  <c r="AK208" i="13"/>
  <c r="BG208" i="13"/>
  <c r="AO209" i="13"/>
  <c r="BI209" i="13"/>
  <c r="AP210" i="13"/>
  <c r="BJ210" i="13"/>
  <c r="AQ211" i="13"/>
  <c r="BK211" i="13"/>
  <c r="AR212" i="13"/>
  <c r="BL212" i="13"/>
  <c r="AS213" i="13"/>
  <c r="BK213" i="13"/>
  <c r="AQ214" i="13"/>
  <c r="BF214" i="13"/>
  <c r="AO215" i="13"/>
  <c r="BD215" i="13"/>
  <c r="AJ216" i="13"/>
  <c r="BB216" i="13"/>
  <c r="AH217" i="13"/>
  <c r="AW217" i="13"/>
  <c r="BO217" i="13"/>
  <c r="AR218" i="13"/>
  <c r="BD218" i="13"/>
  <c r="AG219" i="13"/>
  <c r="AS219" i="13"/>
  <c r="BE219" i="13"/>
  <c r="AH220" i="13"/>
  <c r="AT220" i="13"/>
  <c r="BF220" i="13"/>
  <c r="AI221" i="13"/>
  <c r="AU221" i="13"/>
  <c r="BG221" i="13"/>
  <c r="AJ222" i="13"/>
  <c r="AV222" i="13"/>
  <c r="BH222" i="13"/>
  <c r="AK223" i="13"/>
  <c r="AW223" i="13"/>
  <c r="BI223" i="13"/>
  <c r="AL224" i="13"/>
  <c r="AX224" i="13"/>
  <c r="BJ224" i="13"/>
  <c r="AM225" i="13"/>
  <c r="AY225" i="13"/>
  <c r="BK225" i="13"/>
  <c r="AN226" i="13"/>
  <c r="AZ226" i="13"/>
  <c r="BL226" i="13"/>
  <c r="AO227" i="13"/>
  <c r="BA227" i="13"/>
  <c r="BM227" i="13"/>
  <c r="AP228" i="13"/>
  <c r="BB228" i="13"/>
  <c r="BN228" i="13"/>
  <c r="AQ229" i="13"/>
  <c r="BC229" i="13"/>
  <c r="BO229" i="13"/>
  <c r="AR230" i="13"/>
  <c r="AI172" i="13"/>
  <c r="AG17" i="28" s="1"/>
  <c r="AW173" i="13"/>
  <c r="AU18" i="28" s="1"/>
  <c r="BE174" i="13"/>
  <c r="BC19" i="28" s="1"/>
  <c r="AM176" i="13"/>
  <c r="AK21" i="28" s="1"/>
  <c r="AU177" i="13"/>
  <c r="AS22" i="28" s="1"/>
  <c r="BI178" i="13"/>
  <c r="BG23" i="28" s="1"/>
  <c r="BN179" i="13"/>
  <c r="BL24" i="28" s="1"/>
  <c r="AY181" i="13"/>
  <c r="AW26" i="28" s="1"/>
  <c r="BD182" i="13"/>
  <c r="BB27" i="28" s="1"/>
  <c r="AI184" i="13"/>
  <c r="AG29" i="28" s="1"/>
  <c r="AQ185" i="13"/>
  <c r="AO30" i="28" s="1"/>
  <c r="BH186" i="13"/>
  <c r="BF31" i="28" s="1"/>
  <c r="AG188" i="13"/>
  <c r="AE33" i="28" s="1"/>
  <c r="BO188" i="13"/>
  <c r="BM33" i="28" s="1"/>
  <c r="BI189" i="13"/>
  <c r="BG34" i="28" s="1"/>
  <c r="BK190" i="13"/>
  <c r="BE191" i="13"/>
  <c r="BD192" i="13"/>
  <c r="AY193" i="13"/>
  <c r="BA194" i="13"/>
  <c r="AT195" i="13"/>
  <c r="AT196" i="13"/>
  <c r="AN197" i="13"/>
  <c r="AQ198" i="13"/>
  <c r="AJ199" i="13"/>
  <c r="AH200" i="13"/>
  <c r="BF200" i="13"/>
  <c r="BB201" i="13"/>
  <c r="AQ202" i="13"/>
  <c r="AK203" i="13"/>
  <c r="BI203" i="13"/>
  <c r="BE204" i="13"/>
  <c r="AT205" i="13"/>
  <c r="AK206" i="13"/>
  <c r="BB206" i="13"/>
  <c r="AO207" i="13"/>
  <c r="BG207" i="13"/>
  <c r="AT208" i="13"/>
  <c r="BK208" i="13"/>
  <c r="AW209" i="13"/>
  <c r="BM209" i="13"/>
  <c r="AX210" i="13"/>
  <c r="BN210" i="13"/>
  <c r="AY211" i="13"/>
  <c r="BO211" i="13"/>
  <c r="AZ212" i="13"/>
  <c r="AG213" i="13"/>
  <c r="AZ213" i="13"/>
  <c r="BO213" i="13"/>
  <c r="AW214" i="13"/>
  <c r="BM214" i="13"/>
  <c r="AS215" i="13"/>
  <c r="BJ215" i="13"/>
  <c r="AQ216" i="13"/>
  <c r="BF216" i="13"/>
  <c r="AN217" i="13"/>
  <c r="BD217" i="13"/>
  <c r="AJ218" i="13"/>
  <c r="AV218" i="13"/>
  <c r="BH218" i="13"/>
  <c r="AK219" i="13"/>
  <c r="AW219" i="13"/>
  <c r="BI219" i="13"/>
  <c r="AL220" i="13"/>
  <c r="AX220" i="13"/>
  <c r="BJ220" i="13"/>
  <c r="AM221" i="13"/>
  <c r="AY221" i="13"/>
  <c r="BK221" i="13"/>
  <c r="AN222" i="13"/>
  <c r="BN171" i="13"/>
  <c r="BL16" i="28" s="1"/>
  <c r="BH173" i="13"/>
  <c r="BF18" i="28" s="1"/>
  <c r="AS176" i="13"/>
  <c r="AQ21" i="28" s="1"/>
  <c r="BG178" i="13"/>
  <c r="BE23" i="28" s="1"/>
  <c r="BA180" i="13"/>
  <c r="AY25" i="28" s="1"/>
  <c r="AN183" i="13"/>
  <c r="AL28" i="28" s="1"/>
  <c r="AP185" i="13"/>
  <c r="AN30" i="28" s="1"/>
  <c r="BI187" i="13"/>
  <c r="BG32" i="28" s="1"/>
  <c r="AM189" i="13"/>
  <c r="AK34" i="28" s="1"/>
  <c r="BM190" i="13"/>
  <c r="BB192" i="13"/>
  <c r="BM193" i="13"/>
  <c r="BF195" i="13"/>
  <c r="AM197" i="13"/>
  <c r="AG199" i="13"/>
  <c r="AN200" i="13"/>
  <c r="BD201" i="13"/>
  <c r="AI203" i="13"/>
  <c r="AL204" i="13"/>
  <c r="BD205" i="13"/>
  <c r="BA206" i="13"/>
  <c r="BC207" i="13"/>
  <c r="AW208" i="13"/>
  <c r="AX209" i="13"/>
  <c r="AV210" i="13"/>
  <c r="AM211" i="13"/>
  <c r="AL212" i="13"/>
  <c r="BO212" i="13"/>
  <c r="BL213" i="13"/>
  <c r="BA214" i="13"/>
  <c r="AT215" i="13"/>
  <c r="AO216" i="13"/>
  <c r="BM216" i="13"/>
  <c r="BF217" i="13"/>
  <c r="AU218" i="13"/>
  <c r="AH219" i="13"/>
  <c r="AZ219" i="13"/>
  <c r="AM220" i="13"/>
  <c r="BH220" i="13"/>
  <c r="AQ221" i="13"/>
  <c r="BM221" i="13"/>
  <c r="AY222" i="13"/>
  <c r="BO222" i="13"/>
  <c r="AZ223" i="13"/>
  <c r="AG224" i="13"/>
  <c r="BA224" i="13"/>
  <c r="AH225" i="13"/>
  <c r="BB225" i="13"/>
  <c r="AI226" i="13"/>
  <c r="BC226" i="13"/>
  <c r="AJ227" i="13"/>
  <c r="BC227" i="13"/>
  <c r="AI228" i="13"/>
  <c r="AX228" i="13"/>
  <c r="BM228" i="13"/>
  <c r="AS229" i="13"/>
  <c r="BF229" i="13"/>
  <c r="AJ230" i="13"/>
  <c r="AW230" i="13"/>
  <c r="BI230" i="13"/>
  <c r="AL231" i="13"/>
  <c r="AX231" i="13"/>
  <c r="BJ231" i="13"/>
  <c r="AM232" i="13"/>
  <c r="AY232" i="13"/>
  <c r="BK232" i="13"/>
  <c r="AN233" i="13"/>
  <c r="AZ233" i="13"/>
  <c r="BL233" i="13"/>
  <c r="AO234" i="13"/>
  <c r="BA234" i="13"/>
  <c r="BM234" i="13"/>
  <c r="AP235" i="13"/>
  <c r="BB235" i="13"/>
  <c r="BN235" i="13"/>
  <c r="AQ236" i="13"/>
  <c r="BC236" i="13"/>
  <c r="BO236" i="13"/>
  <c r="AR237" i="13"/>
  <c r="BD237" i="13"/>
  <c r="AG238" i="13"/>
  <c r="AS238" i="13"/>
  <c r="BE238" i="13"/>
  <c r="AH239" i="13"/>
  <c r="AT239" i="13"/>
  <c r="BF239" i="13"/>
  <c r="AI240" i="13"/>
  <c r="AU240" i="13"/>
  <c r="BG240" i="13"/>
  <c r="AJ241" i="13"/>
  <c r="AV241" i="13"/>
  <c r="BH241" i="13"/>
  <c r="AK242" i="13"/>
  <c r="AW242" i="13"/>
  <c r="BI242" i="13"/>
  <c r="AL243" i="13"/>
  <c r="AX243" i="13"/>
  <c r="BJ243" i="13"/>
  <c r="AM244" i="13"/>
  <c r="AY244" i="13"/>
  <c r="BK244" i="13"/>
  <c r="AN245" i="13"/>
  <c r="AZ245" i="13"/>
  <c r="BL245" i="13"/>
  <c r="AO246" i="13"/>
  <c r="BA246" i="13"/>
  <c r="BM246" i="13"/>
  <c r="AP247" i="13"/>
  <c r="BB247" i="13"/>
  <c r="BN247" i="13"/>
  <c r="AQ248" i="13"/>
  <c r="BC248" i="13"/>
  <c r="BO248" i="13"/>
  <c r="AR249" i="13"/>
  <c r="BD249" i="13"/>
  <c r="AG250" i="13"/>
  <c r="AS250" i="13"/>
  <c r="BE250" i="13"/>
  <c r="AH251" i="13"/>
  <c r="AT251" i="13"/>
  <c r="BF251" i="13"/>
  <c r="AI252" i="13"/>
  <c r="AU252" i="13"/>
  <c r="BG252" i="13"/>
  <c r="AJ253" i="13"/>
  <c r="AV253" i="13"/>
  <c r="BH253" i="13"/>
  <c r="AK254" i="13"/>
  <c r="AW254" i="13"/>
  <c r="BI254" i="13"/>
  <c r="AL255" i="13"/>
  <c r="AX255" i="13"/>
  <c r="BJ255" i="13"/>
  <c r="AM256" i="13"/>
  <c r="AY256" i="13"/>
  <c r="BK256" i="13"/>
  <c r="AN257" i="13"/>
  <c r="AZ257" i="13"/>
  <c r="BL257" i="13"/>
  <c r="AO258" i="13"/>
  <c r="BA258" i="13"/>
  <c r="BM258" i="13"/>
  <c r="AP259" i="13"/>
  <c r="BB259" i="13"/>
  <c r="BN259" i="13"/>
  <c r="AQ260" i="13"/>
  <c r="BC260" i="13"/>
  <c r="BO260" i="13"/>
  <c r="AR261" i="13"/>
  <c r="BD261" i="13"/>
  <c r="AG262" i="13"/>
  <c r="AS262" i="13"/>
  <c r="BE262" i="13"/>
  <c r="AH263" i="13"/>
  <c r="AT263" i="13"/>
  <c r="BF263" i="13"/>
  <c r="AI264" i="13"/>
  <c r="AU264" i="13"/>
  <c r="AG172" i="13"/>
  <c r="AE17" i="28" s="1"/>
  <c r="BI173" i="13"/>
  <c r="BG18" i="28" s="1"/>
  <c r="AT176" i="13"/>
  <c r="AR21" i="28" s="1"/>
  <c r="BH178" i="13"/>
  <c r="BF23" i="28" s="1"/>
  <c r="AR181" i="13"/>
  <c r="AP26" i="28" s="1"/>
  <c r="AO183" i="13"/>
  <c r="AM28" i="28" s="1"/>
  <c r="BF185" i="13"/>
  <c r="BD30" i="28" s="1"/>
  <c r="BJ187" i="13"/>
  <c r="BH32" i="28" s="1"/>
  <c r="AN189" i="13"/>
  <c r="AL34" i="28" s="1"/>
  <c r="BN190" i="13"/>
  <c r="BC192" i="13"/>
  <c r="AW194" i="13"/>
  <c r="BG195" i="13"/>
  <c r="AY197" i="13"/>
  <c r="AH199" i="13"/>
  <c r="AO200" i="13"/>
  <c r="BE201" i="13"/>
  <c r="AJ203" i="13"/>
  <c r="BB204" i="13"/>
  <c r="BE205" i="13"/>
  <c r="BH206" i="13"/>
  <c r="BE207" i="13"/>
  <c r="AX208" i="13"/>
  <c r="AY209" i="13"/>
  <c r="AW210" i="13"/>
  <c r="AV211" i="13"/>
  <c r="AM212" i="13"/>
  <c r="AL213" i="13"/>
  <c r="BM213" i="13"/>
  <c r="BB214" i="13"/>
  <c r="AU215" i="13"/>
  <c r="AP216" i="13"/>
  <c r="AI217" i="13"/>
  <c r="BG217" i="13"/>
  <c r="AW218" i="13"/>
  <c r="AI219" i="13"/>
  <c r="BA219" i="13"/>
  <c r="AN220" i="13"/>
  <c r="BI220" i="13"/>
  <c r="AV221" i="13"/>
  <c r="BN221" i="13"/>
  <c r="AZ222" i="13"/>
  <c r="AG223" i="13"/>
  <c r="BA223" i="13"/>
  <c r="AH224" i="13"/>
  <c r="BB224" i="13"/>
  <c r="AI225" i="13"/>
  <c r="BC225" i="13"/>
  <c r="AJ226" i="13"/>
  <c r="BD226" i="13"/>
  <c r="AK227" i="13"/>
  <c r="BD227" i="13"/>
  <c r="AJ228" i="13"/>
  <c r="AZ228" i="13"/>
  <c r="BO228" i="13"/>
  <c r="AT229" i="13"/>
  <c r="BG229" i="13"/>
  <c r="AK230" i="13"/>
  <c r="AX230" i="13"/>
  <c r="BJ230" i="13"/>
  <c r="AM231" i="13"/>
  <c r="AY231" i="13"/>
  <c r="BK231" i="13"/>
  <c r="AN232" i="13"/>
  <c r="AZ232" i="13"/>
  <c r="BL232" i="13"/>
  <c r="AO233" i="13"/>
  <c r="BA233" i="13"/>
  <c r="BM233" i="13"/>
  <c r="AP234" i="13"/>
  <c r="BB234" i="13"/>
  <c r="BN234" i="13"/>
  <c r="AQ235" i="13"/>
  <c r="BC235" i="13"/>
  <c r="BO235" i="13"/>
  <c r="AR236" i="13"/>
  <c r="BD236" i="13"/>
  <c r="AG237" i="13"/>
  <c r="AS237" i="13"/>
  <c r="BE237" i="13"/>
  <c r="AH238" i="13"/>
  <c r="AT238" i="13"/>
  <c r="BF238" i="13"/>
  <c r="AI239" i="13"/>
  <c r="AU239" i="13"/>
  <c r="BG239" i="13"/>
  <c r="AJ240" i="13"/>
  <c r="AV240" i="13"/>
  <c r="BH240" i="13"/>
  <c r="AK241" i="13"/>
  <c r="AW241" i="13"/>
  <c r="BI241" i="13"/>
  <c r="AL242" i="13"/>
  <c r="AX242" i="13"/>
  <c r="BJ242" i="13"/>
  <c r="AM243" i="13"/>
  <c r="AY243" i="13"/>
  <c r="BK243" i="13"/>
  <c r="AN244" i="13"/>
  <c r="AZ244" i="13"/>
  <c r="BL244" i="13"/>
  <c r="AO245" i="13"/>
  <c r="BA245" i="13"/>
  <c r="BM245" i="13"/>
  <c r="AP246" i="13"/>
  <c r="BB246" i="13"/>
  <c r="BN246" i="13"/>
  <c r="AQ247" i="13"/>
  <c r="BC247" i="13"/>
  <c r="BO247" i="13"/>
  <c r="AR248" i="13"/>
  <c r="BD248" i="13"/>
  <c r="AG249" i="13"/>
  <c r="AS249" i="13"/>
  <c r="BE249" i="13"/>
  <c r="AH250" i="13"/>
  <c r="AT250" i="13"/>
  <c r="BF250" i="13"/>
  <c r="AI251" i="13"/>
  <c r="AU251" i="13"/>
  <c r="BG251" i="13"/>
  <c r="AJ252" i="13"/>
  <c r="AV252" i="13"/>
  <c r="BH252" i="13"/>
  <c r="AK253" i="13"/>
  <c r="AW253" i="13"/>
  <c r="BI253" i="13"/>
  <c r="AL254" i="13"/>
  <c r="AX254" i="13"/>
  <c r="BJ254" i="13"/>
  <c r="AM255" i="13"/>
  <c r="AY255" i="13"/>
  <c r="BK255" i="13"/>
  <c r="AN256" i="13"/>
  <c r="AZ256" i="13"/>
  <c r="BL256" i="13"/>
  <c r="AO257" i="13"/>
  <c r="BA257" i="13"/>
  <c r="BM257" i="13"/>
  <c r="AP258" i="13"/>
  <c r="BB258" i="13"/>
  <c r="BN258" i="13"/>
  <c r="AQ259" i="13"/>
  <c r="BC259" i="13"/>
  <c r="BO259" i="13"/>
  <c r="AR260" i="13"/>
  <c r="BD260" i="13"/>
  <c r="AG261" i="13"/>
  <c r="AS261" i="13"/>
  <c r="BE261" i="13"/>
  <c r="AH262" i="13"/>
  <c r="AT262" i="13"/>
  <c r="BF262" i="13"/>
  <c r="AI263" i="13"/>
  <c r="AU263" i="13"/>
  <c r="BG263" i="13"/>
  <c r="AJ264" i="13"/>
  <c r="AV264" i="13"/>
  <c r="AH172" i="13"/>
  <c r="AF17" i="28" s="1"/>
  <c r="AX174" i="13"/>
  <c r="AV19" i="28" s="1"/>
  <c r="AU176" i="13"/>
  <c r="AS21" i="28" s="1"/>
  <c r="BN178" i="13"/>
  <c r="BL23" i="28" s="1"/>
  <c r="AS181" i="13"/>
  <c r="AQ26" i="28" s="1"/>
  <c r="AP183" i="13"/>
  <c r="AN28" i="28" s="1"/>
  <c r="BG185" i="13"/>
  <c r="BE30" i="28" s="1"/>
  <c r="BK187" i="13"/>
  <c r="BI32" i="28" s="1"/>
  <c r="BF189" i="13"/>
  <c r="BD34" i="28" s="1"/>
  <c r="AG191" i="13"/>
  <c r="BJ192" i="13"/>
  <c r="AY194" i="13"/>
  <c r="BI195" i="13"/>
  <c r="AZ197" i="13"/>
  <c r="AI199" i="13"/>
  <c r="BC200" i="13"/>
  <c r="BF201" i="13"/>
  <c r="AO203" i="13"/>
  <c r="BC204" i="13"/>
  <c r="BF205" i="13"/>
  <c r="BI206" i="13"/>
  <c r="BF207" i="13"/>
  <c r="BH208" i="13"/>
  <c r="AZ209" i="13"/>
  <c r="AY210" i="13"/>
  <c r="AW211" i="13"/>
  <c r="AN212" i="13"/>
  <c r="AM213" i="13"/>
  <c r="BN213" i="13"/>
  <c r="BI214" i="13"/>
  <c r="AX215" i="13"/>
  <c r="AR216" i="13"/>
  <c r="AJ217" i="13"/>
  <c r="BH217" i="13"/>
  <c r="AX218" i="13"/>
  <c r="AJ219" i="13"/>
  <c r="BF219" i="13"/>
  <c r="AO220" i="13"/>
  <c r="BK220" i="13"/>
  <c r="AW221" i="13"/>
  <c r="BO221" i="13"/>
  <c r="BA222" i="13"/>
  <c r="AL223" i="13"/>
  <c r="BB223" i="13"/>
  <c r="AM224" i="13"/>
  <c r="BC224" i="13"/>
  <c r="AN225" i="13"/>
  <c r="BD225" i="13"/>
  <c r="AO226" i="13"/>
  <c r="BE226" i="13"/>
  <c r="AP227" i="13"/>
  <c r="BE227" i="13"/>
  <c r="AK228" i="13"/>
  <c r="BA228" i="13"/>
  <c r="AG229" i="13"/>
  <c r="AU229" i="13"/>
  <c r="BH229" i="13"/>
  <c r="AL230" i="13"/>
  <c r="AY230" i="13"/>
  <c r="BK230" i="13"/>
  <c r="AN231" i="13"/>
  <c r="AZ231" i="13"/>
  <c r="BL231" i="13"/>
  <c r="AO232" i="13"/>
  <c r="BA232" i="13"/>
  <c r="BM232" i="13"/>
  <c r="AP233" i="13"/>
  <c r="BB233" i="13"/>
  <c r="BN233" i="13"/>
  <c r="AQ234" i="13"/>
  <c r="BC234" i="13"/>
  <c r="BO234" i="13"/>
  <c r="AR235" i="13"/>
  <c r="BD235" i="13"/>
  <c r="AG236" i="13"/>
  <c r="AS236" i="13"/>
  <c r="BE236" i="13"/>
  <c r="AH237" i="13"/>
  <c r="AT237" i="13"/>
  <c r="BF237" i="13"/>
  <c r="AI238" i="13"/>
  <c r="AU238" i="13"/>
  <c r="BG238" i="13"/>
  <c r="AJ239" i="13"/>
  <c r="AV239" i="13"/>
  <c r="BH239" i="13"/>
  <c r="AK240" i="13"/>
  <c r="AW240" i="13"/>
  <c r="BI240" i="13"/>
  <c r="AL241" i="13"/>
  <c r="AX241" i="13"/>
  <c r="BJ241" i="13"/>
  <c r="AM242" i="13"/>
  <c r="AY242" i="13"/>
  <c r="BK242" i="13"/>
  <c r="BA172" i="13"/>
  <c r="AY17" i="28" s="1"/>
  <c r="BC174" i="13"/>
  <c r="BA19" i="28" s="1"/>
  <c r="AW176" i="13"/>
  <c r="AU21" i="28" s="1"/>
  <c r="AJ179" i="13"/>
  <c r="AH24" i="28" s="1"/>
  <c r="AX181" i="13"/>
  <c r="AV26" i="28" s="1"/>
  <c r="BN183" i="13"/>
  <c r="BL28" i="28" s="1"/>
  <c r="BH185" i="13"/>
  <c r="BF30" i="28" s="1"/>
  <c r="AQ188" i="13"/>
  <c r="AO33" i="28" s="1"/>
  <c r="BG189" i="13"/>
  <c r="BE34" i="28" s="1"/>
  <c r="AH191" i="13"/>
  <c r="BK192" i="13"/>
  <c r="AZ194" i="13"/>
  <c r="AQ196" i="13"/>
  <c r="BB197" i="13"/>
  <c r="AU199" i="13"/>
  <c r="BD200" i="13"/>
  <c r="BG201" i="13"/>
  <c r="AP203" i="13"/>
  <c r="BD204" i="13"/>
  <c r="AH206" i="13"/>
  <c r="BJ206" i="13"/>
  <c r="BL207" i="13"/>
  <c r="BI208" i="13"/>
  <c r="BA209" i="13"/>
  <c r="AZ210" i="13"/>
  <c r="AX211" i="13"/>
  <c r="AW212" i="13"/>
  <c r="AN213" i="13"/>
  <c r="AG214" i="13"/>
  <c r="BK214" i="13"/>
  <c r="AZ215" i="13"/>
  <c r="AS216" i="13"/>
  <c r="AK217" i="13"/>
  <c r="AG218" i="13"/>
  <c r="AY218" i="13"/>
  <c r="AL219" i="13"/>
  <c r="BG219" i="13"/>
  <c r="AP220" i="13"/>
  <c r="BL220" i="13"/>
  <c r="AX221" i="13"/>
  <c r="AK222" i="13"/>
  <c r="BB222" i="13"/>
  <c r="AM223" i="13"/>
  <c r="BC223" i="13"/>
  <c r="AN224" i="13"/>
  <c r="BD224" i="13"/>
  <c r="AO225" i="13"/>
  <c r="BE225" i="13"/>
  <c r="AP226" i="13"/>
  <c r="BF226" i="13"/>
  <c r="AQ227" i="13"/>
  <c r="BF227" i="13"/>
  <c r="AL228" i="13"/>
  <c r="BC228" i="13"/>
  <c r="AH229" i="13"/>
  <c r="AV229" i="13"/>
  <c r="BI229" i="13"/>
  <c r="AM230" i="13"/>
  <c r="AZ230" i="13"/>
  <c r="BL230" i="13"/>
  <c r="AO231" i="13"/>
  <c r="BA231" i="13"/>
  <c r="BM231" i="13"/>
  <c r="AP232" i="13"/>
  <c r="BB232" i="13"/>
  <c r="BN232" i="13"/>
  <c r="AQ233" i="13"/>
  <c r="BC233" i="13"/>
  <c r="BO233" i="13"/>
  <c r="AR234" i="13"/>
  <c r="BD234" i="13"/>
  <c r="AG235" i="13"/>
  <c r="AS235" i="13"/>
  <c r="BE235" i="13"/>
  <c r="AH236" i="13"/>
  <c r="AT236" i="13"/>
  <c r="BF236" i="13"/>
  <c r="AI237" i="13"/>
  <c r="AU237" i="13"/>
  <c r="BG237" i="13"/>
  <c r="AJ238" i="13"/>
  <c r="AV238" i="13"/>
  <c r="BH238" i="13"/>
  <c r="AK239" i="13"/>
  <c r="AW239" i="13"/>
  <c r="BI239" i="13"/>
  <c r="AL240" i="13"/>
  <c r="AX240" i="13"/>
  <c r="BJ240" i="13"/>
  <c r="AM241" i="13"/>
  <c r="AY241" i="13"/>
  <c r="BK241" i="13"/>
  <c r="AN242" i="13"/>
  <c r="AZ242" i="13"/>
  <c r="BL242" i="13"/>
  <c r="AO243" i="13"/>
  <c r="BA243" i="13"/>
  <c r="BM243" i="13"/>
  <c r="AP244" i="13"/>
  <c r="BB244" i="13"/>
  <c r="BN244" i="13"/>
  <c r="AQ245" i="13"/>
  <c r="BC245" i="13"/>
  <c r="BO245" i="13"/>
  <c r="AR246" i="13"/>
  <c r="BD246" i="13"/>
  <c r="AG247" i="13"/>
  <c r="AS247" i="13"/>
  <c r="BE247" i="13"/>
  <c r="AH248" i="13"/>
  <c r="AT248" i="13"/>
  <c r="BF248" i="13"/>
  <c r="AI249" i="13"/>
  <c r="AU249" i="13"/>
  <c r="BG249" i="13"/>
  <c r="AJ250" i="13"/>
  <c r="AV250" i="13"/>
  <c r="BH250" i="13"/>
  <c r="AK251" i="13"/>
  <c r="AW251" i="13"/>
  <c r="BI251" i="13"/>
  <c r="AL252" i="13"/>
  <c r="AX252" i="13"/>
  <c r="BJ252" i="13"/>
  <c r="AM253" i="13"/>
  <c r="AY253" i="13"/>
  <c r="BK253" i="13"/>
  <c r="AN254" i="13"/>
  <c r="AZ254" i="13"/>
  <c r="BL254" i="13"/>
  <c r="AO255" i="13"/>
  <c r="BA255" i="13"/>
  <c r="BM255" i="13"/>
  <c r="AP256" i="13"/>
  <c r="BB256" i="13"/>
  <c r="BN256" i="13"/>
  <c r="AQ257" i="13"/>
  <c r="BC257" i="13"/>
  <c r="BO257" i="13"/>
  <c r="AR258" i="13"/>
  <c r="BD258" i="13"/>
  <c r="AG259" i="13"/>
  <c r="AS259" i="13"/>
  <c r="BE259" i="13"/>
  <c r="AH260" i="13"/>
  <c r="AT260" i="13"/>
  <c r="BF260" i="13"/>
  <c r="AI261" i="13"/>
  <c r="AU261" i="13"/>
  <c r="BG261" i="13"/>
  <c r="AJ262" i="13"/>
  <c r="AV262" i="13"/>
  <c r="BH262" i="13"/>
  <c r="AK263" i="13"/>
  <c r="AW263" i="13"/>
  <c r="BI263" i="13"/>
  <c r="AL264" i="13"/>
  <c r="AX264" i="13"/>
  <c r="BJ264" i="13"/>
  <c r="AM265" i="13"/>
  <c r="AY265" i="13"/>
  <c r="BK265" i="13"/>
  <c r="AN266" i="13"/>
  <c r="AZ266" i="13"/>
  <c r="BL266" i="13"/>
  <c r="AT173" i="13"/>
  <c r="AR18" i="28" s="1"/>
  <c r="AM175" i="13"/>
  <c r="AK20" i="28" s="1"/>
  <c r="BJ177" i="13"/>
  <c r="BH22" i="28" s="1"/>
  <c r="BL179" i="13"/>
  <c r="BJ24" i="28" s="1"/>
  <c r="BE181" i="13"/>
  <c r="BC26" i="28" s="1"/>
  <c r="AS184" i="13"/>
  <c r="AQ29" i="28" s="1"/>
  <c r="BG186" i="13"/>
  <c r="BE31" i="28" s="1"/>
  <c r="BK188" i="13"/>
  <c r="BI33" i="28" s="1"/>
  <c r="AM190" i="13"/>
  <c r="BO191" i="13"/>
  <c r="AV193" i="13"/>
  <c r="BF194" i="13"/>
  <c r="BA196" i="13"/>
  <c r="AO198" i="13"/>
  <c r="BN199" i="13"/>
  <c r="AH201" i="13"/>
  <c r="AZ202" i="13"/>
  <c r="BG203" i="13"/>
  <c r="BJ204" i="13"/>
  <c r="AM206" i="13"/>
  <c r="AN207" i="13"/>
  <c r="AP208" i="13"/>
  <c r="AJ209" i="13"/>
  <c r="AI210" i="13"/>
  <c r="BL210" i="13"/>
  <c r="BC211" i="13"/>
  <c r="BB212" i="13"/>
  <c r="AY213" i="13"/>
  <c r="AR214" i="13"/>
  <c r="AG215" i="13"/>
  <c r="BL215" i="13"/>
  <c r="BD216" i="13"/>
  <c r="AS217" i="13"/>
  <c r="AL218" i="13"/>
  <c r="BG218" i="13"/>
  <c r="AT219" i="13"/>
  <c r="BL219" i="13"/>
  <c r="AY220" i="13"/>
  <c r="AK221" i="13"/>
  <c r="BC221" i="13"/>
  <c r="AP222" i="13"/>
  <c r="BJ222" i="13"/>
  <c r="AQ223" i="13"/>
  <c r="BK223" i="13"/>
  <c r="AR224" i="13"/>
  <c r="BL224" i="13"/>
  <c r="AS225" i="13"/>
  <c r="BM225" i="13"/>
  <c r="AT226" i="13"/>
  <c r="BN226" i="13"/>
  <c r="AU227" i="13"/>
  <c r="BK227" i="13"/>
  <c r="AS228" i="13"/>
  <c r="BG228" i="13"/>
  <c r="AL229" i="13"/>
  <c r="AZ229" i="13"/>
  <c r="BM229" i="13"/>
  <c r="AQ230" i="13"/>
  <c r="BD230" i="13"/>
  <c r="AG231" i="13"/>
  <c r="AS231" i="13"/>
  <c r="BE231" i="13"/>
  <c r="AH232" i="13"/>
  <c r="AT232" i="13"/>
  <c r="BF232" i="13"/>
  <c r="AI233" i="13"/>
  <c r="AU233" i="13"/>
  <c r="BG233" i="13"/>
  <c r="AJ234" i="13"/>
  <c r="AV234" i="13"/>
  <c r="BH234" i="13"/>
  <c r="AK235" i="13"/>
  <c r="AW235" i="13"/>
  <c r="BI235" i="13"/>
  <c r="AL236" i="13"/>
  <c r="AX236" i="13"/>
  <c r="BJ236" i="13"/>
  <c r="AM237" i="13"/>
  <c r="AY237" i="13"/>
  <c r="BK237" i="13"/>
  <c r="AN238" i="13"/>
  <c r="AZ238" i="13"/>
  <c r="BL238" i="13"/>
  <c r="AO239" i="13"/>
  <c r="BA239" i="13"/>
  <c r="BB172" i="13"/>
  <c r="AZ17" i="28" s="1"/>
  <c r="AK176" i="13"/>
  <c r="AI21" i="28" s="1"/>
  <c r="BM179" i="13"/>
  <c r="BK24" i="28" s="1"/>
  <c r="AH184" i="13"/>
  <c r="AF29" i="28" s="1"/>
  <c r="AH187" i="13"/>
  <c r="AF32" i="28" s="1"/>
  <c r="BH190" i="13"/>
  <c r="AU193" i="13"/>
  <c r="AR196" i="13"/>
  <c r="AU198" i="13"/>
  <c r="AI201" i="13"/>
  <c r="AR203" i="13"/>
  <c r="BC205" i="13"/>
  <c r="AQ207" i="13"/>
  <c r="AI209" i="13"/>
  <c r="BA210" i="13"/>
  <c r="BN211" i="13"/>
  <c r="BA213" i="13"/>
  <c r="BN214" i="13"/>
  <c r="AM216" i="13"/>
  <c r="BB217" i="13"/>
  <c r="BF218" i="13"/>
  <c r="BH219" i="13"/>
  <c r="BB220" i="13"/>
  <c r="BH221" i="13"/>
  <c r="BD222" i="13"/>
  <c r="AY223" i="13"/>
  <c r="AT224" i="13"/>
  <c r="AR225" i="13"/>
  <c r="AQ226" i="13"/>
  <c r="AH227" i="13"/>
  <c r="BN227" i="13"/>
  <c r="BE228" i="13"/>
  <c r="AR229" i="13"/>
  <c r="AG230" i="13"/>
  <c r="BC230" i="13"/>
  <c r="AP231" i="13"/>
  <c r="BH231" i="13"/>
  <c r="AU232" i="13"/>
  <c r="AG233" i="13"/>
  <c r="AY233" i="13"/>
  <c r="AL234" i="13"/>
  <c r="BG234" i="13"/>
  <c r="AT235" i="13"/>
  <c r="BL235" i="13"/>
  <c r="AY236" i="13"/>
  <c r="AK237" i="13"/>
  <c r="BC237" i="13"/>
  <c r="AP238" i="13"/>
  <c r="BK238" i="13"/>
  <c r="AX239" i="13"/>
  <c r="BO239" i="13"/>
  <c r="AZ240" i="13"/>
  <c r="AG241" i="13"/>
  <c r="BA241" i="13"/>
  <c r="AH242" i="13"/>
  <c r="BB242" i="13"/>
  <c r="AI243" i="13"/>
  <c r="AZ243" i="13"/>
  <c r="AG244" i="13"/>
  <c r="AV244" i="13"/>
  <c r="BM244" i="13"/>
  <c r="AT245" i="13"/>
  <c r="BI245" i="13"/>
  <c r="AQ246" i="13"/>
  <c r="BG246" i="13"/>
  <c r="AM247" i="13"/>
  <c r="BD247" i="13"/>
  <c r="AK248" i="13"/>
  <c r="AZ248" i="13"/>
  <c r="AH249" i="13"/>
  <c r="AX249" i="13"/>
  <c r="BM249" i="13"/>
  <c r="AU250" i="13"/>
  <c r="BK250" i="13"/>
  <c r="AQ251" i="13"/>
  <c r="BH251" i="13"/>
  <c r="AO252" i="13"/>
  <c r="BD252" i="13"/>
  <c r="AL253" i="13"/>
  <c r="BB253" i="13"/>
  <c r="AH254" i="13"/>
  <c r="AY254" i="13"/>
  <c r="BO254" i="13"/>
  <c r="AU255" i="13"/>
  <c r="BL255" i="13"/>
  <c r="AS256" i="13"/>
  <c r="BH256" i="13"/>
  <c r="AP257" i="13"/>
  <c r="BF257" i="13"/>
  <c r="AL258" i="13"/>
  <c r="BC258" i="13"/>
  <c r="AJ259" i="13"/>
  <c r="AY259" i="13"/>
  <c r="AG260" i="13"/>
  <c r="AW260" i="13"/>
  <c r="BL260" i="13"/>
  <c r="AT261" i="13"/>
  <c r="BJ261" i="13"/>
  <c r="AP262" i="13"/>
  <c r="BG262" i="13"/>
  <c r="AN263" i="13"/>
  <c r="BC263" i="13"/>
  <c r="AK264" i="13"/>
  <c r="BA264" i="13"/>
  <c r="BN264" i="13"/>
  <c r="AR265" i="13"/>
  <c r="BE265" i="13"/>
  <c r="AI266" i="13"/>
  <c r="AV266" i="13"/>
  <c r="BI266" i="13"/>
  <c r="AM267" i="13"/>
  <c r="AY267" i="13"/>
  <c r="BK267" i="13"/>
  <c r="AN268" i="13"/>
  <c r="AZ268" i="13"/>
  <c r="BL268" i="13"/>
  <c r="AO269" i="13"/>
  <c r="BA269" i="13"/>
  <c r="BM269" i="13"/>
  <c r="AQ170" i="13"/>
  <c r="AO15" i="28" s="1"/>
  <c r="BC170" i="13"/>
  <c r="BA15" i="28" s="1"/>
  <c r="BO170" i="13"/>
  <c r="BM15" i="28" s="1"/>
  <c r="Y172" i="13"/>
  <c r="AA17" i="28" s="1"/>
  <c r="Y175" i="13"/>
  <c r="AA20" i="28" s="1"/>
  <c r="Y178" i="13"/>
  <c r="AA23" i="28" s="1"/>
  <c r="Y181" i="13"/>
  <c r="AA26" i="28" s="1"/>
  <c r="Y184" i="13"/>
  <c r="AA29" i="28" s="1"/>
  <c r="Y187" i="13"/>
  <c r="AA32" i="28" s="1"/>
  <c r="Y190" i="13"/>
  <c r="Y193" i="13"/>
  <c r="Y196" i="13"/>
  <c r="Y199" i="13"/>
  <c r="Y202" i="13"/>
  <c r="Y205" i="13"/>
  <c r="Y208" i="13"/>
  <c r="Y211" i="13"/>
  <c r="Y214" i="13"/>
  <c r="Y217" i="13"/>
  <c r="Y220" i="13"/>
  <c r="Y223" i="13"/>
  <c r="Y226" i="13"/>
  <c r="Y229" i="13"/>
  <c r="Y232" i="13"/>
  <c r="Y235" i="13"/>
  <c r="Y238" i="13"/>
  <c r="Y241" i="13"/>
  <c r="Y244" i="13"/>
  <c r="Y247" i="13"/>
  <c r="Y250" i="13"/>
  <c r="Y253" i="13"/>
  <c r="Y256" i="13"/>
  <c r="Y259" i="13"/>
  <c r="Y262" i="13"/>
  <c r="Y265" i="13"/>
  <c r="Y268" i="13"/>
  <c r="T171" i="13"/>
  <c r="T177" i="13"/>
  <c r="T183" i="13"/>
  <c r="T189" i="13"/>
  <c r="T195" i="13"/>
  <c r="T201" i="13"/>
  <c r="T207" i="13"/>
  <c r="T213" i="13"/>
  <c r="T219" i="13"/>
  <c r="T225" i="13"/>
  <c r="T231" i="13"/>
  <c r="T237" i="13"/>
  <c r="T243" i="13"/>
  <c r="T249" i="13"/>
  <c r="T255" i="13"/>
  <c r="BC172" i="13"/>
  <c r="BA17" i="28" s="1"/>
  <c r="AL176" i="13"/>
  <c r="AJ21" i="28" s="1"/>
  <c r="AW180" i="13"/>
  <c r="AU25" i="28" s="1"/>
  <c r="AQ184" i="13"/>
  <c r="AO29" i="28" s="1"/>
  <c r="AS188" i="13"/>
  <c r="AQ33" i="28" s="1"/>
  <c r="BI190" i="13"/>
  <c r="AX193" i="13"/>
  <c r="AS196" i="13"/>
  <c r="AV198" i="13"/>
  <c r="AY201" i="13"/>
  <c r="BF203" i="13"/>
  <c r="AI206" i="13"/>
  <c r="AS207" i="13"/>
  <c r="AK209" i="13"/>
  <c r="BB210" i="13"/>
  <c r="AK212" i="13"/>
  <c r="BB213" i="13"/>
  <c r="BO214" i="13"/>
  <c r="AT216" i="13"/>
  <c r="BC217" i="13"/>
  <c r="BI218" i="13"/>
  <c r="BJ219" i="13"/>
  <c r="BG220" i="13"/>
  <c r="BI221" i="13"/>
  <c r="BI222" i="13"/>
  <c r="BD223" i="13"/>
  <c r="AY224" i="13"/>
  <c r="AT225" i="13"/>
  <c r="AR226" i="13"/>
  <c r="AI227" i="13"/>
  <c r="BO227" i="13"/>
  <c r="BF228" i="13"/>
  <c r="AW229" i="13"/>
  <c r="AH230" i="13"/>
  <c r="BE230" i="13"/>
  <c r="AQ231" i="13"/>
  <c r="BI231" i="13"/>
  <c r="AV232" i="13"/>
  <c r="AH233" i="13"/>
  <c r="BD233" i="13"/>
  <c r="AM234" i="13"/>
  <c r="BI234" i="13"/>
  <c r="AU235" i="13"/>
  <c r="BM235" i="13"/>
  <c r="AZ236" i="13"/>
  <c r="AL237" i="13"/>
  <c r="BH237" i="13"/>
  <c r="AQ238" i="13"/>
  <c r="BM238" i="13"/>
  <c r="AY239" i="13"/>
  <c r="AG240" i="13"/>
  <c r="BA240" i="13"/>
  <c r="AH241" i="13"/>
  <c r="BB241" i="13"/>
  <c r="AI242" i="13"/>
  <c r="BC242" i="13"/>
  <c r="AJ243" i="13"/>
  <c r="BB243" i="13"/>
  <c r="AH244" i="13"/>
  <c r="AW244" i="13"/>
  <c r="BO244" i="13"/>
  <c r="AU245" i="13"/>
  <c r="BJ245" i="13"/>
  <c r="AS246" i="13"/>
  <c r="BH246" i="13"/>
  <c r="AN247" i="13"/>
  <c r="BF247" i="13"/>
  <c r="AL248" i="13"/>
  <c r="BA248" i="13"/>
  <c r="AJ249" i="13"/>
  <c r="AY249" i="13"/>
  <c r="BN249" i="13"/>
  <c r="AW250" i="13"/>
  <c r="BL250" i="13"/>
  <c r="AR251" i="13"/>
  <c r="BJ251" i="13"/>
  <c r="AP252" i="13"/>
  <c r="BE252" i="13"/>
  <c r="AN253" i="13"/>
  <c r="BC253" i="13"/>
  <c r="AI254" i="13"/>
  <c r="BA254" i="13"/>
  <c r="AG255" i="13"/>
  <c r="AV255" i="13"/>
  <c r="BN255" i="13"/>
  <c r="AT256" i="13"/>
  <c r="BI256" i="13"/>
  <c r="AR257" i="13"/>
  <c r="BG257" i="13"/>
  <c r="AM258" i="13"/>
  <c r="BE258" i="13"/>
  <c r="AK259" i="13"/>
  <c r="AZ259" i="13"/>
  <c r="AI260" i="13"/>
  <c r="AX260" i="13"/>
  <c r="BM260" i="13"/>
  <c r="AV261" i="13"/>
  <c r="BK261" i="13"/>
  <c r="AQ262" i="13"/>
  <c r="BI262" i="13"/>
  <c r="AO263" i="13"/>
  <c r="BD263" i="13"/>
  <c r="AM264" i="13"/>
  <c r="BB264" i="13"/>
  <c r="BO264" i="13"/>
  <c r="AS265" i="13"/>
  <c r="BF265" i="13"/>
  <c r="AJ266" i="13"/>
  <c r="AW266" i="13"/>
  <c r="BJ266" i="13"/>
  <c r="AN267" i="13"/>
  <c r="AZ267" i="13"/>
  <c r="BL267" i="13"/>
  <c r="AO268" i="13"/>
  <c r="BA268" i="13"/>
  <c r="BM268" i="13"/>
  <c r="AP269" i="13"/>
  <c r="BB269" i="13"/>
  <c r="BN269" i="13"/>
  <c r="AR170" i="13"/>
  <c r="AP15" i="28" s="1"/>
  <c r="BD170" i="13"/>
  <c r="BB15" i="28" s="1"/>
  <c r="AG170" i="13"/>
  <c r="AE15" i="28" s="1"/>
  <c r="Z172" i="13"/>
  <c r="AB17" i="28" s="1"/>
  <c r="Z175" i="13"/>
  <c r="AB20" i="28" s="1"/>
  <c r="Z178" i="13"/>
  <c r="AB23" i="28" s="1"/>
  <c r="Z181" i="13"/>
  <c r="AB26" i="28" s="1"/>
  <c r="Z184" i="13"/>
  <c r="AB29" i="28" s="1"/>
  <c r="Z187" i="13"/>
  <c r="AB32" i="28" s="1"/>
  <c r="Z190" i="13"/>
  <c r="Z193" i="13"/>
  <c r="Z196" i="13"/>
  <c r="Z199" i="13"/>
  <c r="Z202" i="13"/>
  <c r="Z205" i="13"/>
  <c r="Z208" i="13"/>
  <c r="Z211" i="13"/>
  <c r="Z214" i="13"/>
  <c r="Z217" i="13"/>
  <c r="Z220" i="13"/>
  <c r="Z223" i="13"/>
  <c r="Z226" i="13"/>
  <c r="Z229" i="13"/>
  <c r="Z232" i="13"/>
  <c r="Z235" i="13"/>
  <c r="Z238" i="13"/>
  <c r="Z241" i="13"/>
  <c r="Z244" i="13"/>
  <c r="Z247" i="13"/>
  <c r="Z250" i="13"/>
  <c r="Z253" i="13"/>
  <c r="Z256" i="13"/>
  <c r="Z259" i="13"/>
  <c r="Z262" i="13"/>
  <c r="Z265" i="13"/>
  <c r="Z268" i="13"/>
  <c r="U171" i="13"/>
  <c r="U177" i="13"/>
  <c r="U183" i="13"/>
  <c r="U189" i="13"/>
  <c r="U195" i="13"/>
  <c r="U201" i="13"/>
  <c r="U207" i="13"/>
  <c r="U213" i="13"/>
  <c r="U219" i="13"/>
  <c r="U225" i="13"/>
  <c r="U231" i="13"/>
  <c r="U237" i="13"/>
  <c r="U243" i="13"/>
  <c r="U249" i="13"/>
  <c r="U255" i="13"/>
  <c r="BE172" i="13"/>
  <c r="BC17" i="28" s="1"/>
  <c r="AN177" i="13"/>
  <c r="AL22" i="28" s="1"/>
  <c r="AX180" i="13"/>
  <c r="AV25" i="28" s="1"/>
  <c r="AT184" i="13"/>
  <c r="AR29" i="28" s="1"/>
  <c r="AT188" i="13"/>
  <c r="AR33" i="28" s="1"/>
  <c r="BJ190" i="13"/>
  <c r="BJ193" i="13"/>
  <c r="AY196" i="13"/>
  <c r="AV199" i="13"/>
  <c r="AZ201" i="13"/>
  <c r="BH203" i="13"/>
  <c r="AJ206" i="13"/>
  <c r="AT207" i="13"/>
  <c r="AT209" i="13"/>
  <c r="BK210" i="13"/>
  <c r="AX212" i="13"/>
  <c r="BC213" i="13"/>
  <c r="AH215" i="13"/>
  <c r="AU216" i="13"/>
  <c r="BE217" i="13"/>
  <c r="BJ218" i="13"/>
  <c r="BK219" i="13"/>
  <c r="BM220" i="13"/>
  <c r="BJ221" i="13"/>
  <c r="BK222" i="13"/>
  <c r="BE223" i="13"/>
  <c r="AZ224" i="13"/>
  <c r="AU225" i="13"/>
  <c r="AS226" i="13"/>
  <c r="AR227" i="13"/>
  <c r="AG228" i="13"/>
  <c r="BH228" i="13"/>
  <c r="AX229" i="13"/>
  <c r="AI230" i="13"/>
  <c r="BF230" i="13"/>
  <c r="AR231" i="13"/>
  <c r="BN231" i="13"/>
  <c r="AW232" i="13"/>
  <c r="AJ233" i="13"/>
  <c r="BE233" i="13"/>
  <c r="AN234" i="13"/>
  <c r="BJ234" i="13"/>
  <c r="AV235" i="13"/>
  <c r="AI236" i="13"/>
  <c r="BA236" i="13"/>
  <c r="AN237" i="13"/>
  <c r="BI237" i="13"/>
  <c r="AR238" i="13"/>
  <c r="BN238" i="13"/>
  <c r="AZ239" i="13"/>
  <c r="AH240" i="13"/>
  <c r="BB240" i="13"/>
  <c r="AI241" i="13"/>
  <c r="BC241" i="13"/>
  <c r="AJ242" i="13"/>
  <c r="BD242" i="13"/>
  <c r="AK243" i="13"/>
  <c r="BC243" i="13"/>
  <c r="AI244" i="13"/>
  <c r="AX244" i="13"/>
  <c r="AG245" i="13"/>
  <c r="AV245" i="13"/>
  <c r="BK245" i="13"/>
  <c r="AT246" i="13"/>
  <c r="BI246" i="13"/>
  <c r="AO247" i="13"/>
  <c r="BG247" i="13"/>
  <c r="AM248" i="13"/>
  <c r="BB248" i="13"/>
  <c r="AK249" i="13"/>
  <c r="AZ249" i="13"/>
  <c r="BO249" i="13"/>
  <c r="AX250" i="13"/>
  <c r="BM250" i="13"/>
  <c r="AS251" i="13"/>
  <c r="BK251" i="13"/>
  <c r="AQ252" i="13"/>
  <c r="BF252" i="13"/>
  <c r="AO253" i="13"/>
  <c r="BD253" i="13"/>
  <c r="AJ254" i="13"/>
  <c r="BB254" i="13"/>
  <c r="AH255" i="13"/>
  <c r="AW255" i="13"/>
  <c r="BO255" i="13"/>
  <c r="AU256" i="13"/>
  <c r="BJ256" i="13"/>
  <c r="AS257" i="13"/>
  <c r="BH257" i="13"/>
  <c r="AN258" i="13"/>
  <c r="BF258" i="13"/>
  <c r="AL259" i="13"/>
  <c r="BA259" i="13"/>
  <c r="AJ260" i="13"/>
  <c r="AY260" i="13"/>
  <c r="BN260" i="13"/>
  <c r="AW261" i="13"/>
  <c r="BL261" i="13"/>
  <c r="AR262" i="13"/>
  <c r="BJ262" i="13"/>
  <c r="AP263" i="13"/>
  <c r="BE263" i="13"/>
  <c r="AN264" i="13"/>
  <c r="BC264" i="13"/>
  <c r="AG265" i="13"/>
  <c r="AT265" i="13"/>
  <c r="BG265" i="13"/>
  <c r="AK266" i="13"/>
  <c r="AX266" i="13"/>
  <c r="BK266" i="13"/>
  <c r="AO267" i="13"/>
  <c r="BA267" i="13"/>
  <c r="BM267" i="13"/>
  <c r="AP268" i="13"/>
  <c r="BB268" i="13"/>
  <c r="BN268" i="13"/>
  <c r="AQ269" i="13"/>
  <c r="BC269" i="13"/>
  <c r="BO269" i="13"/>
  <c r="AS170" i="13"/>
  <c r="AQ15" i="28" s="1"/>
  <c r="BE170" i="13"/>
  <c r="BC15" i="28" s="1"/>
  <c r="AA172" i="13"/>
  <c r="AC17" i="28" s="1"/>
  <c r="AA175" i="13"/>
  <c r="AC20" i="28" s="1"/>
  <c r="AA178" i="13"/>
  <c r="AC23" i="28" s="1"/>
  <c r="AA181" i="13"/>
  <c r="AC26" i="28" s="1"/>
  <c r="AA184" i="13"/>
  <c r="AC29" i="28" s="1"/>
  <c r="AA187" i="13"/>
  <c r="AC32" i="28" s="1"/>
  <c r="AA190" i="13"/>
  <c r="AA193" i="13"/>
  <c r="AA196" i="13"/>
  <c r="AA199" i="13"/>
  <c r="AA202" i="13"/>
  <c r="AA205" i="13"/>
  <c r="AA208" i="13"/>
  <c r="AA211" i="13"/>
  <c r="AA214" i="13"/>
  <c r="AA217" i="13"/>
  <c r="AA220" i="13"/>
  <c r="AA223" i="13"/>
  <c r="AA226" i="13"/>
  <c r="AA229" i="13"/>
  <c r="AA232" i="13"/>
  <c r="AA235" i="13"/>
  <c r="AA238" i="13"/>
  <c r="AA241" i="13"/>
  <c r="AU173" i="13"/>
  <c r="AS18" i="28" s="1"/>
  <c r="AO177" i="13"/>
  <c r="AM22" i="28" s="1"/>
  <c r="AY180" i="13"/>
  <c r="AW25" i="28" s="1"/>
  <c r="AU184" i="13"/>
  <c r="AS29" i="28" s="1"/>
  <c r="AU188" i="13"/>
  <c r="AS33" i="28" s="1"/>
  <c r="BA191" i="13"/>
  <c r="BK193" i="13"/>
  <c r="BB196" i="13"/>
  <c r="AW199" i="13"/>
  <c r="BA201" i="13"/>
  <c r="AI204" i="13"/>
  <c r="AL206" i="13"/>
  <c r="BM207" i="13"/>
  <c r="AU209" i="13"/>
  <c r="BM210" i="13"/>
  <c r="AY212" i="13"/>
  <c r="BD213" i="13"/>
  <c r="AP215" i="13"/>
  <c r="BC216" i="13"/>
  <c r="AH218" i="13"/>
  <c r="BK218" i="13"/>
  <c r="BM219" i="13"/>
  <c r="BN220" i="13"/>
  <c r="BL221" i="13"/>
  <c r="BL222" i="13"/>
  <c r="BJ223" i="13"/>
  <c r="BE224" i="13"/>
  <c r="AZ225" i="13"/>
  <c r="AU226" i="13"/>
  <c r="AS227" i="13"/>
  <c r="AH228" i="13"/>
  <c r="BI228" i="13"/>
  <c r="AY229" i="13"/>
  <c r="AN230" i="13"/>
  <c r="BG230" i="13"/>
  <c r="AT231" i="13"/>
  <c r="BO231" i="13"/>
  <c r="AX232" i="13"/>
  <c r="AK233" i="13"/>
  <c r="BF233" i="13"/>
  <c r="AS234" i="13"/>
  <c r="BK234" i="13"/>
  <c r="AX235" i="13"/>
  <c r="AJ236" i="13"/>
  <c r="BB236" i="13"/>
  <c r="AO237" i="13"/>
  <c r="BJ237" i="13"/>
  <c r="AW238" i="13"/>
  <c r="BO238" i="13"/>
  <c r="BB239" i="13"/>
  <c r="AM240" i="13"/>
  <c r="BC240" i="13"/>
  <c r="AN241" i="13"/>
  <c r="BD241" i="13"/>
  <c r="AO242" i="13"/>
  <c r="BE242" i="13"/>
  <c r="AN243" i="13"/>
  <c r="BD243" i="13"/>
  <c r="AJ244" i="13"/>
  <c r="BA244" i="13"/>
  <c r="AH245" i="13"/>
  <c r="AW245" i="13"/>
  <c r="BN245" i="13"/>
  <c r="AU246" i="13"/>
  <c r="BJ246" i="13"/>
  <c r="AR247" i="13"/>
  <c r="BH247" i="13"/>
  <c r="AN248" i="13"/>
  <c r="BE248" i="13"/>
  <c r="AL249" i="13"/>
  <c r="BA249" i="13"/>
  <c r="AI250" i="13"/>
  <c r="AY250" i="13"/>
  <c r="BN250" i="13"/>
  <c r="AV251" i="13"/>
  <c r="BL251" i="13"/>
  <c r="AR252" i="13"/>
  <c r="BI252" i="13"/>
  <c r="AP253" i="13"/>
  <c r="BE253" i="13"/>
  <c r="AM254" i="13"/>
  <c r="BC254" i="13"/>
  <c r="AI255" i="13"/>
  <c r="AZ255" i="13"/>
  <c r="AG256" i="13"/>
  <c r="AV256" i="13"/>
  <c r="BM256" i="13"/>
  <c r="AT257" i="13"/>
  <c r="BI257" i="13"/>
  <c r="AQ258" i="13"/>
  <c r="BG258" i="13"/>
  <c r="AM259" i="13"/>
  <c r="BD259" i="13"/>
  <c r="AK260" i="13"/>
  <c r="AZ260" i="13"/>
  <c r="AH261" i="13"/>
  <c r="AX261" i="13"/>
  <c r="BM261" i="13"/>
  <c r="AU262" i="13"/>
  <c r="BK262" i="13"/>
  <c r="AQ263" i="13"/>
  <c r="BH263" i="13"/>
  <c r="AO264" i="13"/>
  <c r="BD264" i="13"/>
  <c r="AH265" i="13"/>
  <c r="AU265" i="13"/>
  <c r="BH265" i="13"/>
  <c r="AL266" i="13"/>
  <c r="AY266" i="13"/>
  <c r="BM266" i="13"/>
  <c r="AP267" i="13"/>
  <c r="BB267" i="13"/>
  <c r="BN267" i="13"/>
  <c r="AQ268" i="13"/>
  <c r="BC268" i="13"/>
  <c r="BO268" i="13"/>
  <c r="AR269" i="13"/>
  <c r="BD269" i="13"/>
  <c r="AH170" i="13"/>
  <c r="AF15" i="28" s="1"/>
  <c r="AT170" i="13"/>
  <c r="AR15" i="28" s="1"/>
  <c r="BF170" i="13"/>
  <c r="BD15" i="28" s="1"/>
  <c r="AB172" i="13"/>
  <c r="AD17" i="28" s="1"/>
  <c r="AB175" i="13"/>
  <c r="AD20" i="28" s="1"/>
  <c r="AB178" i="13"/>
  <c r="AD23" i="28" s="1"/>
  <c r="AB181" i="13"/>
  <c r="AD26" i="28" s="1"/>
  <c r="AB184" i="13"/>
  <c r="AD29" i="28" s="1"/>
  <c r="AB187" i="13"/>
  <c r="AD32" i="28" s="1"/>
  <c r="AB190" i="13"/>
  <c r="AB193" i="13"/>
  <c r="AB196" i="13"/>
  <c r="AB199" i="13"/>
  <c r="AB202" i="13"/>
  <c r="AB205" i="13"/>
  <c r="AB208" i="13"/>
  <c r="AB211" i="13"/>
  <c r="AB214" i="13"/>
  <c r="AB217" i="13"/>
  <c r="AB220" i="13"/>
  <c r="AB223" i="13"/>
  <c r="AB226" i="13"/>
  <c r="AB229" i="13"/>
  <c r="AB232" i="13"/>
  <c r="AB235" i="13"/>
  <c r="AB238" i="13"/>
  <c r="AB241" i="13"/>
  <c r="AB244" i="13"/>
  <c r="AB247" i="13"/>
  <c r="AB250" i="13"/>
  <c r="AB253" i="13"/>
  <c r="AB256" i="13"/>
  <c r="AB259" i="13"/>
  <c r="AB262" i="13"/>
  <c r="AB265" i="13"/>
  <c r="AB268" i="13"/>
  <c r="U172" i="13"/>
  <c r="U178" i="13"/>
  <c r="U184" i="13"/>
  <c r="U190" i="13"/>
  <c r="U196" i="13"/>
  <c r="U202" i="13"/>
  <c r="U208" i="13"/>
  <c r="U214" i="13"/>
  <c r="U220" i="13"/>
  <c r="U226" i="13"/>
  <c r="U232" i="13"/>
  <c r="U238" i="13"/>
  <c r="U244" i="13"/>
  <c r="U250" i="13"/>
  <c r="U256" i="13"/>
  <c r="U262" i="13"/>
  <c r="BD174" i="13"/>
  <c r="BB19" i="28" s="1"/>
  <c r="BM177" i="13"/>
  <c r="BK22" i="28" s="1"/>
  <c r="AZ182" i="13"/>
  <c r="AX27" i="28" s="1"/>
  <c r="BD186" i="13"/>
  <c r="BB31" i="28" s="1"/>
  <c r="AL189" i="13"/>
  <c r="AJ34" i="28" s="1"/>
  <c r="AI192" i="13"/>
  <c r="BE194" i="13"/>
  <c r="BC197" i="13"/>
  <c r="AL200" i="13"/>
  <c r="BA202" i="13"/>
  <c r="BH204" i="13"/>
  <c r="AZ206" i="13"/>
  <c r="AR208" i="13"/>
  <c r="BL209" i="13"/>
  <c r="AZ211" i="13"/>
  <c r="BM212" i="13"/>
  <c r="AS214" i="13"/>
  <c r="BF215" i="13"/>
  <c r="BK216" i="13"/>
  <c r="AN218" i="13"/>
  <c r="AO219" i="13"/>
  <c r="AU220" i="13"/>
  <c r="AO221" i="13"/>
  <c r="AQ222" i="13"/>
  <c r="AO223" i="13"/>
  <c r="BO223" i="13"/>
  <c r="BN224" i="13"/>
  <c r="BL225" i="13"/>
  <c r="BG226" i="13"/>
  <c r="AY227" i="13"/>
  <c r="AT228" i="13"/>
  <c r="AJ229" i="13"/>
  <c r="BE229" i="13"/>
  <c r="AT230" i="13"/>
  <c r="BO230" i="13"/>
  <c r="BB231" i="13"/>
  <c r="AK232" i="13"/>
  <c r="BG232" i="13"/>
  <c r="AS233" i="13"/>
  <c r="BK233" i="13"/>
  <c r="AX234" i="13"/>
  <c r="AJ235" i="13"/>
  <c r="BF235" i="13"/>
  <c r="AO236" i="13"/>
  <c r="BK236" i="13"/>
  <c r="AW237" i="13"/>
  <c r="BO237" i="13"/>
  <c r="BB238" i="13"/>
  <c r="AN239" i="13"/>
  <c r="BJ239" i="13"/>
  <c r="AQ240" i="13"/>
  <c r="BK240" i="13"/>
  <c r="AR241" i="13"/>
  <c r="BL241" i="13"/>
  <c r="AS242" i="13"/>
  <c r="BM242" i="13"/>
  <c r="AS243" i="13"/>
  <c r="BH243" i="13"/>
  <c r="AQ244" i="13"/>
  <c r="BF244" i="13"/>
  <c r="AL245" i="13"/>
  <c r="BD245" i="13"/>
  <c r="AJ246" i="13"/>
  <c r="AY246" i="13"/>
  <c r="AH247" i="13"/>
  <c r="AW247" i="13"/>
  <c r="BL247" i="13"/>
  <c r="AU248" i="13"/>
  <c r="BJ248" i="13"/>
  <c r="AP249" i="13"/>
  <c r="BH249" i="13"/>
  <c r="AN250" i="13"/>
  <c r="BC250" i="13"/>
  <c r="AL251" i="13"/>
  <c r="BA251" i="13"/>
  <c r="AG252" i="13"/>
  <c r="AY252" i="13"/>
  <c r="BN252" i="13"/>
  <c r="AT253" i="13"/>
  <c r="BL253" i="13"/>
  <c r="AR254" i="13"/>
  <c r="BG254" i="13"/>
  <c r="AP255" i="13"/>
  <c r="BE255" i="13"/>
  <c r="AK256" i="13"/>
  <c r="BC256" i="13"/>
  <c r="AI257" i="13"/>
  <c r="AX257" i="13"/>
  <c r="AG258" i="13"/>
  <c r="AV258" i="13"/>
  <c r="BK258" i="13"/>
  <c r="AT259" i="13"/>
  <c r="BI259" i="13"/>
  <c r="AO260" i="13"/>
  <c r="BG260" i="13"/>
  <c r="AM261" i="13"/>
  <c r="BB261" i="13"/>
  <c r="AK262" i="13"/>
  <c r="AZ262" i="13"/>
  <c r="BO262" i="13"/>
  <c r="AX263" i="13"/>
  <c r="BM263" i="13"/>
  <c r="AS264" i="13"/>
  <c r="BH264" i="13"/>
  <c r="AL265" i="13"/>
  <c r="AZ265" i="13"/>
  <c r="BM265" i="13"/>
  <c r="AQ266" i="13"/>
  <c r="BD266" i="13"/>
  <c r="AH267" i="13"/>
  <c r="AT267" i="13"/>
  <c r="BF267" i="13"/>
  <c r="AI268" i="13"/>
  <c r="AU268" i="13"/>
  <c r="BG268" i="13"/>
  <c r="AJ269" i="13"/>
  <c r="AV269" i="13"/>
  <c r="BH269" i="13"/>
  <c r="AL170" i="13"/>
  <c r="AJ15" i="28" s="1"/>
  <c r="AX170" i="13"/>
  <c r="AV15" i="28" s="1"/>
  <c r="BJ170" i="13"/>
  <c r="BH15" i="28" s="1"/>
  <c r="AB173" i="13"/>
  <c r="AD18" i="28" s="1"/>
  <c r="AB176" i="13"/>
  <c r="AD21" i="28" s="1"/>
  <c r="AB179" i="13"/>
  <c r="AD24" i="28" s="1"/>
  <c r="AB182" i="13"/>
  <c r="AD27" i="28" s="1"/>
  <c r="AB185" i="13"/>
  <c r="AD30" i="28" s="1"/>
  <c r="AB188" i="13"/>
  <c r="AD33" i="28" s="1"/>
  <c r="AB191" i="13"/>
  <c r="AB194" i="13"/>
  <c r="AB197" i="13"/>
  <c r="AB200" i="13"/>
  <c r="AB203" i="13"/>
  <c r="AB206" i="13"/>
  <c r="AB209" i="13"/>
  <c r="AB212" i="13"/>
  <c r="AB215" i="13"/>
  <c r="AB218" i="13"/>
  <c r="AB221" i="13"/>
  <c r="AB224" i="13"/>
  <c r="AB227" i="13"/>
  <c r="AB230" i="13"/>
  <c r="AB233" i="13"/>
  <c r="AB236" i="13"/>
  <c r="AB239" i="13"/>
  <c r="AB242" i="13"/>
  <c r="AB245" i="13"/>
  <c r="AB248" i="13"/>
  <c r="AB251" i="13"/>
  <c r="AB254" i="13"/>
  <c r="AB257" i="13"/>
  <c r="AB260" i="13"/>
  <c r="AB263" i="13"/>
  <c r="AB266" i="13"/>
  <c r="AB269" i="13"/>
  <c r="U174" i="13"/>
  <c r="U180" i="13"/>
  <c r="U186" i="13"/>
  <c r="U192" i="13"/>
  <c r="U198" i="13"/>
  <c r="U204" i="13"/>
  <c r="U210" i="13"/>
  <c r="U216" i="13"/>
  <c r="U222" i="13"/>
  <c r="U228" i="13"/>
  <c r="U234" i="13"/>
  <c r="U240" i="13"/>
  <c r="U246" i="13"/>
  <c r="U252" i="13"/>
  <c r="AV173" i="13"/>
  <c r="AT18" i="28" s="1"/>
  <c r="AL179" i="13"/>
  <c r="AJ24" i="28" s="1"/>
  <c r="BE186" i="13"/>
  <c r="BC31" i="28" s="1"/>
  <c r="BC191" i="13"/>
  <c r="BE195" i="13"/>
  <c r="BE200" i="13"/>
  <c r="BG204" i="13"/>
  <c r="BN207" i="13"/>
  <c r="AL210" i="13"/>
  <c r="BN212" i="13"/>
  <c r="AR215" i="13"/>
  <c r="AZ217" i="13"/>
  <c r="AV219" i="13"/>
  <c r="AN221" i="13"/>
  <c r="BM222" i="13"/>
  <c r="AQ224" i="13"/>
  <c r="BN225" i="13"/>
  <c r="AV227" i="13"/>
  <c r="BD228" i="13"/>
  <c r="BK229" i="13"/>
  <c r="BN230" i="13"/>
  <c r="AG232" i="13"/>
  <c r="BJ232" i="13"/>
  <c r="AG234" i="13"/>
  <c r="AH235" i="13"/>
  <c r="BK235" i="13"/>
  <c r="BM236" i="13"/>
  <c r="BN237" i="13"/>
  <c r="AG239" i="13"/>
  <c r="BM239" i="13"/>
  <c r="BL240" i="13"/>
  <c r="BF241" i="13"/>
  <c r="BA242" i="13"/>
  <c r="AU243" i="13"/>
  <c r="AO244" i="13"/>
  <c r="AI245" i="13"/>
  <c r="BG245" i="13"/>
  <c r="AZ246" i="13"/>
  <c r="AU247" i="13"/>
  <c r="AJ248" i="13"/>
  <c r="BL248" i="13"/>
  <c r="BF249" i="13"/>
  <c r="AZ250" i="13"/>
  <c r="AO251" i="13"/>
  <c r="AH252" i="13"/>
  <c r="BL252" i="13"/>
  <c r="BA253" i="13"/>
  <c r="AT254" i="13"/>
  <c r="AN255" i="13"/>
  <c r="AH256" i="13"/>
  <c r="BF256" i="13"/>
  <c r="AY257" i="13"/>
  <c r="AT258" i="13"/>
  <c r="AI259" i="13"/>
  <c r="BK259" i="13"/>
  <c r="BE260" i="13"/>
  <c r="AY261" i="13"/>
  <c r="AN262" i="13"/>
  <c r="AG263" i="13"/>
  <c r="BK263" i="13"/>
  <c r="AZ264" i="13"/>
  <c r="AO265" i="13"/>
  <c r="BL265" i="13"/>
  <c r="BA266" i="13"/>
  <c r="AK267" i="13"/>
  <c r="BG267" i="13"/>
  <c r="AS268" i="13"/>
  <c r="BK268" i="13"/>
  <c r="AX269" i="13"/>
  <c r="AK170" i="13"/>
  <c r="AI15" i="28" s="1"/>
  <c r="BG170" i="13"/>
  <c r="BE15" i="28" s="1"/>
  <c r="AA16" i="28"/>
  <c r="Z176" i="13"/>
  <c r="AB21" i="28" s="1"/>
  <c r="AB180" i="13"/>
  <c r="AD25" i="28" s="1"/>
  <c r="Z186" i="13"/>
  <c r="AB31" i="28" s="1"/>
  <c r="AA191" i="13"/>
  <c r="Y197" i="13"/>
  <c r="AA201" i="13"/>
  <c r="Y207" i="13"/>
  <c r="Z212" i="13"/>
  <c r="AB216" i="13"/>
  <c r="Z222" i="13"/>
  <c r="AA227" i="13"/>
  <c r="Y233" i="13"/>
  <c r="AA237" i="13"/>
  <c r="Y243" i="13"/>
  <c r="AA247" i="13"/>
  <c r="Y252" i="13"/>
  <c r="AA256" i="13"/>
  <c r="Y261" i="13"/>
  <c r="AA265" i="13"/>
  <c r="Z170" i="13"/>
  <c r="AB15" i="28" s="1"/>
  <c r="T178" i="13"/>
  <c r="T187" i="13"/>
  <c r="T196" i="13"/>
  <c r="T205" i="13"/>
  <c r="T214" i="13"/>
  <c r="T223" i="13"/>
  <c r="T232" i="13"/>
  <c r="T241" i="13"/>
  <c r="T250" i="13"/>
  <c r="U258" i="13"/>
  <c r="T265" i="13"/>
  <c r="S171" i="13"/>
  <c r="S183" i="13"/>
  <c r="S195" i="13"/>
  <c r="S207" i="13"/>
  <c r="S219" i="13"/>
  <c r="S231" i="13"/>
  <c r="S243" i="13"/>
  <c r="S255" i="13"/>
  <c r="S267" i="13"/>
  <c r="R179" i="13"/>
  <c r="R191" i="13"/>
  <c r="R203" i="13"/>
  <c r="R215" i="13"/>
  <c r="R227" i="13"/>
  <c r="R239" i="13"/>
  <c r="R251" i="13"/>
  <c r="R263" i="13"/>
  <c r="Q175" i="13"/>
  <c r="Q187" i="13"/>
  <c r="Q199" i="13"/>
  <c r="Q211" i="13"/>
  <c r="Q223" i="13"/>
  <c r="Q235" i="13"/>
  <c r="Q247" i="13"/>
  <c r="Q259" i="13"/>
  <c r="P171" i="13"/>
  <c r="P183" i="13"/>
  <c r="P195" i="13"/>
  <c r="P207" i="13"/>
  <c r="P219" i="13"/>
  <c r="P231" i="13"/>
  <c r="P243" i="13"/>
  <c r="P255" i="13"/>
  <c r="P267" i="13"/>
  <c r="O179" i="13"/>
  <c r="O191" i="13"/>
  <c r="O203" i="13"/>
  <c r="O215" i="13"/>
  <c r="O227" i="13"/>
  <c r="O239" i="13"/>
  <c r="O251" i="13"/>
  <c r="O263" i="13"/>
  <c r="N175" i="13"/>
  <c r="N187" i="13"/>
  <c r="N199" i="13"/>
  <c r="N211" i="13"/>
  <c r="N223" i="13"/>
  <c r="N235" i="13"/>
  <c r="N247" i="13"/>
  <c r="N259" i="13"/>
  <c r="M183" i="13"/>
  <c r="R28" i="28" s="1"/>
  <c r="M195" i="13"/>
  <c r="M207" i="13"/>
  <c r="M219" i="13"/>
  <c r="M231" i="13"/>
  <c r="M243" i="13"/>
  <c r="M255" i="13"/>
  <c r="M267" i="13"/>
  <c r="L179" i="13"/>
  <c r="Q24" i="28" s="1"/>
  <c r="L191" i="13"/>
  <c r="L203" i="13"/>
  <c r="L215" i="13"/>
  <c r="L227" i="13"/>
  <c r="L239" i="13"/>
  <c r="L251" i="13"/>
  <c r="L263" i="13"/>
  <c r="BF173" i="13"/>
  <c r="BD18" i="28" s="1"/>
  <c r="BJ179" i="13"/>
  <c r="BH24" i="28" s="1"/>
  <c r="BJ186" i="13"/>
  <c r="BH31" i="28" s="1"/>
  <c r="AH192" i="13"/>
  <c r="BC196" i="13"/>
  <c r="BO200" i="13"/>
  <c r="BI204" i="13"/>
  <c r="BO207" i="13"/>
  <c r="AU210" i="13"/>
  <c r="AO213" i="13"/>
  <c r="BE215" i="13"/>
  <c r="AI218" i="13"/>
  <c r="AX219" i="13"/>
  <c r="AP221" i="13"/>
  <c r="BN222" i="13"/>
  <c r="AS224" i="13"/>
  <c r="BO225" i="13"/>
  <c r="AW227" i="13"/>
  <c r="BJ228" i="13"/>
  <c r="BL229" i="13"/>
  <c r="AH231" i="13"/>
  <c r="AI232" i="13"/>
  <c r="BO232" i="13"/>
  <c r="AH234" i="13"/>
  <c r="AI235" i="13"/>
  <c r="AK236" i="13"/>
  <c r="BN236" i="13"/>
  <c r="AK238" i="13"/>
  <c r="AL239" i="13"/>
  <c r="BN239" i="13"/>
  <c r="BM240" i="13"/>
  <c r="BG241" i="13"/>
  <c r="BF242" i="13"/>
  <c r="AV243" i="13"/>
  <c r="AR244" i="13"/>
  <c r="AJ245" i="13"/>
  <c r="BH245" i="13"/>
  <c r="BC246" i="13"/>
  <c r="AV247" i="13"/>
  <c r="AO248" i="13"/>
  <c r="BM248" i="13"/>
  <c r="BI249" i="13"/>
  <c r="BA250" i="13"/>
  <c r="AP251" i="13"/>
  <c r="AK252" i="13"/>
  <c r="BM252" i="13"/>
  <c r="BF253" i="13"/>
  <c r="AU254" i="13"/>
  <c r="AQ255" i="13"/>
  <c r="AI256" i="13"/>
  <c r="BG256" i="13"/>
  <c r="BB257" i="13"/>
  <c r="AU258" i="13"/>
  <c r="AN259" i="13"/>
  <c r="BL259" i="13"/>
  <c r="BH260" i="13"/>
  <c r="AZ261" i="13"/>
  <c r="AO262" i="13"/>
  <c r="AJ263" i="13"/>
  <c r="BL263" i="13"/>
  <c r="BE264" i="13"/>
  <c r="AP265" i="13"/>
  <c r="BN265" i="13"/>
  <c r="BB266" i="13"/>
  <c r="AL267" i="13"/>
  <c r="BH267" i="13"/>
  <c r="AT268" i="13"/>
  <c r="AG269" i="13"/>
  <c r="AY269" i="13"/>
  <c r="AM170" i="13"/>
  <c r="AK15" i="28" s="1"/>
  <c r="BH170" i="13"/>
  <c r="BF15" i="28" s="1"/>
  <c r="AB16" i="28"/>
  <c r="AA176" i="13"/>
  <c r="AC21" i="28" s="1"/>
  <c r="Y182" i="13"/>
  <c r="AA27" i="28" s="1"/>
  <c r="AA186" i="13"/>
  <c r="AC31" i="28" s="1"/>
  <c r="Y192" i="13"/>
  <c r="Z197" i="13"/>
  <c r="AB201" i="13"/>
  <c r="Z207" i="13"/>
  <c r="AA212" i="13"/>
  <c r="Y218" i="13"/>
  <c r="AA222" i="13"/>
  <c r="Y228" i="13"/>
  <c r="Z233" i="13"/>
  <c r="AB237" i="13"/>
  <c r="BG173" i="13"/>
  <c r="BE18" i="28" s="1"/>
  <c r="BB181" i="13"/>
  <c r="AZ26" i="28" s="1"/>
  <c r="BO186" i="13"/>
  <c r="BM31" i="28" s="1"/>
  <c r="AK192" i="13"/>
  <c r="AJ197" i="13"/>
  <c r="AG201" i="13"/>
  <c r="AQ205" i="13"/>
  <c r="AQ208" i="13"/>
  <c r="AJ211" i="13"/>
  <c r="AV213" i="13"/>
  <c r="BG215" i="13"/>
  <c r="AK218" i="13"/>
  <c r="AY219" i="13"/>
  <c r="AZ221" i="13"/>
  <c r="AN223" i="13"/>
  <c r="BF224" i="13"/>
  <c r="AG226" i="13"/>
  <c r="BB227" i="13"/>
  <c r="BL228" i="13"/>
  <c r="BN229" i="13"/>
  <c r="AI231" i="13"/>
  <c r="AJ232" i="13"/>
  <c r="AL233" i="13"/>
  <c r="AI234" i="13"/>
  <c r="AL235" i="13"/>
  <c r="AM236" i="13"/>
  <c r="AJ237" i="13"/>
  <c r="AL238" i="13"/>
  <c r="AM239" i="13"/>
  <c r="AN240" i="13"/>
  <c r="BN240" i="13"/>
  <c r="BM241" i="13"/>
  <c r="BG242" i="13"/>
  <c r="AW243" i="13"/>
  <c r="AS244" i="13"/>
  <c r="AK245" i="13"/>
  <c r="AG246" i="13"/>
  <c r="BE246" i="13"/>
  <c r="AX247" i="13"/>
  <c r="AP248" i="13"/>
  <c r="BN248" i="13"/>
  <c r="BJ249" i="13"/>
  <c r="BB250" i="13"/>
  <c r="AX251" i="13"/>
  <c r="AM252" i="13"/>
  <c r="BO252" i="13"/>
  <c r="BG253" i="13"/>
  <c r="AV254" i="13"/>
  <c r="AR255" i="13"/>
  <c r="AJ256" i="13"/>
  <c r="BO256" i="13"/>
  <c r="BD257" i="13"/>
  <c r="AW258" i="13"/>
  <c r="AO259" i="13"/>
  <c r="BM259" i="13"/>
  <c r="BI260" i="13"/>
  <c r="BA261" i="13"/>
  <c r="AW262" i="13"/>
  <c r="AL263" i="13"/>
  <c r="BN263" i="13"/>
  <c r="BF264" i="13"/>
  <c r="AQ265" i="13"/>
  <c r="BO265" i="13"/>
  <c r="BC266" i="13"/>
  <c r="AQ267" i="13"/>
  <c r="AK175" i="13"/>
  <c r="AI20" i="28" s="1"/>
  <c r="BC181" i="13"/>
  <c r="BA26" i="28" s="1"/>
  <c r="AG187" i="13"/>
  <c r="AE32" i="28" s="1"/>
  <c r="BA192" i="13"/>
  <c r="AK197" i="13"/>
  <c r="AN202" i="13"/>
  <c r="AR205" i="13"/>
  <c r="AU208" i="13"/>
  <c r="AK211" i="13"/>
  <c r="AX213" i="13"/>
  <c r="BM215" i="13"/>
  <c r="AM218" i="13"/>
  <c r="AI220" i="13"/>
  <c r="BA221" i="13"/>
  <c r="AP223" i="13"/>
  <c r="BK224" i="13"/>
  <c r="AH226" i="13"/>
  <c r="BG227" i="13"/>
  <c r="AI229" i="13"/>
  <c r="AO230" i="13"/>
  <c r="AJ231" i="13"/>
  <c r="AL232" i="13"/>
  <c r="AM233" i="13"/>
  <c r="AK234" i="13"/>
  <c r="AM235" i="13"/>
  <c r="AN236" i="13"/>
  <c r="AP237" i="13"/>
  <c r="AM238" i="13"/>
  <c r="AP239" i="13"/>
  <c r="AO240" i="13"/>
  <c r="BO240" i="13"/>
  <c r="BN241" i="13"/>
  <c r="BH242" i="13"/>
  <c r="BE243" i="13"/>
  <c r="AT244" i="13"/>
  <c r="AM245" i="13"/>
  <c r="AH246" i="13"/>
  <c r="BF246" i="13"/>
  <c r="AY247" i="13"/>
  <c r="AS248" i="13"/>
  <c r="AM249" i="13"/>
  <c r="BK249" i="13"/>
  <c r="BD250" i="13"/>
  <c r="AY251" i="13"/>
  <c r="AN252" i="13"/>
  <c r="AG253" i="13"/>
  <c r="BJ253" i="13"/>
  <c r="BD254" i="13"/>
  <c r="AS255" i="13"/>
  <c r="AL256" i="13"/>
  <c r="AG257" i="13"/>
  <c r="BE257" i="13"/>
  <c r="AX258" i="13"/>
  <c r="AR259" i="13"/>
  <c r="AL260" i="13"/>
  <c r="BJ260" i="13"/>
  <c r="BC261" i="13"/>
  <c r="AX262" i="13"/>
  <c r="AM263" i="13"/>
  <c r="BO263" i="13"/>
  <c r="BG264" i="13"/>
  <c r="AV265" i="13"/>
  <c r="AG266" i="13"/>
  <c r="BE266" i="13"/>
  <c r="AR267" i="13"/>
  <c r="BJ267" i="13"/>
  <c r="AW268" i="13"/>
  <c r="AI269" i="13"/>
  <c r="BE269" i="13"/>
  <c r="AO170" i="13"/>
  <c r="AM15" i="28" s="1"/>
  <c r="BK170" i="13"/>
  <c r="BI15" i="28" s="1"/>
  <c r="AD16" i="28"/>
  <c r="Z177" i="13"/>
  <c r="AB22" i="28" s="1"/>
  <c r="AA182" i="13"/>
  <c r="AC27" i="28" s="1"/>
  <c r="Y188" i="13"/>
  <c r="AA33" i="28" s="1"/>
  <c r="AA192" i="13"/>
  <c r="Y198" i="13"/>
  <c r="Z203" i="13"/>
  <c r="AB207" i="13"/>
  <c r="Z213" i="13"/>
  <c r="AA218" i="13"/>
  <c r="Y224" i="13"/>
  <c r="AA228" i="13"/>
  <c r="Y234" i="13"/>
  <c r="Z239" i="13"/>
  <c r="AB243" i="13"/>
  <c r="AA248" i="13"/>
  <c r="AB252" i="13"/>
  <c r="AA257" i="13"/>
  <c r="AB261" i="13"/>
  <c r="AA266" i="13"/>
  <c r="Y170" i="13"/>
  <c r="AA15" i="28" s="1"/>
  <c r="T180" i="13"/>
  <c r="U188" i="13"/>
  <c r="T198" i="13"/>
  <c r="U206" i="13"/>
  <c r="T216" i="13"/>
  <c r="U224" i="13"/>
  <c r="T234" i="13"/>
  <c r="U242" i="13"/>
  <c r="T252" i="13"/>
  <c r="T260" i="13"/>
  <c r="U266" i="13"/>
  <c r="S174" i="13"/>
  <c r="S186" i="13"/>
  <c r="S198" i="13"/>
  <c r="S210" i="13"/>
  <c r="S222" i="13"/>
  <c r="S234" i="13"/>
  <c r="S246" i="13"/>
  <c r="S258" i="13"/>
  <c r="S170" i="13"/>
  <c r="R182" i="13"/>
  <c r="R194" i="13"/>
  <c r="R206" i="13"/>
  <c r="R218" i="13"/>
  <c r="R230" i="13"/>
  <c r="R242" i="13"/>
  <c r="R254" i="13"/>
  <c r="R266" i="13"/>
  <c r="Q178" i="13"/>
  <c r="Q190" i="13"/>
  <c r="Q202" i="13"/>
  <c r="Q214" i="13"/>
  <c r="Q226" i="13"/>
  <c r="Q238" i="13"/>
  <c r="Q250" i="13"/>
  <c r="Q262" i="13"/>
  <c r="P174" i="13"/>
  <c r="P186" i="13"/>
  <c r="P198" i="13"/>
  <c r="P210" i="13"/>
  <c r="P222" i="13"/>
  <c r="P234" i="13"/>
  <c r="P246" i="13"/>
  <c r="P258" i="13"/>
  <c r="P170" i="13"/>
  <c r="O182" i="13"/>
  <c r="O194" i="13"/>
  <c r="O206" i="13"/>
  <c r="O218" i="13"/>
  <c r="O230" i="13"/>
  <c r="O242" i="13"/>
  <c r="O254" i="13"/>
  <c r="O266" i="13"/>
  <c r="N178" i="13"/>
  <c r="N190" i="13"/>
  <c r="N202" i="13"/>
  <c r="N214" i="13"/>
  <c r="N226" i="13"/>
  <c r="N238" i="13"/>
  <c r="N250" i="13"/>
  <c r="N262" i="13"/>
  <c r="M174" i="13"/>
  <c r="R19" i="28" s="1"/>
  <c r="M186" i="13"/>
  <c r="R31" i="28" s="1"/>
  <c r="M198" i="13"/>
  <c r="M210" i="13"/>
  <c r="M222" i="13"/>
  <c r="M234" i="13"/>
  <c r="M246" i="13"/>
  <c r="M258" i="13"/>
  <c r="M170" i="13"/>
  <c r="R15" i="28" s="1"/>
  <c r="L182" i="13"/>
  <c r="Q27" i="28" s="1"/>
  <c r="L194" i="13"/>
  <c r="L206" i="13"/>
  <c r="L218" i="13"/>
  <c r="L230" i="13"/>
  <c r="L242" i="13"/>
  <c r="L254" i="13"/>
  <c r="L266" i="13"/>
  <c r="K178" i="13"/>
  <c r="P23" i="28" s="1"/>
  <c r="K190" i="13"/>
  <c r="K202" i="13"/>
  <c r="K214" i="13"/>
  <c r="K226" i="13"/>
  <c r="K238" i="13"/>
  <c r="K250" i="13"/>
  <c r="K262" i="13"/>
  <c r="I174" i="13"/>
  <c r="O19" i="28" s="1"/>
  <c r="I186" i="13"/>
  <c r="O31" i="28" s="1"/>
  <c r="I198" i="13"/>
  <c r="I210" i="13"/>
  <c r="I222" i="13"/>
  <c r="I234" i="13"/>
  <c r="I246" i="13"/>
  <c r="I258" i="13"/>
  <c r="F179" i="13"/>
  <c r="N24" i="28" s="1"/>
  <c r="F191" i="13"/>
  <c r="F203" i="13"/>
  <c r="F215" i="13"/>
  <c r="F227" i="13"/>
  <c r="F239" i="13"/>
  <c r="F251" i="13"/>
  <c r="F263" i="13"/>
  <c r="AT177" i="13"/>
  <c r="AR22" i="28" s="1"/>
  <c r="AI183" i="13"/>
  <c r="AG28" i="28" s="1"/>
  <c r="BH189" i="13"/>
  <c r="BF34" i="28" s="1"/>
  <c r="BC194" i="13"/>
  <c r="AT198" i="13"/>
  <c r="BC202" i="13"/>
  <c r="AY206" i="13"/>
  <c r="AV209" i="13"/>
  <c r="BL211" i="13"/>
  <c r="AT214" i="13"/>
  <c r="BG216" i="13"/>
  <c r="BE218" i="13"/>
  <c r="AW220" i="13"/>
  <c r="AO222" i="13"/>
  <c r="BL223" i="13"/>
  <c r="AP225" i="13"/>
  <c r="BH226" i="13"/>
  <c r="AQ228" i="13"/>
  <c r="AP229" i="13"/>
  <c r="AV230" i="13"/>
  <c r="AW231" i="13"/>
  <c r="BC232" i="13"/>
  <c r="AW233" i="13"/>
  <c r="AY234" i="13"/>
  <c r="AZ235" i="13"/>
  <c r="AW236" i="13"/>
  <c r="AZ237" i="13"/>
  <c r="BA238" i="13"/>
  <c r="BC239" i="13"/>
  <c r="AT240" i="13"/>
  <c r="AS241" i="13"/>
  <c r="AQ242" i="13"/>
  <c r="AH243" i="13"/>
  <c r="BL243" i="13"/>
  <c r="BE244" i="13"/>
  <c r="AX245" i="13"/>
  <c r="AM246" i="13"/>
  <c r="AI247" i="13"/>
  <c r="BJ247" i="13"/>
  <c r="AY248" i="13"/>
  <c r="AT249" i="13"/>
  <c r="AM250" i="13"/>
  <c r="BO250" i="13"/>
  <c r="BD251" i="13"/>
  <c r="AZ252" i="13"/>
  <c r="AR253" i="13"/>
  <c r="AG254" i="13"/>
  <c r="BK254" i="13"/>
  <c r="BD255" i="13"/>
  <c r="AW256" i="13"/>
  <c r="AL257" i="13"/>
  <c r="AH258" i="13"/>
  <c r="BI258" i="13"/>
  <c r="AX259" i="13"/>
  <c r="AS260" i="13"/>
  <c r="AL261" i="13"/>
  <c r="BN261" i="13"/>
  <c r="BC262" i="13"/>
  <c r="AY263" i="13"/>
  <c r="AQ264" i="13"/>
  <c r="BM264" i="13"/>
  <c r="BB265" i="13"/>
  <c r="AP266" i="13"/>
  <c r="BN266" i="13"/>
  <c r="AW267" i="13"/>
  <c r="AJ268" i="13"/>
  <c r="BE268" i="13"/>
  <c r="AN269" i="13"/>
  <c r="BJ269" i="13"/>
  <c r="AW170" i="13"/>
  <c r="AU15" i="28" s="1"/>
  <c r="Y174" i="13"/>
  <c r="AA19" i="28" s="1"/>
  <c r="Z179" i="13"/>
  <c r="AB24" i="28" s="1"/>
  <c r="AB183" i="13"/>
  <c r="AD28" i="28" s="1"/>
  <c r="Z189" i="13"/>
  <c r="AB34" i="28" s="1"/>
  <c r="AA194" i="13"/>
  <c r="Y200" i="13"/>
  <c r="AA204" i="13"/>
  <c r="Y210" i="13"/>
  <c r="Z215" i="13"/>
  <c r="AB219" i="13"/>
  <c r="Z225" i="13"/>
  <c r="AA230" i="13"/>
  <c r="Y236" i="13"/>
  <c r="AA240" i="13"/>
  <c r="AA245" i="13"/>
  <c r="AB249" i="13"/>
  <c r="AA254" i="13"/>
  <c r="AB258" i="13"/>
  <c r="AA263" i="13"/>
  <c r="AB267" i="13"/>
  <c r="T174" i="13"/>
  <c r="U182" i="13"/>
  <c r="T192" i="13"/>
  <c r="U200" i="13"/>
  <c r="T210" i="13"/>
  <c r="U218" i="13"/>
  <c r="T228" i="13"/>
  <c r="U236" i="13"/>
  <c r="T246" i="13"/>
  <c r="U254" i="13"/>
  <c r="T262" i="13"/>
  <c r="U268" i="13"/>
  <c r="S178" i="13"/>
  <c r="S190" i="13"/>
  <c r="S202" i="13"/>
  <c r="S214" i="13"/>
  <c r="S226" i="13"/>
  <c r="S238" i="13"/>
  <c r="S250" i="13"/>
  <c r="S262" i="13"/>
  <c r="R174" i="13"/>
  <c r="AL175" i="13"/>
  <c r="AJ20" i="28" s="1"/>
  <c r="AK185" i="13"/>
  <c r="AI30" i="28" s="1"/>
  <c r="BD194" i="13"/>
  <c r="AP202" i="13"/>
  <c r="AP207" i="13"/>
  <c r="BA212" i="13"/>
  <c r="BE216" i="13"/>
  <c r="AJ220" i="13"/>
  <c r="AX222" i="13"/>
  <c r="AQ225" i="13"/>
  <c r="BI227" i="13"/>
  <c r="BJ229" i="13"/>
  <c r="BD231" i="13"/>
  <c r="AV233" i="13"/>
  <c r="AN235" i="13"/>
  <c r="BI236" i="13"/>
  <c r="BC238" i="13"/>
  <c r="AR240" i="13"/>
  <c r="BE241" i="13"/>
  <c r="AQ243" i="13"/>
  <c r="BD244" i="13"/>
  <c r="AI246" i="13"/>
  <c r="AL247" i="13"/>
  <c r="BG248" i="13"/>
  <c r="AK250" i="13"/>
  <c r="AN251" i="13"/>
  <c r="BB252" i="13"/>
  <c r="BO253" i="13"/>
  <c r="AT255" i="13"/>
  <c r="BD256" i="13"/>
  <c r="AI258" i="13"/>
  <c r="AV259" i="13"/>
  <c r="BB260" i="13"/>
  <c r="AI262" i="13"/>
  <c r="AV263" i="13"/>
  <c r="BI264" i="13"/>
  <c r="BI265" i="13"/>
  <c r="BO266" i="13"/>
  <c r="BO267" i="13"/>
  <c r="BH268" i="13"/>
  <c r="BF269" i="13"/>
  <c r="AZ170" i="13"/>
  <c r="AX15" i="28" s="1"/>
  <c r="AC16" i="28"/>
  <c r="AA179" i="13"/>
  <c r="AC24" i="28" s="1"/>
  <c r="AB186" i="13"/>
  <c r="AD31" i="28" s="1"/>
  <c r="Y195" i="13"/>
  <c r="Y203" i="13"/>
  <c r="Z210" i="13"/>
  <c r="Z218" i="13"/>
  <c r="AA225" i="13"/>
  <c r="AA233" i="13"/>
  <c r="AB240" i="13"/>
  <c r="AB246" i="13"/>
  <c r="AA253" i="13"/>
  <c r="AA259" i="13"/>
  <c r="AB264" i="13"/>
  <c r="T172" i="13"/>
  <c r="T184" i="13"/>
  <c r="U194" i="13"/>
  <c r="T208" i="13"/>
  <c r="T220" i="13"/>
  <c r="U230" i="13"/>
  <c r="T244" i="13"/>
  <c r="T256" i="13"/>
  <c r="U264" i="13"/>
  <c r="S175" i="13"/>
  <c r="S191" i="13"/>
  <c r="S206" i="13"/>
  <c r="S223" i="13"/>
  <c r="S239" i="13"/>
  <c r="S254" i="13"/>
  <c r="R171" i="13"/>
  <c r="R186" i="13"/>
  <c r="R200" i="13"/>
  <c r="R214" i="13"/>
  <c r="R229" i="13"/>
  <c r="R244" i="13"/>
  <c r="R258" i="13"/>
  <c r="Q172" i="13"/>
  <c r="Q186" i="13"/>
  <c r="Q201" i="13"/>
  <c r="Q216" i="13"/>
  <c r="Q230" i="13"/>
  <c r="Q244" i="13"/>
  <c r="Q258" i="13"/>
  <c r="P173" i="13"/>
  <c r="P188" i="13"/>
  <c r="P202" i="13"/>
  <c r="P216" i="13"/>
  <c r="P230" i="13"/>
  <c r="P245" i="13"/>
  <c r="P260" i="13"/>
  <c r="O174" i="13"/>
  <c r="O188" i="13"/>
  <c r="O202" i="13"/>
  <c r="O217" i="13"/>
  <c r="O232" i="13"/>
  <c r="O246" i="13"/>
  <c r="O260" i="13"/>
  <c r="N174" i="13"/>
  <c r="N189" i="13"/>
  <c r="N204" i="13"/>
  <c r="N218" i="13"/>
  <c r="N232" i="13"/>
  <c r="N246" i="13"/>
  <c r="N261" i="13"/>
  <c r="M176" i="13"/>
  <c r="R21" i="28" s="1"/>
  <c r="M190" i="13"/>
  <c r="M204" i="13"/>
  <c r="M218" i="13"/>
  <c r="M233" i="13"/>
  <c r="M248" i="13"/>
  <c r="M262" i="13"/>
  <c r="L176" i="13"/>
  <c r="Q21" i="28" s="1"/>
  <c r="L190" i="13"/>
  <c r="L205" i="13"/>
  <c r="L220" i="13"/>
  <c r="L234" i="13"/>
  <c r="L248" i="13"/>
  <c r="L262" i="13"/>
  <c r="K176" i="13"/>
  <c r="P21" i="28" s="1"/>
  <c r="K189" i="13"/>
  <c r="P34" i="28" s="1"/>
  <c r="K203" i="13"/>
  <c r="K216" i="13"/>
  <c r="K229" i="13"/>
  <c r="K242" i="13"/>
  <c r="K255" i="13"/>
  <c r="K268" i="13"/>
  <c r="I181" i="13"/>
  <c r="O26" i="28" s="1"/>
  <c r="I194" i="13"/>
  <c r="I207" i="13"/>
  <c r="I220" i="13"/>
  <c r="I233" i="13"/>
  <c r="I247" i="13"/>
  <c r="I260" i="13"/>
  <c r="F183" i="13"/>
  <c r="N28" i="28" s="1"/>
  <c r="F196" i="13"/>
  <c r="F209" i="13"/>
  <c r="F222" i="13"/>
  <c r="F235" i="13"/>
  <c r="F248" i="13"/>
  <c r="F261" i="13"/>
  <c r="AR175" i="13"/>
  <c r="AP20" i="28" s="1"/>
  <c r="BI185" i="13"/>
  <c r="BG30" i="28" s="1"/>
  <c r="AQ195" i="13"/>
  <c r="BB202" i="13"/>
  <c r="AV208" i="13"/>
  <c r="BC212" i="13"/>
  <c r="BH216" i="13"/>
  <c r="AK220" i="13"/>
  <c r="BC222" i="13"/>
  <c r="BA225" i="13"/>
  <c r="AN228" i="13"/>
  <c r="AP230" i="13"/>
  <c r="BF231" i="13"/>
  <c r="AX233" i="13"/>
  <c r="AO235" i="13"/>
  <c r="BL236" i="13"/>
  <c r="BD238" i="13"/>
  <c r="AS240" i="13"/>
  <c r="BO241" i="13"/>
  <c r="AR243" i="13"/>
  <c r="BG244" i="13"/>
  <c r="AK246" i="13"/>
  <c r="AT247" i="13"/>
  <c r="BH248" i="13"/>
  <c r="AL250" i="13"/>
  <c r="AZ251" i="13"/>
  <c r="BC252" i="13"/>
  <c r="AO254" i="13"/>
  <c r="BB255" i="13"/>
  <c r="BE256" i="13"/>
  <c r="AJ258" i="13"/>
  <c r="AW259" i="13"/>
  <c r="BK260" i="13"/>
  <c r="AL262" i="13"/>
  <c r="AZ263" i="13"/>
  <c r="BK264" i="13"/>
  <c r="BJ265" i="13"/>
  <c r="AG267" i="13"/>
  <c r="AG268" i="13"/>
  <c r="BI268" i="13"/>
  <c r="BG269" i="13"/>
  <c r="BA170" i="13"/>
  <c r="AY15" i="28" s="1"/>
  <c r="Y173" i="13"/>
  <c r="AA18" i="28" s="1"/>
  <c r="Y180" i="13"/>
  <c r="AA25" i="28" s="1"/>
  <c r="Z188" i="13"/>
  <c r="AB33" i="28" s="1"/>
  <c r="Z195" i="13"/>
  <c r="AA203" i="13"/>
  <c r="AA210" i="13"/>
  <c r="Y219" i="13"/>
  <c r="AB225" i="13"/>
  <c r="Z234" i="13"/>
  <c r="Y242" i="13"/>
  <c r="Y248" i="13"/>
  <c r="Y254" i="13"/>
  <c r="Y260" i="13"/>
  <c r="Y266" i="13"/>
  <c r="T173" i="13"/>
  <c r="T185" i="13"/>
  <c r="T197" i="13"/>
  <c r="T209" i="13"/>
  <c r="T221" i="13"/>
  <c r="T233" i="13"/>
  <c r="T245" i="13"/>
  <c r="T257" i="13"/>
  <c r="U265" i="13"/>
  <c r="S176" i="13"/>
  <c r="S192" i="13"/>
  <c r="S208" i="13"/>
  <c r="S224" i="13"/>
  <c r="S240" i="13"/>
  <c r="S256" i="13"/>
  <c r="R172" i="13"/>
  <c r="R187" i="13"/>
  <c r="R201" i="13"/>
  <c r="R216" i="13"/>
  <c r="R231" i="13"/>
  <c r="R245" i="13"/>
  <c r="R259" i="13"/>
  <c r="Q173" i="13"/>
  <c r="Q188" i="13"/>
  <c r="Q203" i="13"/>
  <c r="Q217" i="13"/>
  <c r="Q231" i="13"/>
  <c r="Q245" i="13"/>
  <c r="Q260" i="13"/>
  <c r="P175" i="13"/>
  <c r="P189" i="13"/>
  <c r="P203" i="13"/>
  <c r="P217" i="13"/>
  <c r="P232" i="13"/>
  <c r="P247" i="13"/>
  <c r="P261" i="13"/>
  <c r="O175" i="13"/>
  <c r="O189" i="13"/>
  <c r="O204" i="13"/>
  <c r="O219" i="13"/>
  <c r="O233" i="13"/>
  <c r="O247" i="13"/>
  <c r="O261" i="13"/>
  <c r="N176" i="13"/>
  <c r="N191" i="13"/>
  <c r="N205" i="13"/>
  <c r="N219" i="13"/>
  <c r="N233" i="13"/>
  <c r="N248" i="13"/>
  <c r="N263" i="13"/>
  <c r="M177" i="13"/>
  <c r="R22" i="28" s="1"/>
  <c r="M191" i="13"/>
  <c r="M205" i="13"/>
  <c r="M220" i="13"/>
  <c r="M235" i="13"/>
  <c r="M249" i="13"/>
  <c r="M263" i="13"/>
  <c r="L177" i="13"/>
  <c r="Q22" i="28" s="1"/>
  <c r="L192" i="13"/>
  <c r="L207" i="13"/>
  <c r="L221" i="13"/>
  <c r="L235" i="13"/>
  <c r="L249" i="13"/>
  <c r="L264" i="13"/>
  <c r="K177" i="13"/>
  <c r="P22" i="28" s="1"/>
  <c r="K191" i="13"/>
  <c r="K204" i="13"/>
  <c r="K217" i="13"/>
  <c r="K230" i="13"/>
  <c r="K243" i="13"/>
  <c r="K256" i="13"/>
  <c r="K269" i="13"/>
  <c r="I182" i="13"/>
  <c r="O27" i="28" s="1"/>
  <c r="I195" i="13"/>
  <c r="I208" i="13"/>
  <c r="I221" i="13"/>
  <c r="I235" i="13"/>
  <c r="I248" i="13"/>
  <c r="I261" i="13"/>
  <c r="F184" i="13"/>
  <c r="N29" i="28" s="1"/>
  <c r="F197" i="13"/>
  <c r="F210" i="13"/>
  <c r="F223" i="13"/>
  <c r="F236" i="13"/>
  <c r="F249" i="13"/>
  <c r="F262" i="13"/>
  <c r="AI176" i="13"/>
  <c r="AG21" i="28" s="1"/>
  <c r="BL188" i="13"/>
  <c r="BJ33" i="28" s="1"/>
  <c r="AR195" i="13"/>
  <c r="AH203" i="13"/>
  <c r="BJ208" i="13"/>
  <c r="BD212" i="13"/>
  <c r="AP217" i="13"/>
  <c r="AV220" i="13"/>
  <c r="AR223" i="13"/>
  <c r="BF225" i="13"/>
  <c r="AR228" i="13"/>
  <c r="AS230" i="13"/>
  <c r="BG231" i="13"/>
  <c r="BH233" i="13"/>
  <c r="AY235" i="13"/>
  <c r="AQ237" i="13"/>
  <c r="BI238" i="13"/>
  <c r="AY240" i="13"/>
  <c r="AG242" i="13"/>
  <c r="AT243" i="13"/>
  <c r="BH244" i="13"/>
  <c r="AL246" i="13"/>
  <c r="AZ247" i="13"/>
  <c r="BI248" i="13"/>
  <c r="AO250" i="13"/>
  <c r="BB251" i="13"/>
  <c r="BK252" i="13"/>
  <c r="AP254" i="13"/>
  <c r="BC255" i="13"/>
  <c r="AH257" i="13"/>
  <c r="AK258" i="13"/>
  <c r="BF259" i="13"/>
  <c r="AJ261" i="13"/>
  <c r="AM262" i="13"/>
  <c r="BA263" i="13"/>
  <c r="BL264" i="13"/>
  <c r="AH266" i="13"/>
  <c r="AI267" i="13"/>
  <c r="AH268" i="13"/>
  <c r="BJ268" i="13"/>
  <c r="BI269" i="13"/>
  <c r="BB170" i="13"/>
  <c r="AZ15" i="28" s="1"/>
  <c r="Z173" i="13"/>
  <c r="AB18" i="28" s="1"/>
  <c r="Z180" i="13"/>
  <c r="AB25" i="28" s="1"/>
  <c r="AA188" i="13"/>
  <c r="AC33" i="28" s="1"/>
  <c r="AA195" i="13"/>
  <c r="Y204" i="13"/>
  <c r="AB210" i="13"/>
  <c r="Z219" i="13"/>
  <c r="Y227" i="13"/>
  <c r="AA234" i="13"/>
  <c r="Z242" i="13"/>
  <c r="Z248" i="13"/>
  <c r="Z254" i="13"/>
  <c r="Z260" i="13"/>
  <c r="Z266" i="13"/>
  <c r="U173" i="13"/>
  <c r="U185" i="13"/>
  <c r="U197" i="13"/>
  <c r="U209" i="13"/>
  <c r="U221" i="13"/>
  <c r="U233" i="13"/>
  <c r="U245" i="13"/>
  <c r="U257" i="13"/>
  <c r="T266" i="13"/>
  <c r="S177" i="13"/>
  <c r="S193" i="13"/>
  <c r="S209" i="13"/>
  <c r="S225" i="13"/>
  <c r="S241" i="13"/>
  <c r="S257" i="13"/>
  <c r="R173" i="13"/>
  <c r="R188" i="13"/>
  <c r="R202" i="13"/>
  <c r="R217" i="13"/>
  <c r="R232" i="13"/>
  <c r="R246" i="13"/>
  <c r="R260" i="13"/>
  <c r="Q174" i="13"/>
  <c r="Q189" i="13"/>
  <c r="Q204" i="13"/>
  <c r="Q218" i="13"/>
  <c r="Q232" i="13"/>
  <c r="Q246" i="13"/>
  <c r="Q261" i="13"/>
  <c r="P176" i="13"/>
  <c r="P190" i="13"/>
  <c r="P204" i="13"/>
  <c r="P218" i="13"/>
  <c r="P233" i="13"/>
  <c r="P248" i="13"/>
  <c r="P262" i="13"/>
  <c r="O176" i="13"/>
  <c r="O190" i="13"/>
  <c r="O205" i="13"/>
  <c r="O220" i="13"/>
  <c r="O234" i="13"/>
  <c r="O248" i="13"/>
  <c r="O262" i="13"/>
  <c r="N177" i="13"/>
  <c r="N192" i="13"/>
  <c r="N206" i="13"/>
  <c r="N220" i="13"/>
  <c r="N234" i="13"/>
  <c r="N249" i="13"/>
  <c r="N264" i="13"/>
  <c r="M178" i="13"/>
  <c r="R23" i="28" s="1"/>
  <c r="M192" i="13"/>
  <c r="M206" i="13"/>
  <c r="M221" i="13"/>
  <c r="M236" i="13"/>
  <c r="M250" i="13"/>
  <c r="M264" i="13"/>
  <c r="L178" i="13"/>
  <c r="Q23" i="28" s="1"/>
  <c r="L193" i="13"/>
  <c r="L208" i="13"/>
  <c r="L222" i="13"/>
  <c r="L236" i="13"/>
  <c r="L250" i="13"/>
  <c r="L265" i="13"/>
  <c r="K179" i="13"/>
  <c r="P24" i="28" s="1"/>
  <c r="K192" i="13"/>
  <c r="K205" i="13"/>
  <c r="K218" i="13"/>
  <c r="K231" i="13"/>
  <c r="K244" i="13"/>
  <c r="K257" i="13"/>
  <c r="K170" i="13"/>
  <c r="P15" i="28" s="1"/>
  <c r="I183" i="13"/>
  <c r="O28" i="28" s="1"/>
  <c r="I196" i="13"/>
  <c r="I209" i="13"/>
  <c r="I223" i="13"/>
  <c r="I236" i="13"/>
  <c r="I249" i="13"/>
  <c r="I262" i="13"/>
  <c r="F172" i="13"/>
  <c r="N17" i="28" s="1"/>
  <c r="F185" i="13"/>
  <c r="N30" i="28" s="1"/>
  <c r="F198" i="13"/>
  <c r="F211" i="13"/>
  <c r="F224" i="13"/>
  <c r="F237" i="13"/>
  <c r="F250" i="13"/>
  <c r="F264" i="13"/>
  <c r="C23" i="10"/>
  <c r="BK177" i="13"/>
  <c r="BI22" i="28" s="1"/>
  <c r="BN188" i="13"/>
  <c r="BL33" i="28" s="1"/>
  <c r="AS195" i="13"/>
  <c r="AQ203" i="13"/>
  <c r="AG209" i="13"/>
  <c r="AH214" i="13"/>
  <c r="AQ217" i="13"/>
  <c r="AZ220" i="13"/>
  <c r="AS223" i="13"/>
  <c r="BG225" i="13"/>
  <c r="AU228" i="13"/>
  <c r="AU230" i="13"/>
  <c r="AQ232" i="13"/>
  <c r="BI233" i="13"/>
  <c r="BA235" i="13"/>
  <c r="AV237" i="13"/>
  <c r="BJ238" i="13"/>
  <c r="BD240" i="13"/>
  <c r="AP242" i="13"/>
  <c r="BF243" i="13"/>
  <c r="BI244" i="13"/>
  <c r="AN246" i="13"/>
  <c r="BA247" i="13"/>
  <c r="BK248" i="13"/>
  <c r="AP250" i="13"/>
  <c r="BC251" i="13"/>
  <c r="AH253" i="13"/>
  <c r="AQ254" i="13"/>
  <c r="BF255" i="13"/>
  <c r="AJ257" i="13"/>
  <c r="AS258" i="13"/>
  <c r="BG259" i="13"/>
  <c r="AK261" i="13"/>
  <c r="AY262" i="13"/>
  <c r="BB263" i="13"/>
  <c r="AI265" i="13"/>
  <c r="AM266" i="13"/>
  <c r="AJ267" i="13"/>
  <c r="AK268" i="13"/>
  <c r="AH269" i="13"/>
  <c r="BK269" i="13"/>
  <c r="BI170" i="13"/>
  <c r="BG15" i="28" s="1"/>
  <c r="AA173" i="13"/>
  <c r="AC18" i="28" s="1"/>
  <c r="AA180" i="13"/>
  <c r="AC25" i="28" s="1"/>
  <c r="Y189" i="13"/>
  <c r="AA34" i="28" s="1"/>
  <c r="AB195" i="13"/>
  <c r="Z204" i="13"/>
  <c r="Y212" i="13"/>
  <c r="AA219" i="13"/>
  <c r="Z227" i="13"/>
  <c r="AB234" i="13"/>
  <c r="AA242" i="13"/>
  <c r="Y249" i="13"/>
  <c r="Y255" i="13"/>
  <c r="AA260" i="13"/>
  <c r="Y267" i="13"/>
  <c r="T175" i="13"/>
  <c r="T186" i="13"/>
  <c r="T199" i="13"/>
  <c r="T211" i="13"/>
  <c r="T222" i="13"/>
  <c r="T235" i="13"/>
  <c r="T247" i="13"/>
  <c r="T258" i="13"/>
  <c r="T267" i="13"/>
  <c r="S179" i="13"/>
  <c r="S194" i="13"/>
  <c r="S211" i="13"/>
  <c r="S227" i="13"/>
  <c r="S242" i="13"/>
  <c r="S259" i="13"/>
  <c r="R175" i="13"/>
  <c r="R189" i="13"/>
  <c r="R204" i="13"/>
  <c r="R219" i="13"/>
  <c r="R233" i="13"/>
  <c r="R247" i="13"/>
  <c r="R261" i="13"/>
  <c r="Q176" i="13"/>
  <c r="Q191" i="13"/>
  <c r="Q205" i="13"/>
  <c r="Q219" i="13"/>
  <c r="Q233" i="13"/>
  <c r="Q248" i="13"/>
  <c r="Q263" i="13"/>
  <c r="P177" i="13"/>
  <c r="P191" i="13"/>
  <c r="P205" i="13"/>
  <c r="P220" i="13"/>
  <c r="P235" i="13"/>
  <c r="P249" i="13"/>
  <c r="P263" i="13"/>
  <c r="O177" i="13"/>
  <c r="O192" i="13"/>
  <c r="O207" i="13"/>
  <c r="O221" i="13"/>
  <c r="O235" i="13"/>
  <c r="O249" i="13"/>
  <c r="O264" i="13"/>
  <c r="N179" i="13"/>
  <c r="N193" i="13"/>
  <c r="N207" i="13"/>
  <c r="N221" i="13"/>
  <c r="N236" i="13"/>
  <c r="N251" i="13"/>
  <c r="N265" i="13"/>
  <c r="M179" i="13"/>
  <c r="R24" i="28" s="1"/>
  <c r="M193" i="13"/>
  <c r="M208" i="13"/>
  <c r="M223" i="13"/>
  <c r="M237" i="13"/>
  <c r="M251" i="13"/>
  <c r="M265" i="13"/>
  <c r="L180" i="13"/>
  <c r="Q25" i="28" s="1"/>
  <c r="L195" i="13"/>
  <c r="L209" i="13"/>
  <c r="L223" i="13"/>
  <c r="L237" i="13"/>
  <c r="L252" i="13"/>
  <c r="L267" i="13"/>
  <c r="K180" i="13"/>
  <c r="P25" i="28" s="1"/>
  <c r="K193" i="13"/>
  <c r="K206" i="13"/>
  <c r="K219" i="13"/>
  <c r="K232" i="13"/>
  <c r="K245" i="13"/>
  <c r="K258" i="13"/>
  <c r="I184" i="13"/>
  <c r="O29" i="28" s="1"/>
  <c r="I197" i="13"/>
  <c r="I211" i="13"/>
  <c r="I224" i="13"/>
  <c r="I237" i="13"/>
  <c r="I250" i="13"/>
  <c r="I263" i="13"/>
  <c r="F173" i="13"/>
  <c r="N18" i="28" s="1"/>
  <c r="F186" i="13"/>
  <c r="N31" i="28" s="1"/>
  <c r="F199" i="13"/>
  <c r="F212" i="13"/>
  <c r="F225" i="13"/>
  <c r="F238" i="13"/>
  <c r="F252" i="13"/>
  <c r="F265" i="13"/>
  <c r="BL177" i="13"/>
  <c r="BJ22" i="28" s="1"/>
  <c r="AK189" i="13"/>
  <c r="AI34" i="28" s="1"/>
  <c r="AL198" i="13"/>
  <c r="AJ204" i="13"/>
  <c r="BJ209" i="13"/>
  <c r="AK214" i="13"/>
  <c r="AR217" i="13"/>
  <c r="BA220" i="13"/>
  <c r="AX223" i="13"/>
  <c r="AV226" i="13"/>
  <c r="AV228" i="13"/>
  <c r="BA230" i="13"/>
  <c r="AR232" i="13"/>
  <c r="BJ233" i="13"/>
  <c r="BG235" i="13"/>
  <c r="AX237" i="13"/>
  <c r="AQ239" i="13"/>
  <c r="BE240" i="13"/>
  <c r="AR242" i="13"/>
  <c r="BG243" i="13"/>
  <c r="BJ244" i="13"/>
  <c r="AV246" i="13"/>
  <c r="BI247" i="13"/>
  <c r="AN249" i="13"/>
  <c r="AQ250" i="13"/>
  <c r="BE251" i="13"/>
  <c r="AI253" i="13"/>
  <c r="AS254" i="13"/>
  <c r="BG255" i="13"/>
  <c r="AK257" i="13"/>
  <c r="AY258" i="13"/>
  <c r="BH259" i="13"/>
  <c r="AN261" i="13"/>
  <c r="BA262" i="13"/>
  <c r="BJ263" i="13"/>
  <c r="AJ265" i="13"/>
  <c r="AO266" i="13"/>
  <c r="AS267" i="13"/>
  <c r="AL268" i="13"/>
  <c r="AK269" i="13"/>
  <c r="BL269" i="13"/>
  <c r="BL170" i="13"/>
  <c r="BJ15" i="28" s="1"/>
  <c r="Z174" i="13"/>
  <c r="AB19" i="28" s="1"/>
  <c r="Z182" i="13"/>
  <c r="AB27" i="28" s="1"/>
  <c r="AA189" i="13"/>
  <c r="AC34" i="28" s="1"/>
  <c r="AA197" i="13"/>
  <c r="AB204" i="13"/>
  <c r="Y213" i="13"/>
  <c r="Y221" i="13"/>
  <c r="Z228" i="13"/>
  <c r="Z236" i="13"/>
  <c r="Z243" i="13"/>
  <c r="Z249" i="13"/>
  <c r="Z255" i="13"/>
  <c r="Z261" i="13"/>
  <c r="Z267" i="13"/>
  <c r="U175" i="13"/>
  <c r="U187" i="13"/>
  <c r="U199" i="13"/>
  <c r="U211" i="13"/>
  <c r="U223" i="13"/>
  <c r="U235" i="13"/>
  <c r="U247" i="13"/>
  <c r="T259" i="13"/>
  <c r="U267" i="13"/>
  <c r="S180" i="13"/>
  <c r="S196" i="13"/>
  <c r="S212" i="13"/>
  <c r="S228" i="13"/>
  <c r="S244" i="13"/>
  <c r="S260" i="13"/>
  <c r="R176" i="13"/>
  <c r="R190" i="13"/>
  <c r="R205" i="13"/>
  <c r="R220" i="13"/>
  <c r="R234" i="13"/>
  <c r="R248" i="13"/>
  <c r="R262" i="13"/>
  <c r="Q177" i="13"/>
  <c r="Q192" i="13"/>
  <c r="Q206" i="13"/>
  <c r="Q220" i="13"/>
  <c r="Q234" i="13"/>
  <c r="Q249" i="13"/>
  <c r="Q264" i="13"/>
  <c r="P178" i="13"/>
  <c r="P192" i="13"/>
  <c r="P206" i="13"/>
  <c r="P221" i="13"/>
  <c r="P236" i="13"/>
  <c r="P250" i="13"/>
  <c r="P264" i="13"/>
  <c r="O178" i="13"/>
  <c r="O193" i="13"/>
  <c r="O208" i="13"/>
  <c r="O222" i="13"/>
  <c r="O236" i="13"/>
  <c r="O250" i="13"/>
  <c r="O265" i="13"/>
  <c r="N180" i="13"/>
  <c r="N194" i="13"/>
  <c r="N208" i="13"/>
  <c r="N222" i="13"/>
  <c r="N237" i="13"/>
  <c r="N252" i="13"/>
  <c r="N266" i="13"/>
  <c r="M180" i="13"/>
  <c r="R25" i="28" s="1"/>
  <c r="M194" i="13"/>
  <c r="M209" i="13"/>
  <c r="M224" i="13"/>
  <c r="M238" i="13"/>
  <c r="M252" i="13"/>
  <c r="M266" i="13"/>
  <c r="L181" i="13"/>
  <c r="Q26" i="28" s="1"/>
  <c r="L196" i="13"/>
  <c r="L210" i="13"/>
  <c r="L224" i="13"/>
  <c r="L238" i="13"/>
  <c r="L253" i="13"/>
  <c r="L268" i="13"/>
  <c r="K181" i="13"/>
  <c r="P26" i="28" s="1"/>
  <c r="K194" i="13"/>
  <c r="K207" i="13"/>
  <c r="K220" i="13"/>
  <c r="K233" i="13"/>
  <c r="K246" i="13"/>
  <c r="K259" i="13"/>
  <c r="I172" i="13"/>
  <c r="O17" i="28" s="1"/>
  <c r="I185" i="13"/>
  <c r="O30" i="28" s="1"/>
  <c r="I199" i="13"/>
  <c r="I212" i="13"/>
  <c r="I225" i="13"/>
  <c r="I238" i="13"/>
  <c r="I251" i="13"/>
  <c r="I264" i="13"/>
  <c r="F174" i="13"/>
  <c r="N19" i="28" s="1"/>
  <c r="F187" i="13"/>
  <c r="N32" i="28" s="1"/>
  <c r="F200" i="13"/>
  <c r="F213" i="13"/>
  <c r="F226" i="13"/>
  <c r="F240" i="13"/>
  <c r="F253" i="13"/>
  <c r="F266" i="13"/>
  <c r="AK190" i="13"/>
  <c r="AK204" i="13"/>
  <c r="BK209" i="13"/>
  <c r="AM214" i="13"/>
  <c r="AS218" i="13"/>
  <c r="AJ221" i="13"/>
  <c r="BM223" i="13"/>
  <c r="BA226" i="13"/>
  <c r="AW228" i="13"/>
  <c r="BB230" i="13"/>
  <c r="AS232" i="13"/>
  <c r="AT234" i="13"/>
  <c r="BH235" i="13"/>
  <c r="BA237" i="13"/>
  <c r="AR239" i="13"/>
  <c r="BF240" i="13"/>
  <c r="AT242" i="13"/>
  <c r="BI243" i="13"/>
  <c r="AP245" i="13"/>
  <c r="AW246" i="13"/>
  <c r="BK247" i="13"/>
  <c r="AO249" i="13"/>
  <c r="AR250" i="13"/>
  <c r="BM251" i="13"/>
  <c r="AQ253" i="13"/>
  <c r="BE254" i="13"/>
  <c r="BH255" i="13"/>
  <c r="AM257" i="13"/>
  <c r="AZ258" i="13"/>
  <c r="BJ259" i="13"/>
  <c r="AO261" i="13"/>
  <c r="BB262" i="13"/>
  <c r="AG264" i="13"/>
  <c r="AK265" i="13"/>
  <c r="AR266" i="13"/>
  <c r="AU267" i="13"/>
  <c r="AM268" i="13"/>
  <c r="AL269" i="13"/>
  <c r="AI170" i="13"/>
  <c r="AG15" i="28" s="1"/>
  <c r="BM170" i="13"/>
  <c r="BK15" i="28" s="1"/>
  <c r="AA174" i="13"/>
  <c r="AC19" i="28" s="1"/>
  <c r="Y183" i="13"/>
  <c r="AA28" i="28" s="1"/>
  <c r="AB189" i="13"/>
  <c r="AD34" i="28" s="1"/>
  <c r="Z198" i="13"/>
  <c r="Y206" i="13"/>
  <c r="AA213" i="13"/>
  <c r="Z221" i="13"/>
  <c r="AB228" i="13"/>
  <c r="AA236" i="13"/>
  <c r="BD181" i="13"/>
  <c r="BB26" i="28" s="1"/>
  <c r="AN190" i="13"/>
  <c r="AX199" i="13"/>
  <c r="AN206" i="13"/>
  <c r="AK210" i="13"/>
  <c r="AZ214" i="13"/>
  <c r="AZ218" i="13"/>
  <c r="BB221" i="13"/>
  <c r="AO224" i="13"/>
  <c r="BM226" i="13"/>
  <c r="AM229" i="13"/>
  <c r="BM230" i="13"/>
  <c r="BE232" i="13"/>
  <c r="AW234" i="13"/>
  <c r="AP236" i="13"/>
  <c r="BL237" i="13"/>
  <c r="BD239" i="13"/>
  <c r="AP241" i="13"/>
  <c r="AV242" i="13"/>
  <c r="BO243" i="13"/>
  <c r="AS245" i="13"/>
  <c r="BK246" i="13"/>
  <c r="AG248" i="13"/>
  <c r="AV249" i="13"/>
  <c r="BI250" i="13"/>
  <c r="BO251" i="13"/>
  <c r="AU253" i="13"/>
  <c r="BH254" i="13"/>
  <c r="AO256" i="13"/>
  <c r="AV257" i="13"/>
  <c r="BJ258" i="13"/>
  <c r="AN260" i="13"/>
  <c r="AQ261" i="13"/>
  <c r="BL262" i="13"/>
  <c r="AP264" i="13"/>
  <c r="AW265" i="13"/>
  <c r="AT266" i="13"/>
  <c r="AX267" i="13"/>
  <c r="AV268" i="13"/>
  <c r="AS269" i="13"/>
  <c r="AN170" i="13"/>
  <c r="AL15" i="28" s="1"/>
  <c r="Y176" i="13"/>
  <c r="AA21" i="28" s="1"/>
  <c r="AA183" i="13"/>
  <c r="AC28" i="28" s="1"/>
  <c r="Z191" i="13"/>
  <c r="AB198" i="13"/>
  <c r="AA206" i="13"/>
  <c r="Y215" i="13"/>
  <c r="Y222" i="13"/>
  <c r="Z230" i="13"/>
  <c r="Z237" i="13"/>
  <c r="Y245" i="13"/>
  <c r="Y251" i="13"/>
  <c r="Y257" i="13"/>
  <c r="Y263" i="13"/>
  <c r="Y269" i="13"/>
  <c r="T179" i="13"/>
  <c r="T191" i="13"/>
  <c r="T203" i="13"/>
  <c r="T215" i="13"/>
  <c r="T227" i="13"/>
  <c r="T239" i="13"/>
  <c r="T251" i="13"/>
  <c r="T261" i="13"/>
  <c r="U269" i="13"/>
  <c r="S184" i="13"/>
  <c r="S200" i="13"/>
  <c r="S216" i="13"/>
  <c r="S232" i="13"/>
  <c r="S248" i="13"/>
  <c r="S264" i="13"/>
  <c r="R180" i="13"/>
  <c r="R195" i="13"/>
  <c r="R209" i="13"/>
  <c r="R223" i="13"/>
  <c r="R237" i="13"/>
  <c r="R252" i="13"/>
  <c r="R267" i="13"/>
  <c r="Q181" i="13"/>
  <c r="Q195" i="13"/>
  <c r="Q209" i="13"/>
  <c r="Q224" i="13"/>
  <c r="Q239" i="13"/>
  <c r="Q253" i="13"/>
  <c r="Q267" i="13"/>
  <c r="P181" i="13"/>
  <c r="P196" i="13"/>
  <c r="P211" i="13"/>
  <c r="P225" i="13"/>
  <c r="P239" i="13"/>
  <c r="P253" i="13"/>
  <c r="P268" i="13"/>
  <c r="O183" i="13"/>
  <c r="O197" i="13"/>
  <c r="O211" i="13"/>
  <c r="O225" i="13"/>
  <c r="O240" i="13"/>
  <c r="O255" i="13"/>
  <c r="O269" i="13"/>
  <c r="N183" i="13"/>
  <c r="N197" i="13"/>
  <c r="N212" i="13"/>
  <c r="N227" i="13"/>
  <c r="N241" i="13"/>
  <c r="N255" i="13"/>
  <c r="N269" i="13"/>
  <c r="M184" i="13"/>
  <c r="R29" i="28" s="1"/>
  <c r="M199" i="13"/>
  <c r="M213" i="13"/>
  <c r="M227" i="13"/>
  <c r="M241" i="13"/>
  <c r="M256" i="13"/>
  <c r="L185" i="13"/>
  <c r="Q30" i="28" s="1"/>
  <c r="L199" i="13"/>
  <c r="L213" i="13"/>
  <c r="L228" i="13"/>
  <c r="L243" i="13"/>
  <c r="L257" i="13"/>
  <c r="K184" i="13"/>
  <c r="P29" i="28" s="1"/>
  <c r="K197" i="13"/>
  <c r="K210" i="13"/>
  <c r="K223" i="13"/>
  <c r="K236" i="13"/>
  <c r="K249" i="13"/>
  <c r="K263" i="13"/>
  <c r="I176" i="13"/>
  <c r="O21" i="28" s="1"/>
  <c r="I189" i="13"/>
  <c r="O34" i="28" s="1"/>
  <c r="I202" i="13"/>
  <c r="I215" i="13"/>
  <c r="I228" i="13"/>
  <c r="I241" i="13"/>
  <c r="I254" i="13"/>
  <c r="I267" i="13"/>
  <c r="F177" i="13"/>
  <c r="N22" i="28" s="1"/>
  <c r="F190" i="13"/>
  <c r="F204" i="13"/>
  <c r="F217" i="13"/>
  <c r="F230" i="13"/>
  <c r="F243" i="13"/>
  <c r="F256" i="13"/>
  <c r="F269" i="13"/>
  <c r="F244" i="13"/>
  <c r="F218" i="13"/>
  <c r="F192" i="13"/>
  <c r="I268" i="13"/>
  <c r="I242" i="13"/>
  <c r="I216" i="13"/>
  <c r="I190" i="13"/>
  <c r="K264" i="13"/>
  <c r="K237" i="13"/>
  <c r="K211" i="13"/>
  <c r="K185" i="13"/>
  <c r="P30" i="28" s="1"/>
  <c r="L258" i="13"/>
  <c r="L229" i="13"/>
  <c r="L200" i="13"/>
  <c r="L172" i="13"/>
  <c r="Q17" i="28" s="1"/>
  <c r="M242" i="13"/>
  <c r="M214" i="13"/>
  <c r="M185" i="13"/>
  <c r="R30" i="28" s="1"/>
  <c r="N256" i="13"/>
  <c r="N228" i="13"/>
  <c r="N198" i="13"/>
  <c r="O170" i="13"/>
  <c r="O241" i="13"/>
  <c r="O212" i="13"/>
  <c r="O184" i="13"/>
  <c r="P254" i="13"/>
  <c r="P226" i="13"/>
  <c r="P197" i="13"/>
  <c r="Q268" i="13"/>
  <c r="Q240" i="13"/>
  <c r="Q210" i="13"/>
  <c r="Q182" i="13"/>
  <c r="R253" i="13"/>
  <c r="R224" i="13"/>
  <c r="R196" i="13"/>
  <c r="S265" i="13"/>
  <c r="S233" i="13"/>
  <c r="S201" i="13"/>
  <c r="U170" i="13"/>
  <c r="U251" i="13"/>
  <c r="U227" i="13"/>
  <c r="U203" i="13"/>
  <c r="U179" i="13"/>
  <c r="Z263" i="13"/>
  <c r="Z251" i="13"/>
  <c r="Y239" i="13"/>
  <c r="AA216" i="13"/>
  <c r="AA200" i="13"/>
  <c r="Z183" i="13"/>
  <c r="AB28" i="28" s="1"/>
  <c r="AY170" i="13"/>
  <c r="AW15" i="28" s="1"/>
  <c r="AY268" i="13"/>
  <c r="AS266" i="13"/>
  <c r="AR263" i="13"/>
  <c r="AP260" i="13"/>
  <c r="BA256" i="13"/>
  <c r="AZ253" i="13"/>
  <c r="BG250" i="13"/>
  <c r="AJ247" i="13"/>
  <c r="AK244" i="13"/>
  <c r="AP240" i="13"/>
  <c r="AV236" i="13"/>
  <c r="BD232" i="13"/>
  <c r="AT227" i="13"/>
  <c r="AL222" i="13"/>
  <c r="BM211" i="13"/>
  <c r="AG200" i="13"/>
  <c r="BA182" i="13"/>
  <c r="AY27" i="28" s="1"/>
  <c r="F268" i="13"/>
  <c r="F242" i="13"/>
  <c r="F216" i="13"/>
  <c r="F189" i="13"/>
  <c r="N34" i="28" s="1"/>
  <c r="I266" i="13"/>
  <c r="I240" i="13"/>
  <c r="I214" i="13"/>
  <c r="I188" i="13"/>
  <c r="O33" i="28" s="1"/>
  <c r="K261" i="13"/>
  <c r="K235" i="13"/>
  <c r="K209" i="13"/>
  <c r="K183" i="13"/>
  <c r="P28" i="28" s="1"/>
  <c r="L256" i="13"/>
  <c r="L226" i="13"/>
  <c r="L198" i="13"/>
  <c r="M269" i="13"/>
  <c r="M240" i="13"/>
  <c r="M212" i="13"/>
  <c r="M182" i="13"/>
  <c r="R27" i="28" s="1"/>
  <c r="N254" i="13"/>
  <c r="N225" i="13"/>
  <c r="N196" i="13"/>
  <c r="O268" i="13"/>
  <c r="O238" i="13"/>
  <c r="O210" i="13"/>
  <c r="O181" i="13"/>
  <c r="P252" i="13"/>
  <c r="P224" i="13"/>
  <c r="P194" i="13"/>
  <c r="Q266" i="13"/>
  <c r="Q237" i="13"/>
  <c r="Q208" i="13"/>
  <c r="Q180" i="13"/>
  <c r="R250" i="13"/>
  <c r="R222" i="13"/>
  <c r="R193" i="13"/>
  <c r="S263" i="13"/>
  <c r="S230" i="13"/>
  <c r="S199" i="13"/>
  <c r="T269" i="13"/>
  <c r="U248" i="13"/>
  <c r="T226" i="13"/>
  <c r="T202" i="13"/>
  <c r="U176" i="13"/>
  <c r="AA262" i="13"/>
  <c r="AA250" i="13"/>
  <c r="Y237" i="13"/>
  <c r="Z216" i="13"/>
  <c r="Z200" i="13"/>
  <c r="Y179" i="13"/>
  <c r="AA24" i="28" s="1"/>
  <c r="AV170" i="13"/>
  <c r="AT15" i="28" s="1"/>
  <c r="AX268" i="13"/>
  <c r="BD265" i="13"/>
  <c r="BN262" i="13"/>
  <c r="AM260" i="13"/>
  <c r="AX256" i="13"/>
  <c r="AX253" i="13"/>
  <c r="BL249" i="13"/>
  <c r="BO246" i="13"/>
  <c r="BN243" i="13"/>
  <c r="BL239" i="13"/>
  <c r="AU236" i="13"/>
  <c r="BC231" i="13"/>
  <c r="AG227" i="13"/>
  <c r="AL221" i="13"/>
  <c r="BB211" i="13"/>
  <c r="BO199" i="13"/>
  <c r="AK179" i="13"/>
  <c r="AI24" i="28" s="1"/>
  <c r="C20" i="10"/>
  <c r="C157" i="10"/>
  <c r="C21" i="10"/>
  <c r="AF272" i="13"/>
  <c r="AE272" i="13"/>
  <c r="AC272" i="13"/>
  <c r="AD272" i="13"/>
  <c r="K158" i="13"/>
  <c r="L158" i="13" s="1"/>
  <c r="M158" i="13" s="1"/>
  <c r="AG160" i="13"/>
  <c r="J49" i="13"/>
  <c r="J50" i="13"/>
  <c r="J51" i="13"/>
  <c r="J52" i="13"/>
  <c r="J53" i="13"/>
  <c r="J55" i="13"/>
  <c r="J56" i="13"/>
  <c r="J57" i="13"/>
  <c r="J58" i="13"/>
  <c r="J59" i="13"/>
  <c r="J60" i="13"/>
  <c r="J61" i="13"/>
  <c r="J62" i="13"/>
  <c r="J63" i="13"/>
  <c r="J64" i="13"/>
  <c r="J65" i="13"/>
  <c r="J66" i="13"/>
  <c r="J67" i="13"/>
  <c r="J68" i="13"/>
  <c r="J69" i="13"/>
  <c r="J70" i="13"/>
  <c r="J71" i="13"/>
  <c r="J72" i="13"/>
  <c r="J73" i="13"/>
  <c r="J74" i="13"/>
  <c r="J75" i="13"/>
  <c r="J76" i="13"/>
  <c r="J77" i="13"/>
  <c r="J78" i="13"/>
  <c r="J79" i="13"/>
  <c r="J80" i="13"/>
  <c r="J81" i="13"/>
  <c r="J82" i="13"/>
  <c r="J83" i="13"/>
  <c r="J84" i="13"/>
  <c r="J85" i="13"/>
  <c r="J86" i="13"/>
  <c r="J87" i="13"/>
  <c r="J88" i="13"/>
  <c r="J89" i="13"/>
  <c r="J90" i="13"/>
  <c r="J91" i="13"/>
  <c r="J92" i="13"/>
  <c r="J93" i="13"/>
  <c r="J94" i="13"/>
  <c r="J95" i="13"/>
  <c r="J96" i="13"/>
  <c r="J97" i="13"/>
  <c r="J98" i="13"/>
  <c r="J99" i="13"/>
  <c r="J100" i="13"/>
  <c r="J101" i="13"/>
  <c r="J102" i="13"/>
  <c r="J103" i="13"/>
  <c r="J104" i="13"/>
  <c r="J105" i="13"/>
  <c r="J106" i="13"/>
  <c r="J107" i="13"/>
  <c r="J108" i="13"/>
  <c r="J109" i="13"/>
  <c r="J110" i="13"/>
  <c r="J111" i="13"/>
  <c r="J112" i="13"/>
  <c r="J113" i="13"/>
  <c r="J114" i="13"/>
  <c r="J115" i="13"/>
  <c r="J116" i="13"/>
  <c r="J117" i="13"/>
  <c r="J118" i="13"/>
  <c r="J119" i="13"/>
  <c r="J120" i="13"/>
  <c r="J121" i="13"/>
  <c r="J122" i="13"/>
  <c r="J123" i="13"/>
  <c r="J124" i="13"/>
  <c r="J125" i="13"/>
  <c r="J126" i="13"/>
  <c r="J127" i="13"/>
  <c r="J128" i="13"/>
  <c r="J129" i="13"/>
  <c r="J130" i="13"/>
  <c r="J131" i="13"/>
  <c r="J132" i="13"/>
  <c r="J133" i="13"/>
  <c r="J134" i="13"/>
  <c r="J135" i="13"/>
  <c r="J136" i="13"/>
  <c r="J137" i="13"/>
  <c r="J138" i="13"/>
  <c r="J139" i="13"/>
  <c r="J140" i="13"/>
  <c r="J141" i="13"/>
  <c r="J142" i="13"/>
  <c r="J143" i="13"/>
  <c r="J144" i="13"/>
  <c r="J145" i="13"/>
  <c r="J146" i="13"/>
  <c r="J147" i="13"/>
  <c r="J148" i="13"/>
  <c r="J48" i="13"/>
  <c r="D402" i="13"/>
  <c r="D403" i="13"/>
  <c r="D404" i="13"/>
  <c r="D405" i="13"/>
  <c r="D406" i="13"/>
  <c r="D407" i="13"/>
  <c r="D408" i="13"/>
  <c r="D409" i="13"/>
  <c r="D410" i="13"/>
  <c r="F161" i="13" l="1" a="1"/>
  <c r="F161" i="13" s="1"/>
  <c r="F162" i="13" a="1"/>
  <c r="F162" i="13" s="1"/>
  <c r="F163" i="13" a="1"/>
  <c r="F163" i="13" s="1"/>
  <c r="F165" i="13" a="1"/>
  <c r="F165" i="13" s="1"/>
  <c r="M295" i="13"/>
  <c r="BO169" i="13"/>
  <c r="E403" i="13"/>
  <c r="C159" i="10"/>
  <c r="E409" i="13"/>
  <c r="C165" i="10"/>
  <c r="E408" i="13"/>
  <c r="C164" i="10"/>
  <c r="E407" i="13"/>
  <c r="C163" i="10"/>
  <c r="E406" i="13"/>
  <c r="C162" i="10"/>
  <c r="E405" i="13"/>
  <c r="C161" i="10"/>
  <c r="E404" i="13"/>
  <c r="C160" i="10"/>
  <c r="E402" i="13"/>
  <c r="C158" i="10"/>
  <c r="E410" i="13"/>
  <c r="C166" i="10"/>
  <c r="I166" i="13"/>
  <c r="AG169" i="13"/>
  <c r="BN169" i="13"/>
  <c r="I169" i="13"/>
  <c r="R169" i="13"/>
  <c r="S169" i="13"/>
  <c r="L169" i="13"/>
  <c r="T169" i="13"/>
  <c r="N169" i="13"/>
  <c r="F169" i="13"/>
  <c r="Y169" i="13"/>
  <c r="O169" i="13"/>
  <c r="M169" i="13"/>
  <c r="U169" i="13"/>
  <c r="Q169" i="13"/>
  <c r="P169" i="13"/>
  <c r="K169" i="13"/>
  <c r="K166" i="13"/>
  <c r="F295" i="13" l="1" a="1"/>
  <c r="F295" i="13" s="1"/>
  <c r="K163" i="13" a="1"/>
  <c r="K163" i="13" s="1"/>
  <c r="K165" i="13" a="1"/>
  <c r="K165" i="13" s="1"/>
  <c r="K161" i="13" a="1"/>
  <c r="K161" i="13" s="1"/>
  <c r="K162" i="13" a="1"/>
  <c r="K162" i="13" s="1"/>
  <c r="I165" i="13" a="1"/>
  <c r="I165" i="13" s="1"/>
  <c r="I161" i="13" a="1"/>
  <c r="I161" i="13" s="1"/>
  <c r="I162" i="13" a="1"/>
  <c r="I162" i="13" s="1"/>
  <c r="I163" i="13" a="1"/>
  <c r="I163" i="13" s="1"/>
  <c r="F160" i="13"/>
  <c r="F159" i="13" s="1"/>
  <c r="L166" i="13"/>
  <c r="L161" i="13" l="1" a="1"/>
  <c r="L161" i="13" s="1"/>
  <c r="L162" i="13" a="1"/>
  <c r="L162" i="13" s="1"/>
  <c r="L163" i="13" a="1"/>
  <c r="L163" i="13" s="1"/>
  <c r="L165" i="13" a="1"/>
  <c r="L165" i="13" s="1"/>
  <c r="I160" i="13"/>
  <c r="I159" i="13" s="1"/>
  <c r="K160" i="13"/>
  <c r="K159" i="13" s="1"/>
  <c r="M166" i="13"/>
  <c r="N158" i="13"/>
  <c r="C296" i="13"/>
  <c r="C297" i="13"/>
  <c r="C298" i="13"/>
  <c r="C299" i="13"/>
  <c r="C300" i="13"/>
  <c r="C301" i="13"/>
  <c r="C302" i="13"/>
  <c r="C303" i="13"/>
  <c r="C304" i="13"/>
  <c r="C305" i="13"/>
  <c r="C306" i="13"/>
  <c r="C307" i="13"/>
  <c r="C308" i="13"/>
  <c r="C309" i="13"/>
  <c r="C310" i="13"/>
  <c r="C311" i="13"/>
  <c r="C312" i="13"/>
  <c r="C313" i="13"/>
  <c r="C314" i="13"/>
  <c r="C315" i="13"/>
  <c r="C316" i="13"/>
  <c r="C317" i="13"/>
  <c r="C318" i="13"/>
  <c r="C319" i="13"/>
  <c r="C320" i="13"/>
  <c r="C321" i="13"/>
  <c r="C322" i="13"/>
  <c r="C323" i="13"/>
  <c r="C324" i="13"/>
  <c r="C325" i="13"/>
  <c r="C326" i="13"/>
  <c r="C327" i="13"/>
  <c r="C328" i="13"/>
  <c r="C329" i="13"/>
  <c r="C330" i="13"/>
  <c r="C331" i="13"/>
  <c r="C332" i="13"/>
  <c r="C333" i="13"/>
  <c r="C334" i="13"/>
  <c r="C335" i="13"/>
  <c r="C336" i="13"/>
  <c r="C337" i="13"/>
  <c r="C338" i="13"/>
  <c r="C339" i="13"/>
  <c r="C340" i="13"/>
  <c r="C341" i="13"/>
  <c r="C342" i="13"/>
  <c r="C343" i="13"/>
  <c r="C344" i="13"/>
  <c r="C345" i="13"/>
  <c r="C346" i="13"/>
  <c r="M161" i="13" l="1" a="1"/>
  <c r="M161" i="13" s="1"/>
  <c r="M162" i="13" a="1"/>
  <c r="M162" i="13" s="1"/>
  <c r="M163" i="13" a="1"/>
  <c r="M163" i="13" s="1"/>
  <c r="M165" i="13" a="1"/>
  <c r="M165" i="13" s="1"/>
  <c r="L160" i="13"/>
  <c r="L159" i="13" s="1"/>
  <c r="O158" i="13"/>
  <c r="N166" i="13"/>
  <c r="C420" i="13" a="1"/>
  <c r="C420" i="13" s="1"/>
  <c r="B176" i="10" s="1"/>
  <c r="C419" i="13" a="1"/>
  <c r="C419" i="13" s="1"/>
  <c r="B175" i="10" s="1"/>
  <c r="C418" i="13" a="1"/>
  <c r="C418" i="13" s="1"/>
  <c r="B174" i="10" s="1"/>
  <c r="C417" i="13" a="1"/>
  <c r="C417" i="13" s="1"/>
  <c r="B173" i="10" s="1"/>
  <c r="C416" i="13" a="1"/>
  <c r="C416" i="13" s="1"/>
  <c r="B172" i="10" s="1"/>
  <c r="C415" i="13" a="1"/>
  <c r="C415" i="13" s="1"/>
  <c r="B171" i="10" s="1"/>
  <c r="C414" i="13" a="1"/>
  <c r="C414" i="13" s="1"/>
  <c r="B170" i="10" s="1"/>
  <c r="C413" i="13" a="1"/>
  <c r="C413" i="13" s="1"/>
  <c r="B169" i="10" s="1"/>
  <c r="C412" i="13" a="1"/>
  <c r="C412" i="13" s="1"/>
  <c r="B168" i="10" s="1"/>
  <c r="C411" i="13" a="1"/>
  <c r="C411" i="13" s="1"/>
  <c r="B167" i="10" s="1"/>
  <c r="C410" i="13" a="1"/>
  <c r="C410" i="13" s="1"/>
  <c r="B166" i="10" s="1"/>
  <c r="C409" i="13" a="1"/>
  <c r="C409" i="13" s="1"/>
  <c r="B165" i="10" s="1"/>
  <c r="C408" i="13" a="1"/>
  <c r="C408" i="13" s="1"/>
  <c r="B164" i="10" s="1"/>
  <c r="C407" i="13" a="1"/>
  <c r="C407" i="13" s="1"/>
  <c r="B163" i="10" s="1"/>
  <c r="C406" i="13" a="1"/>
  <c r="C406" i="13" s="1"/>
  <c r="B162" i="10" s="1"/>
  <c r="C405" i="13" a="1"/>
  <c r="C405" i="13" s="1"/>
  <c r="B161" i="10" s="1"/>
  <c r="C404" i="13" a="1"/>
  <c r="C404" i="13" s="1"/>
  <c r="B160" i="10" s="1"/>
  <c r="C403" i="13" a="1"/>
  <c r="C403" i="13" s="1"/>
  <c r="B159" i="10" s="1"/>
  <c r="C402" i="13" a="1"/>
  <c r="C402" i="13" s="1"/>
  <c r="B158" i="10" s="1"/>
  <c r="C401" i="13" a="1"/>
  <c r="C401" i="13" s="1"/>
  <c r="B157" i="10" s="1"/>
  <c r="C27" i="10"/>
  <c r="D31" i="13"/>
  <c r="N163" i="13" l="1" a="1"/>
  <c r="N163" i="13" s="1"/>
  <c r="N165" i="13" a="1"/>
  <c r="N165" i="13" s="1"/>
  <c r="N162" i="13" a="1"/>
  <c r="N162" i="13" s="1"/>
  <c r="N161" i="13" a="1"/>
  <c r="N161" i="13" s="1"/>
  <c r="E413" i="13"/>
  <c r="C169" i="10"/>
  <c r="E420" i="13"/>
  <c r="C176" i="10"/>
  <c r="E414" i="13"/>
  <c r="C170" i="10"/>
  <c r="E417" i="13"/>
  <c r="C173" i="10"/>
  <c r="E411" i="13"/>
  <c r="C167" i="10"/>
  <c r="E415" i="13"/>
  <c r="C171" i="10"/>
  <c r="E418" i="13"/>
  <c r="C174" i="10"/>
  <c r="E412" i="13"/>
  <c r="C168" i="10"/>
  <c r="M160" i="13"/>
  <c r="M159" i="13" s="1"/>
  <c r="O166" i="13"/>
  <c r="P158" i="13"/>
  <c r="B30" i="26"/>
  <c r="B29" i="26"/>
  <c r="B27" i="26"/>
  <c r="B25" i="26"/>
  <c r="B23" i="26"/>
  <c r="B22" i="26"/>
  <c r="O165" i="13" l="1" a="1"/>
  <c r="O165" i="13" s="1"/>
  <c r="O163" i="13" a="1"/>
  <c r="O163" i="13" s="1"/>
  <c r="O162" i="13" a="1"/>
  <c r="O162" i="13" s="1"/>
  <c r="O161" i="13" a="1"/>
  <c r="O161" i="13" s="1"/>
  <c r="E416" i="13"/>
  <c r="C172" i="10"/>
  <c r="E419" i="13"/>
  <c r="C175" i="10"/>
  <c r="P166" i="13"/>
  <c r="Q158" i="13"/>
  <c r="N160" i="13"/>
  <c r="N159" i="13" s="1"/>
  <c r="D421" i="13"/>
  <c r="G16" i="28"/>
  <c r="G17" i="28"/>
  <c r="G18" i="28"/>
  <c r="G19" i="28"/>
  <c r="G20" i="28"/>
  <c r="G21" i="28"/>
  <c r="G22" i="28"/>
  <c r="G23" i="28"/>
  <c r="G24" i="28"/>
  <c r="G25" i="28"/>
  <c r="G26" i="28"/>
  <c r="G27" i="28"/>
  <c r="G28" i="28"/>
  <c r="G29" i="28"/>
  <c r="G30" i="28"/>
  <c r="G31" i="28"/>
  <c r="G32" i="28"/>
  <c r="I16" i="28"/>
  <c r="I17" i="28"/>
  <c r="I18" i="28"/>
  <c r="I19" i="28"/>
  <c r="I20" i="28"/>
  <c r="I21" i="28"/>
  <c r="I22" i="28"/>
  <c r="I23" i="28"/>
  <c r="I24" i="28"/>
  <c r="I25" i="28"/>
  <c r="I26" i="28"/>
  <c r="I27" i="28"/>
  <c r="I28" i="28"/>
  <c r="I29" i="28"/>
  <c r="I30" i="28"/>
  <c r="I31" i="28"/>
  <c r="I32" i="28"/>
  <c r="J16" i="28"/>
  <c r="J17" i="28"/>
  <c r="J18" i="28"/>
  <c r="J19" i="28"/>
  <c r="J20" i="28"/>
  <c r="J21" i="28"/>
  <c r="J22" i="28"/>
  <c r="J23" i="28"/>
  <c r="J24" i="28"/>
  <c r="J25" i="28"/>
  <c r="J26" i="28"/>
  <c r="J27" i="28"/>
  <c r="J28" i="28"/>
  <c r="J29" i="28"/>
  <c r="J30" i="28"/>
  <c r="J31" i="28"/>
  <c r="J32" i="28"/>
  <c r="J15" i="28"/>
  <c r="I15" i="28"/>
  <c r="G15" i="28"/>
  <c r="C294" i="13"/>
  <c r="C295" i="13"/>
  <c r="C347" i="13"/>
  <c r="C348" i="13"/>
  <c r="C349" i="13"/>
  <c r="C350" i="13"/>
  <c r="C351" i="13"/>
  <c r="C352" i="13"/>
  <c r="C353" i="13"/>
  <c r="C354" i="13"/>
  <c r="C355" i="13"/>
  <c r="C356" i="13"/>
  <c r="C357" i="13"/>
  <c r="C358" i="13"/>
  <c r="C359" i="13"/>
  <c r="C360" i="13"/>
  <c r="C361" i="13"/>
  <c r="C362" i="13"/>
  <c r="C363" i="13"/>
  <c r="C364" i="13"/>
  <c r="C365" i="13"/>
  <c r="C366" i="13"/>
  <c r="C367" i="13"/>
  <c r="C368" i="13"/>
  <c r="C369" i="13"/>
  <c r="C370" i="13"/>
  <c r="C371" i="13"/>
  <c r="C372" i="13"/>
  <c r="C373" i="13"/>
  <c r="C374" i="13"/>
  <c r="C375" i="13"/>
  <c r="C376" i="13"/>
  <c r="C377" i="13"/>
  <c r="C378" i="13"/>
  <c r="C379" i="13"/>
  <c r="C380" i="13"/>
  <c r="C381" i="13"/>
  <c r="C382" i="13"/>
  <c r="C383" i="13"/>
  <c r="C384" i="13"/>
  <c r="C385" i="13"/>
  <c r="C386" i="13"/>
  <c r="C387" i="13"/>
  <c r="C388" i="13"/>
  <c r="C389" i="13"/>
  <c r="C390" i="13"/>
  <c r="C292" i="13"/>
  <c r="C293" i="13"/>
  <c r="C291" i="13"/>
  <c r="E156" i="13"/>
  <c r="G156" i="13"/>
  <c r="J156" i="13"/>
  <c r="AC156" i="13"/>
  <c r="AD156" i="13"/>
  <c r="AE156" i="13"/>
  <c r="D171" i="13"/>
  <c r="D172" i="13"/>
  <c r="D173" i="13"/>
  <c r="H4" i="28"/>
  <c r="H8" i="28" s="1"/>
  <c r="H3" i="28"/>
  <c r="P161" i="13" l="1" a="1"/>
  <c r="P161" i="13" s="1"/>
  <c r="P162" i="13" a="1"/>
  <c r="P162" i="13" s="1"/>
  <c r="P163" i="13" a="1"/>
  <c r="P163" i="13" s="1"/>
  <c r="P165" i="13" a="1"/>
  <c r="P165" i="13" s="1"/>
  <c r="E421" i="13"/>
  <c r="O160" i="13"/>
  <c r="O159" i="13" s="1"/>
  <c r="R158" i="13"/>
  <c r="Q166" i="13"/>
  <c r="C26" i="10"/>
  <c r="Q161" i="13" l="1" a="1"/>
  <c r="Q161" i="13" s="1"/>
  <c r="Q162" i="13" a="1"/>
  <c r="Q162" i="13" s="1"/>
  <c r="Q163" i="13" a="1"/>
  <c r="Q163" i="13" s="1"/>
  <c r="Q165" i="13" a="1"/>
  <c r="Q165" i="13" s="1"/>
  <c r="P160" i="13"/>
  <c r="P159" i="13" s="1"/>
  <c r="S158" i="13"/>
  <c r="R166" i="13"/>
  <c r="Z20" i="28"/>
  <c r="Z21" i="28"/>
  <c r="Z25" i="28"/>
  <c r="Z30" i="28"/>
  <c r="Z19" i="28"/>
  <c r="Z22" i="28"/>
  <c r="Z28" i="28"/>
  <c r="Z34" i="28"/>
  <c r="Z31" i="28"/>
  <c r="Z32" i="28"/>
  <c r="Z23" i="28"/>
  <c r="Z18" i="28"/>
  <c r="Z27" i="28"/>
  <c r="Z29" i="28"/>
  <c r="Y16" i="28"/>
  <c r="Y28" i="28"/>
  <c r="X24" i="28"/>
  <c r="Z33" i="28"/>
  <c r="Y18" i="28"/>
  <c r="Y30" i="28"/>
  <c r="X26" i="28"/>
  <c r="W22" i="28"/>
  <c r="W34" i="28"/>
  <c r="V18" i="28"/>
  <c r="V30" i="28"/>
  <c r="U26" i="28"/>
  <c r="Y27" i="28"/>
  <c r="X29" i="28"/>
  <c r="W27" i="28"/>
  <c r="V19" i="28"/>
  <c r="V32" i="28"/>
  <c r="U23" i="28"/>
  <c r="S24" i="28"/>
  <c r="T28" i="28"/>
  <c r="W28" i="28"/>
  <c r="V20" i="28"/>
  <c r="V33" i="28"/>
  <c r="U24" i="28"/>
  <c r="S20" i="28"/>
  <c r="T24" i="28"/>
  <c r="S33" i="28"/>
  <c r="Z16" i="28"/>
  <c r="Y29" i="28"/>
  <c r="X16" i="28"/>
  <c r="X30" i="28"/>
  <c r="Z17" i="28"/>
  <c r="Y31" i="28"/>
  <c r="X17" i="28"/>
  <c r="X31" i="28"/>
  <c r="W16" i="28"/>
  <c r="W29" i="28"/>
  <c r="V21" i="28"/>
  <c r="V34" i="28"/>
  <c r="U25" i="28"/>
  <c r="S16" i="28"/>
  <c r="T20" i="28"/>
  <c r="S29" i="28"/>
  <c r="T33" i="28"/>
  <c r="Y23" i="28"/>
  <c r="X20" i="28"/>
  <c r="W32" i="28"/>
  <c r="V17" i="28"/>
  <c r="U22" i="28"/>
  <c r="T19" i="28"/>
  <c r="S26" i="28"/>
  <c r="T31" i="28"/>
  <c r="X21" i="28"/>
  <c r="W33" i="28"/>
  <c r="V22" i="28"/>
  <c r="T26" i="28"/>
  <c r="V24" i="28"/>
  <c r="S27" i="28"/>
  <c r="Y32" i="28"/>
  <c r="X25" i="28"/>
  <c r="S22" i="28"/>
  <c r="S15" i="28"/>
  <c r="T15" i="28"/>
  <c r="Y24" i="28"/>
  <c r="W17" i="28"/>
  <c r="U27" i="28"/>
  <c r="W20" i="28"/>
  <c r="U30" i="28"/>
  <c r="T27" i="28"/>
  <c r="Y33" i="28"/>
  <c r="X27" i="28"/>
  <c r="U31" i="28"/>
  <c r="T34" i="28"/>
  <c r="Z24" i="28"/>
  <c r="Y25" i="28"/>
  <c r="X22" i="28"/>
  <c r="W18" i="28"/>
  <c r="V23" i="28"/>
  <c r="U28" i="28"/>
  <c r="S21" i="28"/>
  <c r="S32" i="28"/>
  <c r="Y26" i="28"/>
  <c r="X23" i="28"/>
  <c r="W19" i="28"/>
  <c r="U29" i="28"/>
  <c r="T21" i="28"/>
  <c r="T32" i="28"/>
  <c r="V25" i="28"/>
  <c r="T16" i="28"/>
  <c r="S34" i="28"/>
  <c r="W21" i="28"/>
  <c r="V26" i="28"/>
  <c r="T22" i="28"/>
  <c r="X18" i="28"/>
  <c r="W30" i="28"/>
  <c r="S25" i="28"/>
  <c r="X19" i="28"/>
  <c r="X33" i="28"/>
  <c r="S30" i="28"/>
  <c r="Y21" i="28"/>
  <c r="Z26" i="28"/>
  <c r="V16" i="28"/>
  <c r="S19" i="28"/>
  <c r="Y34" i="28"/>
  <c r="W24" i="28"/>
  <c r="V28" i="28"/>
  <c r="U33" i="28"/>
  <c r="S23" i="28"/>
  <c r="U34" i="28"/>
  <c r="T23" i="28"/>
  <c r="V31" i="28"/>
  <c r="W31" i="28"/>
  <c r="T25" i="28"/>
  <c r="U18" i="28"/>
  <c r="Y20" i="28"/>
  <c r="X34" i="28"/>
  <c r="T30" i="28"/>
  <c r="W23" i="28"/>
  <c r="W25" i="28"/>
  <c r="W26" i="28"/>
  <c r="X28" i="28"/>
  <c r="U16" i="28"/>
  <c r="S17" i="28"/>
  <c r="S28" i="28"/>
  <c r="Y17" i="28"/>
  <c r="X32" i="28"/>
  <c r="U17" i="28"/>
  <c r="T17" i="28"/>
  <c r="T29" i="28"/>
  <c r="Y19" i="28"/>
  <c r="S18" i="28"/>
  <c r="U19" i="28"/>
  <c r="T18" i="28"/>
  <c r="W15" i="28"/>
  <c r="U20" i="28"/>
  <c r="Y22" i="28"/>
  <c r="U21" i="28"/>
  <c r="S31" i="28"/>
  <c r="V27" i="28"/>
  <c r="U32" i="28"/>
  <c r="V29" i="28"/>
  <c r="D14" i="9"/>
  <c r="AN10" i="1"/>
  <c r="R163" i="13" l="1" a="1"/>
  <c r="R163" i="13" s="1"/>
  <c r="R162" i="13" a="1"/>
  <c r="R162" i="13" s="1"/>
  <c r="R161" i="13" a="1"/>
  <c r="R161" i="13" s="1"/>
  <c r="R165" i="13" a="1"/>
  <c r="R165" i="13" s="1"/>
  <c r="M291" i="13"/>
  <c r="W272" i="13"/>
  <c r="AB169" i="13"/>
  <c r="Z169" i="13"/>
  <c r="AA169" i="13"/>
  <c r="Q160" i="13"/>
  <c r="Q159" i="13" s="1"/>
  <c r="T158" i="13"/>
  <c r="S166" i="13"/>
  <c r="M365" i="13"/>
  <c r="F365" i="13" s="1" a="1"/>
  <c r="F365" i="13" s="1"/>
  <c r="M354" i="13"/>
  <c r="F354" i="13" s="1" a="1"/>
  <c r="F354" i="13" s="1"/>
  <c r="M381" i="13"/>
  <c r="F381" i="13" s="1" a="1"/>
  <c r="F381" i="13" s="1"/>
  <c r="N347" i="13"/>
  <c r="O347" i="13"/>
  <c r="M347" i="13"/>
  <c r="F347" i="13" s="1" a="1"/>
  <c r="F347" i="13" s="1"/>
  <c r="M389" i="13"/>
  <c r="F389" i="13" s="1" a="1"/>
  <c r="F389" i="13" s="1"/>
  <c r="M366" i="13"/>
  <c r="F366" i="13" s="1" a="1"/>
  <c r="F366" i="13" s="1"/>
  <c r="M348" i="13"/>
  <c r="F348" i="13" s="1" a="1"/>
  <c r="F348" i="13" s="1"/>
  <c r="M387" i="13"/>
  <c r="F387" i="13" s="1" a="1"/>
  <c r="F387" i="13" s="1"/>
  <c r="M356" i="13"/>
  <c r="F356" i="13" s="1" a="1"/>
  <c r="F356" i="13" s="1"/>
  <c r="M383" i="13"/>
  <c r="F383" i="13" s="1" a="1"/>
  <c r="F383" i="13" s="1"/>
  <c r="M390" i="13"/>
  <c r="F390" i="13" s="1" a="1"/>
  <c r="F390" i="13" s="1"/>
  <c r="M375" i="13"/>
  <c r="F375" i="13" s="1" a="1"/>
  <c r="F375" i="13" s="1"/>
  <c r="M370" i="13"/>
  <c r="F370" i="13" s="1" a="1"/>
  <c r="F370" i="13" s="1"/>
  <c r="M372" i="13"/>
  <c r="F372" i="13" s="1" a="1"/>
  <c r="F372" i="13" s="1"/>
  <c r="M363" i="13"/>
  <c r="F363" i="13" s="1" a="1"/>
  <c r="F363" i="13" s="1"/>
  <c r="M371" i="13"/>
  <c r="F371" i="13" s="1" a="1"/>
  <c r="F371" i="13" s="1"/>
  <c r="M388" i="13"/>
  <c r="F388" i="13" s="1" a="1"/>
  <c r="F388" i="13" s="1"/>
  <c r="M376" i="13"/>
  <c r="F376" i="13" s="1" a="1"/>
  <c r="F376" i="13" s="1"/>
  <c r="M357" i="13"/>
  <c r="F357" i="13" s="1" a="1"/>
  <c r="F357" i="13" s="1"/>
  <c r="M351" i="13"/>
  <c r="F351" i="13" s="1" a="1"/>
  <c r="F351" i="13" s="1"/>
  <c r="M386" i="13"/>
  <c r="F386" i="13" s="1" a="1"/>
  <c r="F386" i="13" s="1"/>
  <c r="M353" i="13"/>
  <c r="F353" i="13" s="1" a="1"/>
  <c r="F353" i="13" s="1"/>
  <c r="M377" i="13"/>
  <c r="F377" i="13" s="1" a="1"/>
  <c r="F377" i="13" s="1"/>
  <c r="M358" i="13"/>
  <c r="F358" i="13" s="1" a="1"/>
  <c r="F358" i="13" s="1"/>
  <c r="M374" i="13"/>
  <c r="F374" i="13" s="1" a="1"/>
  <c r="F374" i="13" s="1"/>
  <c r="M368" i="13"/>
  <c r="F368" i="13" s="1" a="1"/>
  <c r="F368" i="13" s="1"/>
  <c r="M359" i="13"/>
  <c r="F359" i="13" s="1" a="1"/>
  <c r="F359" i="13" s="1"/>
  <c r="M362" i="13"/>
  <c r="F362" i="13" s="1" a="1"/>
  <c r="F362" i="13" s="1"/>
  <c r="M355" i="13"/>
  <c r="F355" i="13" s="1" a="1"/>
  <c r="F355" i="13" s="1"/>
  <c r="M382" i="13"/>
  <c r="F382" i="13" s="1" a="1"/>
  <c r="F382" i="13" s="1"/>
  <c r="M378" i="13"/>
  <c r="F378" i="13" s="1" a="1"/>
  <c r="F378" i="13" s="1"/>
  <c r="M350" i="13"/>
  <c r="F350" i="13" s="1" a="1"/>
  <c r="F350" i="13" s="1"/>
  <c r="M385" i="13"/>
  <c r="F385" i="13" s="1" a="1"/>
  <c r="F385" i="13" s="1"/>
  <c r="M369" i="13"/>
  <c r="F369" i="13" s="1" a="1"/>
  <c r="F369" i="13" s="1"/>
  <c r="M360" i="13"/>
  <c r="F360" i="13" s="1" a="1"/>
  <c r="F360" i="13" s="1"/>
  <c r="M373" i="13"/>
  <c r="F373" i="13" s="1" a="1"/>
  <c r="F373" i="13" s="1"/>
  <c r="M379" i="13"/>
  <c r="F379" i="13" s="1" a="1"/>
  <c r="F379" i="13" s="1"/>
  <c r="M361" i="13"/>
  <c r="F361" i="13" s="1" a="1"/>
  <c r="F361" i="13" s="1"/>
  <c r="M384" i="13"/>
  <c r="F384" i="13" s="1" a="1"/>
  <c r="F384" i="13" s="1"/>
  <c r="M364" i="13"/>
  <c r="F364" i="13" s="1" a="1"/>
  <c r="F364" i="13" s="1"/>
  <c r="M349" i="13"/>
  <c r="F349" i="13" s="1" a="1"/>
  <c r="F349" i="13" s="1"/>
  <c r="M367" i="13"/>
  <c r="F367" i="13" s="1" a="1"/>
  <c r="F367" i="13" s="1"/>
  <c r="M352" i="13"/>
  <c r="F352" i="13" s="1" a="1"/>
  <c r="F352" i="13" s="1"/>
  <c r="M380" i="13"/>
  <c r="F380" i="13" s="1" a="1"/>
  <c r="F380" i="13" s="1"/>
  <c r="O385" i="13"/>
  <c r="N385" i="13"/>
  <c r="AB142" i="13"/>
  <c r="N303" i="13"/>
  <c r="M303" i="13"/>
  <c r="F303" i="13" s="1" a="1"/>
  <c r="F303" i="13" s="1"/>
  <c r="O371" i="13"/>
  <c r="N371" i="13"/>
  <c r="AB128" i="13"/>
  <c r="N349" i="13"/>
  <c r="O349" i="13"/>
  <c r="AB106" i="13"/>
  <c r="N304" i="13"/>
  <c r="M304" i="13"/>
  <c r="F304" i="13" s="1" a="1"/>
  <c r="F304" i="13" s="1"/>
  <c r="BG169" i="13"/>
  <c r="O378" i="13"/>
  <c r="N378" i="13"/>
  <c r="AB135" i="13"/>
  <c r="N342" i="13"/>
  <c r="M342" i="13"/>
  <c r="F342" i="13" s="1" a="1"/>
  <c r="F342" i="13" s="1"/>
  <c r="AB99" i="13"/>
  <c r="N361" i="13"/>
  <c r="O361" i="13"/>
  <c r="AB118" i="13"/>
  <c r="X15" i="28"/>
  <c r="BM169" i="13"/>
  <c r="N319" i="13"/>
  <c r="M319" i="13"/>
  <c r="F319" i="13" s="1" a="1"/>
  <c r="F319" i="13" s="1"/>
  <c r="U15" i="28"/>
  <c r="BJ169" i="13"/>
  <c r="N340" i="13"/>
  <c r="M340" i="13"/>
  <c r="F340" i="13" s="1" a="1"/>
  <c r="F340" i="13" s="1"/>
  <c r="M333" i="13"/>
  <c r="F333" i="13" s="1" a="1"/>
  <c r="F333" i="13" s="1"/>
  <c r="N333" i="13"/>
  <c r="N348" i="13"/>
  <c r="O348" i="13"/>
  <c r="AB105" i="13"/>
  <c r="N306" i="13"/>
  <c r="M306" i="13"/>
  <c r="F306" i="13" s="1" a="1"/>
  <c r="F306" i="13" s="1"/>
  <c r="BL169" i="13"/>
  <c r="N366" i="13"/>
  <c r="O366" i="13"/>
  <c r="AB123" i="13"/>
  <c r="BK169" i="13"/>
  <c r="N323" i="13"/>
  <c r="M323" i="13"/>
  <c r="F323" i="13" s="1" a="1"/>
  <c r="F323" i="13" s="1"/>
  <c r="O365" i="13"/>
  <c r="N365" i="13"/>
  <c r="AB122" i="13"/>
  <c r="V15" i="28"/>
  <c r="N312" i="13"/>
  <c r="M312" i="13"/>
  <c r="F312" i="13" s="1" a="1"/>
  <c r="F312" i="13" s="1"/>
  <c r="N350" i="13"/>
  <c r="O350" i="13"/>
  <c r="AB107" i="13"/>
  <c r="M307" i="13"/>
  <c r="F307" i="13" s="1" a="1"/>
  <c r="F307" i="13" s="1"/>
  <c r="N307" i="13"/>
  <c r="O354" i="13"/>
  <c r="N354" i="13"/>
  <c r="AB111" i="13"/>
  <c r="O377" i="13"/>
  <c r="N377" i="13"/>
  <c r="AB134" i="13"/>
  <c r="M331" i="13"/>
  <c r="F331" i="13" s="1" a="1"/>
  <c r="F331" i="13" s="1"/>
  <c r="N331" i="13"/>
  <c r="AB104" i="13"/>
  <c r="N358" i="13"/>
  <c r="O358" i="13"/>
  <c r="AB115" i="13"/>
  <c r="M316" i="13"/>
  <c r="F316" i="13" s="1" a="1"/>
  <c r="F316" i="13" s="1"/>
  <c r="N316" i="13"/>
  <c r="N315" i="13"/>
  <c r="M315" i="13"/>
  <c r="F315" i="13" s="1" a="1"/>
  <c r="F315" i="13" s="1"/>
  <c r="O390" i="13"/>
  <c r="N390" i="13"/>
  <c r="AB147" i="13"/>
  <c r="M327" i="13"/>
  <c r="F327" i="13" s="1" a="1"/>
  <c r="F327" i="13" s="1"/>
  <c r="N327" i="13"/>
  <c r="N368" i="13"/>
  <c r="O368" i="13"/>
  <c r="AB125" i="13"/>
  <c r="N336" i="13"/>
  <c r="M336" i="13"/>
  <c r="F336" i="13" s="1" a="1"/>
  <c r="F336" i="13" s="1"/>
  <c r="O356" i="13"/>
  <c r="N356" i="13"/>
  <c r="AB113" i="13"/>
  <c r="N324" i="13"/>
  <c r="M324" i="13"/>
  <c r="F324" i="13" s="1" a="1"/>
  <c r="F324" i="13" s="1"/>
  <c r="M309" i="13"/>
  <c r="F309" i="13" s="1" a="1"/>
  <c r="F309" i="13" s="1"/>
  <c r="N309" i="13"/>
  <c r="N360" i="13"/>
  <c r="O360" i="13"/>
  <c r="AB117" i="13"/>
  <c r="N293" i="13"/>
  <c r="M293" i="13"/>
  <c r="F293" i="13" s="1" a="1"/>
  <c r="F293" i="13" s="1"/>
  <c r="M343" i="13"/>
  <c r="F343" i="13" s="1" a="1"/>
  <c r="F343" i="13" s="1"/>
  <c r="N343" i="13"/>
  <c r="AB100" i="13"/>
  <c r="N296" i="13"/>
  <c r="M296" i="13"/>
  <c r="N387" i="13"/>
  <c r="O387" i="13"/>
  <c r="AB144" i="13"/>
  <c r="N382" i="13"/>
  <c r="O382" i="13"/>
  <c r="AB139" i="13"/>
  <c r="N381" i="13"/>
  <c r="O381" i="13"/>
  <c r="AB138" i="13"/>
  <c r="N325" i="13"/>
  <c r="M325" i="13"/>
  <c r="F325" i="13" s="1" a="1"/>
  <c r="F325" i="13" s="1"/>
  <c r="N362" i="13"/>
  <c r="O362" i="13"/>
  <c r="AB119" i="13"/>
  <c r="M335" i="13"/>
  <c r="F335" i="13" s="1" a="1"/>
  <c r="F335" i="13" s="1"/>
  <c r="N335" i="13"/>
  <c r="N291" i="13"/>
  <c r="M321" i="13"/>
  <c r="F321" i="13" s="1" a="1"/>
  <c r="F321" i="13" s="1"/>
  <c r="N321" i="13"/>
  <c r="N370" i="13"/>
  <c r="O370" i="13"/>
  <c r="AB127" i="13"/>
  <c r="N339" i="13"/>
  <c r="M339" i="13"/>
  <c r="F339" i="13" s="1" a="1"/>
  <c r="F339" i="13" s="1"/>
  <c r="N338" i="13"/>
  <c r="M338" i="13"/>
  <c r="F338" i="13" s="1" a="1"/>
  <c r="F338" i="13" s="1"/>
  <c r="N317" i="13"/>
  <c r="M317" i="13"/>
  <c r="F317" i="13" s="1" a="1"/>
  <c r="F317" i="13" s="1"/>
  <c r="M328" i="13"/>
  <c r="F328" i="13" s="1" a="1"/>
  <c r="F328" i="13" s="1"/>
  <c r="N328" i="13"/>
  <c r="M308" i="13"/>
  <c r="F308" i="13" s="1" a="1"/>
  <c r="F308" i="13" s="1"/>
  <c r="N308" i="13"/>
  <c r="Z15" i="28"/>
  <c r="N292" i="13"/>
  <c r="M292" i="13"/>
  <c r="F292" i="13" s="1" a="1"/>
  <c r="F292" i="13" s="1"/>
  <c r="O352" i="13"/>
  <c r="N352" i="13"/>
  <c r="AB109" i="13"/>
  <c r="O351" i="13"/>
  <c r="N351" i="13"/>
  <c r="AB108" i="13"/>
  <c r="N367" i="13"/>
  <c r="O367" i="13"/>
  <c r="AB124" i="13"/>
  <c r="O388" i="13"/>
  <c r="N388" i="13"/>
  <c r="AB145" i="13"/>
  <c r="N295" i="13"/>
  <c r="M320" i="13"/>
  <c r="F320" i="13" s="1" a="1"/>
  <c r="F320" i="13" s="1"/>
  <c r="N320" i="13"/>
  <c r="N313" i="13"/>
  <c r="M313" i="13"/>
  <c r="F313" i="13" s="1" a="1"/>
  <c r="F313" i="13" s="1"/>
  <c r="M344" i="13"/>
  <c r="F344" i="13" s="1" a="1"/>
  <c r="F344" i="13" s="1"/>
  <c r="N344" i="13"/>
  <c r="AB101" i="13"/>
  <c r="Y15" i="28"/>
  <c r="O384" i="13"/>
  <c r="N384" i="13"/>
  <c r="AB141" i="13"/>
  <c r="M322" i="13"/>
  <c r="F322" i="13" s="1" a="1"/>
  <c r="F322" i="13" s="1"/>
  <c r="N322" i="13"/>
  <c r="M346" i="13"/>
  <c r="F346" i="13" s="1" a="1"/>
  <c r="F346" i="13" s="1"/>
  <c r="N346" i="13"/>
  <c r="AB103" i="13"/>
  <c r="N318" i="13"/>
  <c r="M318" i="13"/>
  <c r="F318" i="13" s="1" a="1"/>
  <c r="F318" i="13" s="1"/>
  <c r="N326" i="13"/>
  <c r="M326" i="13"/>
  <c r="F326" i="13" s="1" a="1"/>
  <c r="F326" i="13" s="1"/>
  <c r="BD169" i="13"/>
  <c r="M334" i="13"/>
  <c r="F334" i="13" s="1" a="1"/>
  <c r="F334" i="13" s="1"/>
  <c r="N334" i="13"/>
  <c r="BE169" i="13"/>
  <c r="N329" i="13"/>
  <c r="M329" i="13"/>
  <c r="F329" i="13" s="1" a="1"/>
  <c r="F329" i="13" s="1"/>
  <c r="BF169" i="13"/>
  <c r="BH169" i="13"/>
  <c r="O372" i="13"/>
  <c r="N372" i="13"/>
  <c r="AB129" i="13"/>
  <c r="M310" i="13"/>
  <c r="F310" i="13" s="1" a="1"/>
  <c r="F310" i="13" s="1"/>
  <c r="N310" i="13"/>
  <c r="O369" i="13"/>
  <c r="N369" i="13"/>
  <c r="AB126" i="13"/>
  <c r="O353" i="13"/>
  <c r="N353" i="13"/>
  <c r="AB110" i="13"/>
  <c r="N373" i="13"/>
  <c r="O373" i="13"/>
  <c r="AB130" i="13"/>
  <c r="N380" i="13"/>
  <c r="O380" i="13"/>
  <c r="AB137" i="13"/>
  <c r="N314" i="13"/>
  <c r="M314" i="13"/>
  <c r="F314" i="13" s="1" a="1"/>
  <c r="F314" i="13" s="1"/>
  <c r="M294" i="13"/>
  <c r="N294" i="13"/>
  <c r="N383" i="13"/>
  <c r="O383" i="13"/>
  <c r="AB140" i="13"/>
  <c r="O355" i="13"/>
  <c r="N355" i="13"/>
  <c r="AB112" i="13"/>
  <c r="N341" i="13"/>
  <c r="M341" i="13"/>
  <c r="F341" i="13" s="1" a="1"/>
  <c r="F341" i="13" s="1"/>
  <c r="M302" i="13"/>
  <c r="F302" i="13" s="1" a="1"/>
  <c r="F302" i="13" s="1"/>
  <c r="N302" i="13"/>
  <c r="N364" i="13"/>
  <c r="O364" i="13"/>
  <c r="AB121" i="13"/>
  <c r="N363" i="13"/>
  <c r="O363" i="13"/>
  <c r="AB120" i="13"/>
  <c r="N299" i="13"/>
  <c r="M299" i="13"/>
  <c r="F299" i="13" s="1" a="1"/>
  <c r="F299" i="13" s="1"/>
  <c r="O389" i="13"/>
  <c r="N389" i="13"/>
  <c r="AB146" i="13"/>
  <c r="O359" i="13"/>
  <c r="N359" i="13"/>
  <c r="AB116" i="13"/>
  <c r="M298" i="13"/>
  <c r="F298" i="13" s="1" a="1"/>
  <c r="F298" i="13" s="1"/>
  <c r="N298" i="13"/>
  <c r="N311" i="13"/>
  <c r="M311" i="13"/>
  <c r="F311" i="13" s="1" a="1"/>
  <c r="F311" i="13" s="1"/>
  <c r="M301" i="13"/>
  <c r="F301" i="13" s="1" a="1"/>
  <c r="F301" i="13" s="1"/>
  <c r="N301" i="13"/>
  <c r="M330" i="13"/>
  <c r="F330" i="13" s="1" a="1"/>
  <c r="F330" i="13" s="1"/>
  <c r="N330" i="13"/>
  <c r="BI169" i="13"/>
  <c r="O376" i="13"/>
  <c r="N376" i="13"/>
  <c r="AB133" i="13"/>
  <c r="O375" i="13"/>
  <c r="N375" i="13"/>
  <c r="AB132" i="13"/>
  <c r="N386" i="13"/>
  <c r="O386" i="13"/>
  <c r="AB143" i="13"/>
  <c r="N345" i="13"/>
  <c r="M345" i="13"/>
  <c r="F345" i="13" s="1" a="1"/>
  <c r="F345" i="13" s="1"/>
  <c r="AB102" i="13"/>
  <c r="N305" i="13"/>
  <c r="M305" i="13"/>
  <c r="F305" i="13" s="1" a="1"/>
  <c r="F305" i="13" s="1"/>
  <c r="N337" i="13"/>
  <c r="M337" i="13"/>
  <c r="F337" i="13" s="1" a="1"/>
  <c r="F337" i="13" s="1"/>
  <c r="N300" i="13"/>
  <c r="M300" i="13"/>
  <c r="F300" i="13" s="1" a="1"/>
  <c r="F300" i="13" s="1"/>
  <c r="N297" i="13"/>
  <c r="M297" i="13"/>
  <c r="F297" i="13" s="1" a="1"/>
  <c r="F297" i="13" s="1"/>
  <c r="N379" i="13"/>
  <c r="O379" i="13"/>
  <c r="AB136" i="13"/>
  <c r="O357" i="13"/>
  <c r="N357" i="13"/>
  <c r="AB114" i="13"/>
  <c r="N374" i="13"/>
  <c r="O374" i="13"/>
  <c r="AB131" i="13"/>
  <c r="N332" i="13"/>
  <c r="M332" i="13"/>
  <c r="F332" i="13" s="1" a="1"/>
  <c r="F332" i="13" s="1"/>
  <c r="F291" i="13" l="1" a="1"/>
  <c r="F291" i="13" s="1"/>
  <c r="C111" i="10"/>
  <c r="F296" i="13" a="1"/>
  <c r="F296" i="13" s="1"/>
  <c r="C109" i="10"/>
  <c r="C103" i="10"/>
  <c r="F294" i="13" a="1"/>
  <c r="F294" i="13" s="1"/>
  <c r="S165" i="13" a="1"/>
  <c r="S165" i="13" s="1"/>
  <c r="S161" i="13" a="1"/>
  <c r="S161" i="13" s="1"/>
  <c r="S162" i="13" a="1"/>
  <c r="S162" i="13" s="1"/>
  <c r="S163" i="13" a="1"/>
  <c r="S163" i="13" s="1"/>
  <c r="C99" i="10"/>
  <c r="E26" i="22"/>
  <c r="D26" i="22"/>
  <c r="C98" i="10"/>
  <c r="C26" i="22"/>
  <c r="E166" i="10"/>
  <c r="D158" i="10"/>
  <c r="D173" i="10"/>
  <c r="D163" i="10"/>
  <c r="D157" i="10"/>
  <c r="D159" i="10"/>
  <c r="D174" i="10"/>
  <c r="E171" i="10"/>
  <c r="E174" i="10"/>
  <c r="E175" i="10"/>
  <c r="D169" i="10"/>
  <c r="E168" i="10"/>
  <c r="D160" i="10"/>
  <c r="D175" i="10"/>
  <c r="E169" i="10"/>
  <c r="D161" i="10"/>
  <c r="D176" i="10"/>
  <c r="D162" i="10"/>
  <c r="D171" i="10"/>
  <c r="E160" i="10"/>
  <c r="E162" i="10"/>
  <c r="E157" i="10"/>
  <c r="D168" i="10"/>
  <c r="E176" i="10"/>
  <c r="E163" i="10"/>
  <c r="E158" i="10"/>
  <c r="E172" i="10"/>
  <c r="D164" i="10"/>
  <c r="E159" i="10"/>
  <c r="E173" i="10"/>
  <c r="D165" i="10"/>
  <c r="D166" i="10"/>
  <c r="E161" i="10"/>
  <c r="D172" i="10"/>
  <c r="E164" i="10"/>
  <c r="E165" i="10"/>
  <c r="M289" i="13"/>
  <c r="AA272" i="13" s="1"/>
  <c r="D306" i="13"/>
  <c r="D377" i="13"/>
  <c r="D373" i="13"/>
  <c r="D329" i="13"/>
  <c r="D318" i="13"/>
  <c r="D320" i="13"/>
  <c r="D308" i="13"/>
  <c r="D343" i="13"/>
  <c r="D309" i="13"/>
  <c r="D319" i="13"/>
  <c r="D303" i="13"/>
  <c r="D360" i="13"/>
  <c r="D386" i="13"/>
  <c r="D348" i="13"/>
  <c r="D384" i="13"/>
  <c r="D325" i="13"/>
  <c r="D358" i="13"/>
  <c r="D331" i="13"/>
  <c r="D356" i="13"/>
  <c r="D327" i="13"/>
  <c r="D353" i="13"/>
  <c r="D330" i="13"/>
  <c r="D302" i="13"/>
  <c r="D321" i="13"/>
  <c r="D324" i="13"/>
  <c r="D369" i="13"/>
  <c r="D351" i="13"/>
  <c r="D366" i="13"/>
  <c r="D322" i="13"/>
  <c r="D379" i="13"/>
  <c r="D387" i="13"/>
  <c r="D345" i="13"/>
  <c r="D297" i="13"/>
  <c r="D341" i="13"/>
  <c r="D310" i="13"/>
  <c r="D328" i="13"/>
  <c r="D385" i="13"/>
  <c r="D357" i="13"/>
  <c r="D389" i="13"/>
  <c r="D342" i="13"/>
  <c r="D300" i="13"/>
  <c r="D295" i="13"/>
  <c r="D333" i="13"/>
  <c r="D304" i="13"/>
  <c r="D378" i="13"/>
  <c r="D388" i="13"/>
  <c r="D390" i="13"/>
  <c r="D323" i="13"/>
  <c r="D299" i="13"/>
  <c r="D334" i="13"/>
  <c r="D346" i="13"/>
  <c r="D344" i="13"/>
  <c r="D336" i="13"/>
  <c r="D316" i="13"/>
  <c r="D307" i="13"/>
  <c r="D340" i="13"/>
  <c r="D352" i="13"/>
  <c r="D355" i="13"/>
  <c r="D363" i="13"/>
  <c r="D381" i="13"/>
  <c r="D383" i="13"/>
  <c r="D326" i="13"/>
  <c r="D317" i="13"/>
  <c r="D350" i="13"/>
  <c r="D371" i="13"/>
  <c r="D339" i="13"/>
  <c r="D335" i="13"/>
  <c r="D367" i="13"/>
  <c r="D362" i="13"/>
  <c r="D372" i="13"/>
  <c r="D354" i="13"/>
  <c r="D312" i="13"/>
  <c r="D305" i="13"/>
  <c r="D301" i="13"/>
  <c r="D315" i="13"/>
  <c r="D376" i="13"/>
  <c r="D332" i="13"/>
  <c r="D311" i="13"/>
  <c r="D338" i="13"/>
  <c r="D382" i="13"/>
  <c r="D337" i="13"/>
  <c r="D313" i="13"/>
  <c r="D349" i="13"/>
  <c r="D359" i="13"/>
  <c r="D370" i="13"/>
  <c r="D365" i="13"/>
  <c r="D374" i="13"/>
  <c r="D361" i="13"/>
  <c r="D314" i="13"/>
  <c r="D347" i="13"/>
  <c r="D380" i="13"/>
  <c r="D298" i="13"/>
  <c r="D364" i="13"/>
  <c r="D368" i="13"/>
  <c r="D375" i="13"/>
  <c r="F408" i="13"/>
  <c r="F411" i="13"/>
  <c r="F420" i="13"/>
  <c r="F401" i="13"/>
  <c r="F417" i="13"/>
  <c r="F415" i="13"/>
  <c r="F418" i="13"/>
  <c r="F409" i="13"/>
  <c r="F413" i="13"/>
  <c r="F407" i="13"/>
  <c r="F403" i="13"/>
  <c r="F410" i="13"/>
  <c r="F404" i="13"/>
  <c r="F412" i="13"/>
  <c r="F405" i="13"/>
  <c r="F414" i="13"/>
  <c r="F419" i="13"/>
  <c r="F416" i="13"/>
  <c r="F406" i="13"/>
  <c r="F402" i="13"/>
  <c r="V272" i="13"/>
  <c r="R160" i="13"/>
  <c r="R159" i="13" s="1"/>
  <c r="U158" i="13"/>
  <c r="T166" i="13"/>
  <c r="BO15" i="28"/>
  <c r="AG272" i="13" l="1"/>
  <c r="AB272" i="13"/>
  <c r="T162" i="13" a="1"/>
  <c r="T162" i="13" s="1"/>
  <c r="T165" i="13" a="1"/>
  <c r="T165" i="13" s="1"/>
  <c r="T161" i="13" a="1"/>
  <c r="T161" i="13" s="1"/>
  <c r="T163" i="13" a="1"/>
  <c r="T163" i="13" s="1"/>
  <c r="C91" i="10"/>
  <c r="D103" i="10"/>
  <c r="D99" i="10"/>
  <c r="D100" i="10"/>
  <c r="D101" i="10"/>
  <c r="D102" i="10"/>
  <c r="D98" i="10"/>
  <c r="Z272" i="13"/>
  <c r="F421" i="13"/>
  <c r="B32" i="26"/>
  <c r="P272" i="13"/>
  <c r="Q272" i="13"/>
  <c r="U272" i="13"/>
  <c r="F272" i="13"/>
  <c r="R272" i="13"/>
  <c r="S272" i="13"/>
  <c r="I272" i="13"/>
  <c r="T272" i="13"/>
  <c r="K272" i="13"/>
  <c r="E272" i="13"/>
  <c r="O272" i="13"/>
  <c r="L272" i="13"/>
  <c r="M272" i="13"/>
  <c r="Y272" i="13"/>
  <c r="N272" i="13"/>
  <c r="Y158" i="13"/>
  <c r="U166" i="13"/>
  <c r="S160" i="13"/>
  <c r="S159" i="13" s="1"/>
  <c r="BT8" i="1"/>
  <c r="BT9" i="1"/>
  <c r="BT10" i="1"/>
  <c r="BT11" i="1"/>
  <c r="BT12" i="1"/>
  <c r="BT13" i="1"/>
  <c r="BT14" i="1"/>
  <c r="BT15" i="1"/>
  <c r="BT16" i="1"/>
  <c r="BT17" i="1"/>
  <c r="BT18" i="1"/>
  <c r="BT19" i="1"/>
  <c r="BT20" i="1"/>
  <c r="BT21" i="1"/>
  <c r="BT22" i="1"/>
  <c r="BT23" i="1"/>
  <c r="BT24" i="1"/>
  <c r="BT25" i="1"/>
  <c r="BT26" i="1"/>
  <c r="BT27" i="1"/>
  <c r="BT28" i="1"/>
  <c r="BT29" i="1"/>
  <c r="BT30" i="1"/>
  <c r="BT31" i="1"/>
  <c r="BT32" i="1"/>
  <c r="BT33" i="1"/>
  <c r="BT34" i="1"/>
  <c r="BT35" i="1"/>
  <c r="BT36" i="1"/>
  <c r="BT37" i="1"/>
  <c r="BT38" i="1"/>
  <c r="BT39" i="1"/>
  <c r="BT40" i="1"/>
  <c r="BT41" i="1"/>
  <c r="BT42" i="1"/>
  <c r="BT43" i="1"/>
  <c r="BT44" i="1"/>
  <c r="BT45" i="1"/>
  <c r="BT46" i="1"/>
  <c r="BT47" i="1"/>
  <c r="BT48" i="1"/>
  <c r="BT49" i="1"/>
  <c r="BT50" i="1"/>
  <c r="BT51" i="1"/>
  <c r="BT52" i="1"/>
  <c r="BT53" i="1"/>
  <c r="BT54" i="1"/>
  <c r="BT55" i="1"/>
  <c r="BT56" i="1"/>
  <c r="BT57" i="1"/>
  <c r="BT58" i="1"/>
  <c r="BT59" i="1"/>
  <c r="BT60" i="1"/>
  <c r="BT61" i="1"/>
  <c r="BT62" i="1"/>
  <c r="BT63" i="1"/>
  <c r="BT64" i="1"/>
  <c r="BT65" i="1"/>
  <c r="BT66" i="1"/>
  <c r="BT67" i="1"/>
  <c r="BT68" i="1"/>
  <c r="BT69" i="1"/>
  <c r="BT70" i="1"/>
  <c r="BT71" i="1"/>
  <c r="BT72" i="1"/>
  <c r="BT73" i="1"/>
  <c r="BT74" i="1"/>
  <c r="BT75" i="1"/>
  <c r="BT76" i="1"/>
  <c r="BT77" i="1"/>
  <c r="BT78" i="1"/>
  <c r="BT79" i="1"/>
  <c r="BT7" i="1"/>
  <c r="C56" i="10"/>
  <c r="C24" i="10"/>
  <c r="U162" i="13" l="1" a="1"/>
  <c r="U162" i="13" s="1"/>
  <c r="U161" i="13" a="1"/>
  <c r="U161" i="13" s="1"/>
  <c r="U165" i="13" a="1"/>
  <c r="U165" i="13" s="1"/>
  <c r="U163" i="13" a="1"/>
  <c r="U163" i="13" s="1"/>
  <c r="Y166" i="13"/>
  <c r="Z158" i="13"/>
  <c r="T160" i="13"/>
  <c r="T159" i="13" s="1"/>
  <c r="C59" i="10"/>
  <c r="Y162" i="13" l="1" a="1"/>
  <c r="Y162" i="13" s="1"/>
  <c r="Y163" i="13" a="1"/>
  <c r="Y163" i="13" s="1"/>
  <c r="Y165" i="13" a="1"/>
  <c r="Y165" i="13" s="1"/>
  <c r="Y161" i="13" a="1"/>
  <c r="Y161" i="13" s="1"/>
  <c r="AA158" i="13"/>
  <c r="Z166" i="13"/>
  <c r="U160" i="13"/>
  <c r="U159" i="13" s="1"/>
  <c r="H21" i="28"/>
  <c r="H22" i="28"/>
  <c r="H23" i="28"/>
  <c r="H24" i="28"/>
  <c r="H25" i="28"/>
  <c r="H26" i="28"/>
  <c r="H27" i="28"/>
  <c r="H28" i="28"/>
  <c r="H29" i="28"/>
  <c r="H30" i="28"/>
  <c r="H31" i="28"/>
  <c r="H32" i="28"/>
  <c r="H15" i="28"/>
  <c r="H16" i="28"/>
  <c r="H17" i="28"/>
  <c r="H18" i="28"/>
  <c r="H19" i="28"/>
  <c r="Z162" i="13" l="1" a="1"/>
  <c r="Z162" i="13" s="1"/>
  <c r="Z163" i="13" a="1"/>
  <c r="Z163" i="13" s="1"/>
  <c r="Z165" i="13" a="1"/>
  <c r="Z165" i="13" s="1"/>
  <c r="Z161" i="13" a="1"/>
  <c r="Z161" i="13" s="1"/>
  <c r="Y160" i="13"/>
  <c r="Y159" i="13" s="1"/>
  <c r="AB158" i="13"/>
  <c r="AG158" i="13" s="1"/>
  <c r="AA166" i="13"/>
  <c r="C88" i="31"/>
  <c r="AA161" i="13" l="1" a="1"/>
  <c r="AA161" i="13" s="1"/>
  <c r="AA165" i="13" a="1"/>
  <c r="AA165" i="13" s="1"/>
  <c r="AA162" i="13" a="1"/>
  <c r="AA162" i="13" s="1"/>
  <c r="AA163" i="13" a="1"/>
  <c r="AA163" i="13" s="1"/>
  <c r="AB166" i="13"/>
  <c r="AH158" i="13"/>
  <c r="Z160" i="13"/>
  <c r="Z159" i="13" s="1"/>
  <c r="B26" i="26"/>
  <c r="B24" i="26"/>
  <c r="B28" i="26"/>
  <c r="AB161" i="13" l="1" a="1"/>
  <c r="AB161" i="13" s="1"/>
  <c r="AB162" i="13" a="1"/>
  <c r="AB162" i="13" s="1"/>
  <c r="AB163" i="13" a="1"/>
  <c r="AB163" i="13" s="1"/>
  <c r="AB165" i="13" a="1"/>
  <c r="AB165" i="13" s="1"/>
  <c r="AA160" i="13"/>
  <c r="AA159" i="13" s="1"/>
  <c r="BN32" i="28"/>
  <c r="BO32" i="28" s="1"/>
  <c r="D32" i="28"/>
  <c r="C32" i="28"/>
  <c r="BN31" i="28"/>
  <c r="BO31" i="28" s="1"/>
  <c r="BU31" i="28" s="1"/>
  <c r="D31" i="28"/>
  <c r="C31" i="28"/>
  <c r="BN30" i="28"/>
  <c r="BO30" i="28" s="1"/>
  <c r="BU30" i="28" s="1"/>
  <c r="D30" i="28"/>
  <c r="C30" i="28"/>
  <c r="BN29" i="28"/>
  <c r="BO29" i="28" s="1"/>
  <c r="D29" i="28"/>
  <c r="C29" i="28"/>
  <c r="BN28" i="28"/>
  <c r="BO28" i="28" s="1"/>
  <c r="D28" i="28"/>
  <c r="C28" i="28"/>
  <c r="BN27" i="28"/>
  <c r="BO27" i="28" s="1"/>
  <c r="D27" i="28"/>
  <c r="C27" i="28"/>
  <c r="BN26" i="28"/>
  <c r="BO26" i="28" s="1"/>
  <c r="D26" i="28"/>
  <c r="C26" i="28"/>
  <c r="BN25" i="28"/>
  <c r="BO25" i="28" s="1"/>
  <c r="D25" i="28"/>
  <c r="C25" i="28"/>
  <c r="BN24" i="28"/>
  <c r="BO24" i="28" s="1"/>
  <c r="BU24" i="28" s="1"/>
  <c r="D24" i="28"/>
  <c r="C24" i="28"/>
  <c r="BN23" i="28"/>
  <c r="BO23" i="28" s="1"/>
  <c r="D23" i="28"/>
  <c r="C23" i="28"/>
  <c r="BN22" i="28"/>
  <c r="BO22" i="28" s="1"/>
  <c r="D22" i="28"/>
  <c r="C22" i="28"/>
  <c r="BN21" i="28"/>
  <c r="BO21" i="28" s="1"/>
  <c r="D21" i="28"/>
  <c r="C21" i="28"/>
  <c r="BN20" i="28"/>
  <c r="BO20" i="28" s="1"/>
  <c r="BU20" i="28" s="1"/>
  <c r="BN19" i="28"/>
  <c r="BO19" i="28" s="1"/>
  <c r="D19" i="28"/>
  <c r="C19" i="28"/>
  <c r="BN18" i="28"/>
  <c r="BO18" i="28" s="1"/>
  <c r="BU18" i="28" s="1"/>
  <c r="D18" i="28"/>
  <c r="C18" i="28"/>
  <c r="BN17" i="28"/>
  <c r="BO17" i="28" s="1"/>
  <c r="D17" i="28"/>
  <c r="C17" i="28"/>
  <c r="BN16" i="28"/>
  <c r="D16" i="28"/>
  <c r="C16" i="28"/>
  <c r="D15" i="28"/>
  <c r="C15" i="28"/>
  <c r="AB160" i="13" l="1"/>
  <c r="AB159" i="13" s="1"/>
  <c r="BO16" i="28"/>
  <c r="BU16" i="28" s="1"/>
  <c r="BU25" i="28"/>
  <c r="BU22" i="28"/>
  <c r="BU27" i="28"/>
  <c r="BU28" i="28"/>
  <c r="BU26" i="28"/>
  <c r="BU29" i="28"/>
  <c r="BU23" i="28"/>
  <c r="BU17" i="28"/>
  <c r="BU19" i="28"/>
  <c r="BU21" i="28"/>
  <c r="BU32" i="28"/>
  <c r="BN33" i="28"/>
  <c r="BO33" i="28" l="1"/>
  <c r="BU15" i="28"/>
  <c r="BU33" i="28" s="1"/>
  <c r="C41" i="27" l="1"/>
  <c r="I41" i="27" s="1"/>
  <c r="C35" i="27"/>
  <c r="I35" i="27" s="1"/>
  <c r="C19" i="27"/>
  <c r="C18" i="27"/>
  <c r="C17" i="27"/>
  <c r="C13" i="27"/>
  <c r="I40" i="27"/>
  <c r="C25" i="10" l="1"/>
  <c r="H20" i="28" l="1"/>
  <c r="D20" i="28" l="1"/>
  <c r="C20" i="28"/>
  <c r="E2" i="25"/>
  <c r="E3" i="25"/>
  <c r="E4" i="25"/>
  <c r="E5" i="25"/>
  <c r="E6" i="25"/>
  <c r="E7" i="25"/>
  <c r="E8" i="25"/>
  <c r="E9" i="25"/>
  <c r="E10" i="25"/>
  <c r="E11" i="25"/>
  <c r="E12" i="25"/>
  <c r="E13" i="25"/>
  <c r="E14" i="25"/>
  <c r="E15" i="25"/>
  <c r="E16" i="25"/>
  <c r="E17" i="25"/>
  <c r="E18" i="25"/>
  <c r="E19" i="25"/>
  <c r="E20" i="25"/>
  <c r="E21" i="25"/>
  <c r="E22" i="25"/>
  <c r="L111" i="9"/>
  <c r="L112" i="9"/>
  <c r="L113" i="9"/>
  <c r="L114" i="9"/>
  <c r="L115" i="9"/>
  <c r="L116" i="9"/>
  <c r="L117" i="9"/>
  <c r="L118" i="9"/>
  <c r="L119" i="9"/>
  <c r="L120" i="9"/>
  <c r="L121" i="9"/>
  <c r="L122" i="9"/>
  <c r="L123" i="9"/>
  <c r="L84" i="9"/>
  <c r="L85" i="9"/>
  <c r="L86" i="9"/>
  <c r="L87" i="9"/>
  <c r="L88" i="9"/>
  <c r="L89" i="9"/>
  <c r="L90" i="9"/>
  <c r="L91" i="9"/>
  <c r="L92" i="9"/>
  <c r="L93" i="9"/>
  <c r="L94" i="9"/>
  <c r="L95" i="9"/>
  <c r="L96" i="9"/>
  <c r="L97" i="9"/>
  <c r="L98" i="9"/>
  <c r="L99" i="9"/>
  <c r="L100" i="9"/>
  <c r="L101" i="9"/>
  <c r="L102" i="9"/>
  <c r="L103" i="9"/>
  <c r="L104" i="9"/>
  <c r="L105" i="9"/>
  <c r="L106" i="9"/>
  <c r="L107" i="9"/>
  <c r="L108" i="9"/>
  <c r="L109" i="9"/>
  <c r="L110" i="9"/>
  <c r="H40" i="22"/>
  <c r="H37" i="22"/>
  <c r="H36" i="22"/>
  <c r="H35" i="22"/>
  <c r="F40" i="22"/>
  <c r="F38" i="22"/>
  <c r="F37" i="22"/>
  <c r="F36" i="22"/>
  <c r="F35" i="22"/>
  <c r="D40" i="22"/>
  <c r="D38" i="22"/>
  <c r="D37" i="22"/>
  <c r="D36" i="22"/>
  <c r="D35" i="22"/>
  <c r="C36" i="27"/>
  <c r="I36" i="27" s="1"/>
  <c r="L78" i="9"/>
  <c r="L79" i="9"/>
  <c r="L80" i="9"/>
  <c r="L81" i="9"/>
  <c r="L82" i="9"/>
  <c r="L83" i="9"/>
  <c r="K16" i="28"/>
  <c r="K17" i="28"/>
  <c r="E130" i="25"/>
  <c r="E131" i="25"/>
  <c r="E132" i="25"/>
  <c r="E133" i="25"/>
  <c r="E134" i="25"/>
  <c r="E135" i="25"/>
  <c r="E136" i="25"/>
  <c r="E137" i="25"/>
  <c r="E138" i="25"/>
  <c r="E139" i="25"/>
  <c r="E140" i="25"/>
  <c r="E141" i="25"/>
  <c r="E142" i="25"/>
  <c r="E143" i="25"/>
  <c r="E144" i="25"/>
  <c r="E145" i="25"/>
  <c r="E146" i="25"/>
  <c r="E147" i="25"/>
  <c r="E148" i="25"/>
  <c r="E149" i="25"/>
  <c r="E150" i="25"/>
  <c r="E151" i="25"/>
  <c r="E152" i="25"/>
  <c r="E153" i="25"/>
  <c r="E154" i="25"/>
  <c r="E155" i="25"/>
  <c r="E156" i="25"/>
  <c r="E157" i="25"/>
  <c r="E158" i="25"/>
  <c r="E159" i="25"/>
  <c r="E160" i="25"/>
  <c r="E161" i="25"/>
  <c r="E162" i="25"/>
  <c r="E163" i="25"/>
  <c r="E164" i="25"/>
  <c r="E165" i="25"/>
  <c r="E166" i="25"/>
  <c r="E167" i="25"/>
  <c r="E168" i="25"/>
  <c r="E169" i="25"/>
  <c r="E170" i="25"/>
  <c r="E171" i="25"/>
  <c r="E172" i="25"/>
  <c r="E173" i="25"/>
  <c r="E174" i="25"/>
  <c r="E175" i="25"/>
  <c r="E176" i="25"/>
  <c r="E177" i="25"/>
  <c r="E178" i="25"/>
  <c r="E179" i="25"/>
  <c r="E180" i="25"/>
  <c r="E181" i="25"/>
  <c r="E182" i="25"/>
  <c r="E183" i="25"/>
  <c r="E184" i="25"/>
  <c r="E185" i="25"/>
  <c r="E186" i="25"/>
  <c r="E187" i="25"/>
  <c r="E188" i="25"/>
  <c r="E189" i="25"/>
  <c r="E190" i="25"/>
  <c r="E191" i="25"/>
  <c r="E192" i="25"/>
  <c r="E193" i="25"/>
  <c r="E194" i="25"/>
  <c r="E195" i="25"/>
  <c r="E196" i="25"/>
  <c r="E197" i="25"/>
  <c r="E198" i="25"/>
  <c r="E199" i="25"/>
  <c r="E200" i="25"/>
  <c r="E201" i="25"/>
  <c r="E202" i="25"/>
  <c r="E203" i="25"/>
  <c r="E204" i="25"/>
  <c r="E205" i="25"/>
  <c r="E206" i="25"/>
  <c r="E207" i="25"/>
  <c r="E208" i="25"/>
  <c r="E209" i="25"/>
  <c r="E210" i="25"/>
  <c r="E211" i="25"/>
  <c r="E212" i="25"/>
  <c r="E213" i="25"/>
  <c r="E214" i="25"/>
  <c r="E215" i="25"/>
  <c r="E216" i="25"/>
  <c r="E217" i="25"/>
  <c r="E218" i="25"/>
  <c r="E219" i="25"/>
  <c r="E220" i="25"/>
  <c r="E221" i="25"/>
  <c r="E222" i="25"/>
  <c r="E223" i="25"/>
  <c r="E224" i="25"/>
  <c r="E225" i="25"/>
  <c r="E226" i="25"/>
  <c r="E227" i="25"/>
  <c r="E228" i="25"/>
  <c r="E229" i="25"/>
  <c r="E230" i="25"/>
  <c r="E231" i="25"/>
  <c r="E232" i="25"/>
  <c r="E233" i="25"/>
  <c r="E234" i="25"/>
  <c r="E235" i="25"/>
  <c r="E236" i="25"/>
  <c r="E237" i="25"/>
  <c r="E238" i="25"/>
  <c r="E239" i="25"/>
  <c r="E240" i="25"/>
  <c r="E241" i="25"/>
  <c r="E242" i="25"/>
  <c r="E243" i="25"/>
  <c r="E244" i="25"/>
  <c r="E245" i="25"/>
  <c r="E246" i="25"/>
  <c r="E247" i="25"/>
  <c r="E248" i="25"/>
  <c r="E249" i="25"/>
  <c r="E250" i="25"/>
  <c r="E251" i="25"/>
  <c r="E252" i="25"/>
  <c r="E253" i="25"/>
  <c r="E254" i="25"/>
  <c r="E255" i="25"/>
  <c r="E256" i="25"/>
  <c r="E257" i="25"/>
  <c r="E258" i="25"/>
  <c r="E259" i="25"/>
  <c r="E260" i="25"/>
  <c r="E261" i="25"/>
  <c r="E262" i="25"/>
  <c r="E263" i="25"/>
  <c r="E264" i="25"/>
  <c r="E265" i="25"/>
  <c r="E266" i="25"/>
  <c r="E267" i="25"/>
  <c r="E268" i="25"/>
  <c r="E269" i="25"/>
  <c r="E270" i="25"/>
  <c r="E271" i="25"/>
  <c r="E272" i="25"/>
  <c r="E273" i="25"/>
  <c r="E274" i="25"/>
  <c r="E275" i="25"/>
  <c r="E276" i="25"/>
  <c r="E277" i="25"/>
  <c r="E278" i="25"/>
  <c r="E279" i="25"/>
  <c r="E280" i="25"/>
  <c r="E281" i="25"/>
  <c r="E282" i="25"/>
  <c r="E283" i="25"/>
  <c r="E284" i="25"/>
  <c r="E285" i="25"/>
  <c r="E286" i="25"/>
  <c r="E287" i="25"/>
  <c r="E288" i="25"/>
  <c r="E289" i="25"/>
  <c r="E290" i="25"/>
  <c r="E291" i="25"/>
  <c r="E292" i="25"/>
  <c r="E293" i="25"/>
  <c r="E294" i="25"/>
  <c r="E295" i="25"/>
  <c r="E296" i="25"/>
  <c r="E297" i="25"/>
  <c r="E298" i="25"/>
  <c r="E299" i="25"/>
  <c r="E300" i="25"/>
  <c r="E301" i="25"/>
  <c r="E302" i="25"/>
  <c r="E303" i="25"/>
  <c r="E304" i="25"/>
  <c r="E305" i="25"/>
  <c r="E306" i="25"/>
  <c r="E307" i="25"/>
  <c r="E308" i="25"/>
  <c r="E309" i="25"/>
  <c r="E109" i="25"/>
  <c r="E110" i="25"/>
  <c r="E111" i="25"/>
  <c r="E112" i="25"/>
  <c r="E113" i="25"/>
  <c r="E114" i="25"/>
  <c r="E115" i="25"/>
  <c r="E116" i="25"/>
  <c r="E117" i="25"/>
  <c r="E118" i="25"/>
  <c r="E119" i="25"/>
  <c r="E120" i="25"/>
  <c r="E121" i="25"/>
  <c r="E122" i="25"/>
  <c r="E123" i="25"/>
  <c r="E124" i="25"/>
  <c r="E125" i="25"/>
  <c r="E126" i="25"/>
  <c r="E127" i="25"/>
  <c r="E128" i="25"/>
  <c r="E129" i="25"/>
  <c r="E24" i="25"/>
  <c r="E25" i="25"/>
  <c r="E26" i="25"/>
  <c r="E27" i="25"/>
  <c r="E28" i="25"/>
  <c r="E29" i="25"/>
  <c r="E30" i="25"/>
  <c r="E31" i="25"/>
  <c r="E32" i="25"/>
  <c r="E33" i="25"/>
  <c r="E34" i="25"/>
  <c r="E35" i="25"/>
  <c r="E36" i="25"/>
  <c r="E37" i="25"/>
  <c r="E38" i="25"/>
  <c r="E39" i="25"/>
  <c r="E40" i="25"/>
  <c r="E41" i="25"/>
  <c r="E42" i="25"/>
  <c r="E43" i="25"/>
  <c r="E44" i="25"/>
  <c r="E45" i="25"/>
  <c r="E46" i="25"/>
  <c r="E47" i="25"/>
  <c r="E48" i="25"/>
  <c r="E49" i="25"/>
  <c r="E50" i="25"/>
  <c r="E51" i="25"/>
  <c r="E52" i="25"/>
  <c r="E53" i="25"/>
  <c r="E54" i="25"/>
  <c r="E55" i="25"/>
  <c r="E56" i="25"/>
  <c r="E57" i="25"/>
  <c r="E58" i="25"/>
  <c r="E59" i="25"/>
  <c r="E60" i="25"/>
  <c r="E61" i="25"/>
  <c r="E62" i="25"/>
  <c r="E63" i="25"/>
  <c r="E64" i="25"/>
  <c r="E65" i="25"/>
  <c r="E66" i="25"/>
  <c r="E67" i="25"/>
  <c r="E68" i="25"/>
  <c r="E69" i="25"/>
  <c r="E70" i="25"/>
  <c r="E71" i="25"/>
  <c r="E72" i="25"/>
  <c r="E73" i="25"/>
  <c r="E74" i="25"/>
  <c r="E75" i="25"/>
  <c r="E76" i="25"/>
  <c r="E77" i="25"/>
  <c r="E78" i="25"/>
  <c r="E79" i="25"/>
  <c r="E80" i="25"/>
  <c r="E81" i="25"/>
  <c r="E82" i="25"/>
  <c r="E83" i="25"/>
  <c r="E84" i="25"/>
  <c r="E85" i="25"/>
  <c r="E86" i="25"/>
  <c r="E87" i="25"/>
  <c r="E88" i="25"/>
  <c r="E89" i="25"/>
  <c r="E90" i="25"/>
  <c r="E91" i="25"/>
  <c r="E92" i="25"/>
  <c r="E93" i="25"/>
  <c r="E94" i="25"/>
  <c r="E95" i="25"/>
  <c r="E96" i="25"/>
  <c r="E97" i="25"/>
  <c r="E98" i="25"/>
  <c r="E99" i="25"/>
  <c r="E100" i="25"/>
  <c r="E101" i="25"/>
  <c r="E102" i="25"/>
  <c r="E103" i="25"/>
  <c r="E104" i="25"/>
  <c r="E105" i="25"/>
  <c r="E106" i="25"/>
  <c r="E107" i="25"/>
  <c r="E108" i="25"/>
  <c r="E23" i="25"/>
  <c r="K15" i="28" l="1"/>
  <c r="J17" i="34"/>
  <c r="J31" i="34"/>
  <c r="J45" i="34"/>
  <c r="J59" i="34"/>
  <c r="J73" i="34"/>
  <c r="J87" i="34"/>
  <c r="J101" i="34"/>
  <c r="J115" i="34"/>
  <c r="J129" i="34"/>
  <c r="J143" i="34"/>
  <c r="J157" i="34"/>
  <c r="J171" i="34"/>
  <c r="J185" i="34"/>
  <c r="J199" i="34"/>
  <c r="J213" i="34"/>
  <c r="J227" i="34"/>
  <c r="J241" i="34"/>
  <c r="J255" i="34"/>
  <c r="J269" i="34"/>
  <c r="J283" i="34"/>
  <c r="J297" i="34"/>
  <c r="J311" i="34"/>
  <c r="J74" i="34"/>
  <c r="J88" i="34"/>
  <c r="J102" i="34"/>
  <c r="J116" i="34"/>
  <c r="J130" i="34"/>
  <c r="J144" i="34"/>
  <c r="J158" i="34"/>
  <c r="J172" i="34"/>
  <c r="J186" i="34"/>
  <c r="J200" i="34"/>
  <c r="J214" i="34"/>
  <c r="J228" i="34"/>
  <c r="J242" i="34"/>
  <c r="J256" i="34"/>
  <c r="J270" i="34"/>
  <c r="J284" i="34"/>
  <c r="J298" i="34"/>
  <c r="J312" i="34"/>
  <c r="J20" i="34"/>
  <c r="J118" i="34"/>
  <c r="J160" i="34"/>
  <c r="J202" i="34"/>
  <c r="J230" i="34"/>
  <c r="J272" i="34"/>
  <c r="J300" i="34"/>
  <c r="J7" i="34"/>
  <c r="J49" i="34"/>
  <c r="J91" i="34"/>
  <c r="J119" i="34"/>
  <c r="J161" i="34"/>
  <c r="J189" i="34"/>
  <c r="J231" i="34"/>
  <c r="J259" i="34"/>
  <c r="J301" i="34"/>
  <c r="J22" i="34"/>
  <c r="J78" i="34"/>
  <c r="J120" i="34"/>
  <c r="J148" i="34"/>
  <c r="J190" i="34"/>
  <c r="J218" i="34"/>
  <c r="J260" i="34"/>
  <c r="J288" i="34"/>
  <c r="J9" i="34"/>
  <c r="J65" i="34"/>
  <c r="J107" i="34"/>
  <c r="J135" i="34"/>
  <c r="J163" i="34"/>
  <c r="J177" i="34"/>
  <c r="J191" i="34"/>
  <c r="J205" i="34"/>
  <c r="J219" i="34"/>
  <c r="J233" i="34"/>
  <c r="J247" i="34"/>
  <c r="J261" i="34"/>
  <c r="J275" i="34"/>
  <c r="J289" i="34"/>
  <c r="J303" i="34"/>
  <c r="J10" i="34"/>
  <c r="J24" i="34"/>
  <c r="J38" i="34"/>
  <c r="J52" i="34"/>
  <c r="J66" i="34"/>
  <c r="J4" i="34"/>
  <c r="J18" i="34"/>
  <c r="J32" i="34"/>
  <c r="J46" i="34"/>
  <c r="J60" i="34"/>
  <c r="J5" i="34"/>
  <c r="J19" i="34"/>
  <c r="J33" i="34"/>
  <c r="J47" i="34"/>
  <c r="J61" i="34"/>
  <c r="J75" i="34"/>
  <c r="J89" i="34"/>
  <c r="J103" i="34"/>
  <c r="J117" i="34"/>
  <c r="J131" i="34"/>
  <c r="J145" i="34"/>
  <c r="J159" i="34"/>
  <c r="J173" i="34"/>
  <c r="J187" i="34"/>
  <c r="J201" i="34"/>
  <c r="J215" i="34"/>
  <c r="J229" i="34"/>
  <c r="J243" i="34"/>
  <c r="J257" i="34"/>
  <c r="J271" i="34"/>
  <c r="J285" i="34"/>
  <c r="J299" i="34"/>
  <c r="J313" i="34"/>
  <c r="J6" i="34"/>
  <c r="J34" i="34"/>
  <c r="J48" i="34"/>
  <c r="J62" i="34"/>
  <c r="J76" i="34"/>
  <c r="J90" i="34"/>
  <c r="J104" i="34"/>
  <c r="J132" i="34"/>
  <c r="J146" i="34"/>
  <c r="J174" i="34"/>
  <c r="J188" i="34"/>
  <c r="J216" i="34"/>
  <c r="J244" i="34"/>
  <c r="J258" i="34"/>
  <c r="J286" i="34"/>
  <c r="J314" i="34"/>
  <c r="J21" i="34"/>
  <c r="J35" i="34"/>
  <c r="J63" i="34"/>
  <c r="J77" i="34"/>
  <c r="J105" i="34"/>
  <c r="J133" i="34"/>
  <c r="J147" i="34"/>
  <c r="J175" i="34"/>
  <c r="J203" i="34"/>
  <c r="J217" i="34"/>
  <c r="J245" i="34"/>
  <c r="J273" i="34"/>
  <c r="J287" i="34"/>
  <c r="J8" i="34"/>
  <c r="J36" i="34"/>
  <c r="J50" i="34"/>
  <c r="J64" i="34"/>
  <c r="J92" i="34"/>
  <c r="J106" i="34"/>
  <c r="J134" i="34"/>
  <c r="J162" i="34"/>
  <c r="J176" i="34"/>
  <c r="J204" i="34"/>
  <c r="J232" i="34"/>
  <c r="J246" i="34"/>
  <c r="J274" i="34"/>
  <c r="J302" i="34"/>
  <c r="J23" i="34"/>
  <c r="J37" i="34"/>
  <c r="J51" i="34"/>
  <c r="J79" i="34"/>
  <c r="J93" i="34"/>
  <c r="J121" i="34"/>
  <c r="J149" i="34"/>
  <c r="J11" i="34"/>
  <c r="J41" i="34"/>
  <c r="J71" i="34"/>
  <c r="J99" i="34"/>
  <c r="J127" i="34"/>
  <c r="J155" i="34"/>
  <c r="J183" i="34"/>
  <c r="J211" i="34"/>
  <c r="J239" i="34"/>
  <c r="J267" i="34"/>
  <c r="J295" i="34"/>
  <c r="J12" i="34"/>
  <c r="J42" i="34"/>
  <c r="J72" i="34"/>
  <c r="J100" i="34"/>
  <c r="J128" i="34"/>
  <c r="J156" i="34"/>
  <c r="J184" i="34"/>
  <c r="J212" i="34"/>
  <c r="J240" i="34"/>
  <c r="J268" i="34"/>
  <c r="J296" i="34"/>
  <c r="J13" i="34"/>
  <c r="J43" i="34"/>
  <c r="J80" i="34"/>
  <c r="J108" i="34"/>
  <c r="J136" i="34"/>
  <c r="J164" i="34"/>
  <c r="J192" i="34"/>
  <c r="J220" i="34"/>
  <c r="J248" i="34"/>
  <c r="J276" i="34"/>
  <c r="J304" i="34"/>
  <c r="J14" i="34"/>
  <c r="J44" i="34"/>
  <c r="J81" i="34"/>
  <c r="J109" i="34"/>
  <c r="J137" i="34"/>
  <c r="J165" i="34"/>
  <c r="J193" i="34"/>
  <c r="J221" i="34"/>
  <c r="J249" i="34"/>
  <c r="J277" i="34"/>
  <c r="J305" i="34"/>
  <c r="J15" i="34"/>
  <c r="J53" i="34"/>
  <c r="J82" i="34"/>
  <c r="J110" i="34"/>
  <c r="J138" i="34"/>
  <c r="J166" i="34"/>
  <c r="J194" i="34"/>
  <c r="J222" i="34"/>
  <c r="J250" i="34"/>
  <c r="J278" i="34"/>
  <c r="J306" i="34"/>
  <c r="J16" i="34"/>
  <c r="J54" i="34"/>
  <c r="J83" i="34"/>
  <c r="J111" i="34"/>
  <c r="J139" i="34"/>
  <c r="J167" i="34"/>
  <c r="J195" i="34"/>
  <c r="J223" i="34"/>
  <c r="J251" i="34"/>
  <c r="J279" i="34"/>
  <c r="J307" i="34"/>
  <c r="J25" i="34"/>
  <c r="J55" i="34"/>
  <c r="J84" i="34"/>
  <c r="J112" i="34"/>
  <c r="J140" i="34"/>
  <c r="J168" i="34"/>
  <c r="J196" i="34"/>
  <c r="J224" i="34"/>
  <c r="J252" i="34"/>
  <c r="J280" i="34"/>
  <c r="J308" i="34"/>
  <c r="J26" i="34"/>
  <c r="J56" i="34"/>
  <c r="J85" i="34"/>
  <c r="J113" i="34"/>
  <c r="J141" i="34"/>
  <c r="J169" i="34"/>
  <c r="J197" i="34"/>
  <c r="J225" i="34"/>
  <c r="J253" i="34"/>
  <c r="J281" i="34"/>
  <c r="J309" i="34"/>
  <c r="J27" i="34"/>
  <c r="J57" i="34"/>
  <c r="J86" i="34"/>
  <c r="J114" i="34"/>
  <c r="J142" i="34"/>
  <c r="J170" i="34"/>
  <c r="J198" i="34"/>
  <c r="J226" i="34"/>
  <c r="J254" i="34"/>
  <c r="J282" i="34"/>
  <c r="J310" i="34"/>
  <c r="J28" i="34"/>
  <c r="J58" i="34"/>
  <c r="J94" i="34"/>
  <c r="J122" i="34"/>
  <c r="J150" i="34"/>
  <c r="J178" i="34"/>
  <c r="J206" i="34"/>
  <c r="J234" i="34"/>
  <c r="J262" i="34"/>
  <c r="J290" i="34"/>
  <c r="J29" i="34"/>
  <c r="J67" i="34"/>
  <c r="J95" i="34"/>
  <c r="J123" i="34"/>
  <c r="J151" i="34"/>
  <c r="J179" i="34"/>
  <c r="J207" i="34"/>
  <c r="J235" i="34"/>
  <c r="J263" i="34"/>
  <c r="J291" i="34"/>
  <c r="J30" i="34"/>
  <c r="J68" i="34"/>
  <c r="J96" i="34"/>
  <c r="J124" i="34"/>
  <c r="J152" i="34"/>
  <c r="J180" i="34"/>
  <c r="J208" i="34"/>
  <c r="J236" i="34"/>
  <c r="J264" i="34"/>
  <c r="J292" i="34"/>
  <c r="J39" i="34"/>
  <c r="J69" i="34"/>
  <c r="J97" i="34"/>
  <c r="J125" i="34"/>
  <c r="J153" i="34"/>
  <c r="J181" i="34"/>
  <c r="J209" i="34"/>
  <c r="J237" i="34"/>
  <c r="J265" i="34"/>
  <c r="J293" i="34"/>
  <c r="J40" i="34"/>
  <c r="J70" i="34"/>
  <c r="J98" i="34"/>
  <c r="J126" i="34"/>
  <c r="J154" i="34"/>
  <c r="J182" i="34"/>
  <c r="J210" i="34"/>
  <c r="J238" i="34"/>
  <c r="J266" i="34"/>
  <c r="J294" i="34"/>
  <c r="D291" i="13"/>
  <c r="E37" i="22"/>
  <c r="C28" i="22"/>
  <c r="C33" i="22" s="1"/>
  <c r="D292" i="13" l="1"/>
  <c r="G292" i="13"/>
  <c r="D293" i="13"/>
  <c r="AE29" i="13"/>
  <c r="D170" i="10"/>
  <c r="E170" i="10"/>
  <c r="C36" i="22"/>
  <c r="C37" i="22"/>
  <c r="C35" i="22"/>
  <c r="E40" i="22"/>
  <c r="C40" i="22"/>
  <c r="C38" i="22"/>
  <c r="C34" i="22"/>
  <c r="E34" i="22"/>
  <c r="E35" i="22"/>
  <c r="E33" i="22"/>
  <c r="E36" i="22"/>
  <c r="E38" i="22"/>
  <c r="D19" i="22" l="1"/>
  <c r="E167" i="10"/>
  <c r="D167" i="10"/>
  <c r="D13" i="22"/>
  <c r="AE30" i="13"/>
  <c r="D23" i="22" s="1"/>
  <c r="AN12" i="1"/>
  <c r="AN13" i="1"/>
  <c r="AN14" i="1"/>
  <c r="AN15" i="1"/>
  <c r="AN16" i="1"/>
  <c r="AN17" i="1"/>
  <c r="AN18" i="1"/>
  <c r="AN19" i="1"/>
  <c r="AN20" i="1"/>
  <c r="AN21" i="1"/>
  <c r="AN22" i="1"/>
  <c r="AN23" i="1"/>
  <c r="AN24" i="1"/>
  <c r="AN25" i="1"/>
  <c r="AN11" i="1"/>
  <c r="AN7" i="1" l="1"/>
  <c r="AN8" i="1"/>
  <c r="AN9" i="1"/>
  <c r="AN6" i="1"/>
  <c r="AN27" i="1"/>
  <c r="AN28" i="1"/>
  <c r="AN29" i="1"/>
  <c r="AN30" i="1"/>
  <c r="AN31" i="1"/>
  <c r="AN32" i="1"/>
  <c r="AN33" i="1"/>
  <c r="AN34" i="1"/>
  <c r="AN35" i="1"/>
  <c r="AN26" i="1"/>
  <c r="D162" i="9"/>
  <c r="D19" i="9"/>
  <c r="C105" i="10" l="1"/>
  <c r="K19" i="28" l="1"/>
  <c r="K20" i="28"/>
  <c r="K21" i="28"/>
  <c r="K22" i="28"/>
  <c r="K23" i="28"/>
  <c r="K24" i="28"/>
  <c r="K25" i="28"/>
  <c r="K26" i="28"/>
  <c r="K27" i="28"/>
  <c r="K28" i="28"/>
  <c r="K29" i="28"/>
  <c r="K30" i="28"/>
  <c r="AJ9" i="1"/>
  <c r="AJ10" i="1"/>
  <c r="AJ8" i="1"/>
  <c r="D296" i="13" l="1"/>
  <c r="E105" i="10"/>
  <c r="E102" i="10"/>
  <c r="E101" i="10"/>
  <c r="E100" i="10"/>
  <c r="R71" i="9" l="1"/>
  <c r="R72" i="9"/>
  <c r="R73" i="9"/>
  <c r="R74" i="9"/>
  <c r="R75" i="9"/>
  <c r="R76" i="9"/>
  <c r="R77" i="9"/>
  <c r="R78" i="9"/>
  <c r="R79" i="9"/>
  <c r="R80" i="9"/>
  <c r="R81" i="9"/>
  <c r="R82" i="9"/>
  <c r="R83" i="9"/>
  <c r="R84" i="9"/>
  <c r="R85" i="9"/>
  <c r="R86" i="9"/>
  <c r="R87" i="9"/>
  <c r="R88" i="9"/>
  <c r="R89" i="9"/>
  <c r="R90" i="9"/>
  <c r="R91" i="9"/>
  <c r="R92" i="9"/>
  <c r="R93" i="9"/>
  <c r="R94" i="9"/>
  <c r="R95" i="9"/>
  <c r="R96" i="9"/>
  <c r="R97" i="9"/>
  <c r="R98" i="9"/>
  <c r="R99" i="9"/>
  <c r="R100" i="9"/>
  <c r="R101" i="9"/>
  <c r="R102" i="9"/>
  <c r="R103" i="9"/>
  <c r="R104" i="9"/>
  <c r="R105" i="9"/>
  <c r="R106" i="9"/>
  <c r="R107" i="9"/>
  <c r="R108" i="9"/>
  <c r="R109" i="9"/>
  <c r="R110" i="9"/>
  <c r="R111" i="9"/>
  <c r="R112" i="9"/>
  <c r="R113" i="9"/>
  <c r="R114" i="9"/>
  <c r="R115" i="9"/>
  <c r="R116" i="9"/>
  <c r="R117" i="9"/>
  <c r="R118" i="9"/>
  <c r="R119" i="9"/>
  <c r="R120" i="9"/>
  <c r="R121" i="9"/>
  <c r="R122" i="9"/>
  <c r="R123" i="9"/>
  <c r="Q64" i="9"/>
  <c r="Q66" i="9"/>
  <c r="Q71" i="9"/>
  <c r="Q72" i="9"/>
  <c r="Q73" i="9"/>
  <c r="Q74" i="9"/>
  <c r="Q75" i="9"/>
  <c r="Q76" i="9"/>
  <c r="Q77" i="9"/>
  <c r="Q78" i="9"/>
  <c r="Q79" i="9"/>
  <c r="Q80" i="9"/>
  <c r="Q81" i="9"/>
  <c r="Q82" i="9"/>
  <c r="Q83" i="9"/>
  <c r="Q84" i="9"/>
  <c r="Q85" i="9"/>
  <c r="Q86" i="9"/>
  <c r="Q87" i="9"/>
  <c r="Q88" i="9"/>
  <c r="Q89" i="9"/>
  <c r="Q90" i="9"/>
  <c r="Q91" i="9"/>
  <c r="Q92" i="9"/>
  <c r="Q93" i="9"/>
  <c r="Q94" i="9"/>
  <c r="Q95" i="9"/>
  <c r="Q96" i="9"/>
  <c r="Q97" i="9"/>
  <c r="Q98" i="9"/>
  <c r="Q99" i="9"/>
  <c r="Q100" i="9"/>
  <c r="Q101" i="9"/>
  <c r="Q102" i="9"/>
  <c r="Q103" i="9"/>
  <c r="Q104" i="9"/>
  <c r="Q105" i="9"/>
  <c r="Q106" i="9"/>
  <c r="Q107" i="9"/>
  <c r="Q108" i="9"/>
  <c r="Q109" i="9"/>
  <c r="Q110" i="9"/>
  <c r="Q111" i="9"/>
  <c r="Q112" i="9"/>
  <c r="Q113" i="9"/>
  <c r="Q114" i="9"/>
  <c r="Q115" i="9"/>
  <c r="Q116" i="9"/>
  <c r="Q117" i="9"/>
  <c r="Q118" i="9"/>
  <c r="Q119" i="9"/>
  <c r="Q120" i="9"/>
  <c r="Q121" i="9"/>
  <c r="Q122" i="9"/>
  <c r="Q123" i="9"/>
  <c r="P81" i="9"/>
  <c r="P82" i="9"/>
  <c r="P83" i="9"/>
  <c r="P84" i="9"/>
  <c r="P85" i="9"/>
  <c r="P86" i="9"/>
  <c r="P87" i="9"/>
  <c r="P88" i="9"/>
  <c r="P89" i="9"/>
  <c r="P90" i="9"/>
  <c r="P91" i="9"/>
  <c r="P92" i="9"/>
  <c r="P93" i="9"/>
  <c r="P94" i="9"/>
  <c r="P95" i="9"/>
  <c r="P96" i="9"/>
  <c r="P97" i="9"/>
  <c r="P98" i="9"/>
  <c r="P99" i="9"/>
  <c r="P100" i="9"/>
  <c r="P101" i="9"/>
  <c r="P102" i="9"/>
  <c r="P103" i="9"/>
  <c r="P104" i="9"/>
  <c r="P105" i="9"/>
  <c r="P106" i="9"/>
  <c r="P107" i="9"/>
  <c r="P108" i="9"/>
  <c r="P109" i="9"/>
  <c r="P110" i="9"/>
  <c r="P111" i="9"/>
  <c r="P112" i="9"/>
  <c r="P113" i="9"/>
  <c r="P114" i="9"/>
  <c r="P115" i="9"/>
  <c r="P116" i="9"/>
  <c r="P117" i="9"/>
  <c r="P118" i="9"/>
  <c r="P119" i="9"/>
  <c r="P120" i="9"/>
  <c r="P121" i="9"/>
  <c r="P122" i="9"/>
  <c r="P123" i="9"/>
  <c r="M60" i="9" l="1"/>
  <c r="N60" i="9"/>
  <c r="O60" i="9"/>
  <c r="D22" i="9"/>
  <c r="P13" i="15"/>
  <c r="J13" i="15"/>
  <c r="D25" i="9"/>
  <c r="D23" i="9"/>
  <c r="D21" i="9"/>
  <c r="D13" i="15"/>
  <c r="D20" i="9"/>
  <c r="D18" i="9"/>
  <c r="D17" i="9"/>
  <c r="D16" i="9"/>
  <c r="D15" i="9"/>
  <c r="E278" i="13" l="1"/>
  <c r="C32" i="9"/>
  <c r="C46" i="9"/>
  <c r="C48" i="9"/>
  <c r="C35" i="9"/>
  <c r="C36" i="9"/>
  <c r="C31" i="9"/>
  <c r="C44" i="9"/>
  <c r="C33" i="9"/>
  <c r="C47" i="9"/>
  <c r="C34" i="9"/>
  <c r="C49" i="9"/>
  <c r="C50" i="9"/>
  <c r="C37" i="9"/>
  <c r="C40" i="9"/>
  <c r="C41" i="9"/>
  <c r="C42" i="9"/>
  <c r="C43" i="9"/>
  <c r="C45" i="9"/>
  <c r="C39" i="9"/>
  <c r="C38" i="9"/>
  <c r="L76" i="9"/>
  <c r="L63" i="9"/>
  <c r="L72" i="9"/>
  <c r="L77" i="9"/>
  <c r="L68" i="9"/>
  <c r="R68" i="9" s="1"/>
  <c r="L70" i="9"/>
  <c r="R70" i="9" s="1"/>
  <c r="L64" i="9"/>
  <c r="R64" i="9" s="1"/>
  <c r="L65" i="9"/>
  <c r="L69" i="9"/>
  <c r="L74" i="9"/>
  <c r="L66" i="9"/>
  <c r="L71" i="9"/>
  <c r="L73" i="9"/>
  <c r="L75" i="9"/>
  <c r="L67" i="9"/>
  <c r="C136" i="9"/>
  <c r="C137" i="9"/>
  <c r="C138" i="9"/>
  <c r="C132" i="9"/>
  <c r="D139" i="9"/>
  <c r="C130" i="9"/>
  <c r="C135" i="9"/>
  <c r="P72" i="9"/>
  <c r="P78" i="9"/>
  <c r="P73" i="9"/>
  <c r="P77" i="9"/>
  <c r="P80" i="9"/>
  <c r="P74" i="9"/>
  <c r="P79" i="9"/>
  <c r="P75" i="9"/>
  <c r="P76" i="9"/>
  <c r="P71" i="9"/>
  <c r="F153" i="9"/>
  <c r="F154" i="9"/>
  <c r="F158" i="9"/>
  <c r="F161" i="9"/>
  <c r="F155" i="9"/>
  <c r="F156" i="9"/>
  <c r="F159" i="9"/>
  <c r="F150" i="9"/>
  <c r="F151" i="9"/>
  <c r="F152" i="9"/>
  <c r="F157" i="9"/>
  <c r="F160" i="9"/>
  <c r="P69" i="9" l="1"/>
  <c r="P65" i="9"/>
  <c r="P64" i="9"/>
  <c r="P275" i="13"/>
  <c r="BI275" i="13"/>
  <c r="AX275" i="13"/>
  <c r="BB275" i="13"/>
  <c r="Y275" i="13"/>
  <c r="AV275" i="13"/>
  <c r="BH275" i="13"/>
  <c r="AL275" i="13"/>
  <c r="BC275" i="13"/>
  <c r="BM275" i="13"/>
  <c r="J275" i="13"/>
  <c r="U275" i="13"/>
  <c r="AP275" i="13"/>
  <c r="E275" i="13"/>
  <c r="W275" i="13"/>
  <c r="AQ275" i="13"/>
  <c r="BA275" i="13"/>
  <c r="L275" i="13"/>
  <c r="AS275" i="13"/>
  <c r="Q275" i="13"/>
  <c r="AI275" i="13"/>
  <c r="AR275" i="13"/>
  <c r="AA275" i="13"/>
  <c r="AO275" i="13"/>
  <c r="AT275" i="13"/>
  <c r="G275" i="13"/>
  <c r="BK275" i="13"/>
  <c r="AW275" i="13"/>
  <c r="BG275" i="13"/>
  <c r="AY275" i="13"/>
  <c r="AK275" i="13"/>
  <c r="AJ275" i="13"/>
  <c r="AM275" i="13"/>
  <c r="T275" i="13"/>
  <c r="BE275" i="13"/>
  <c r="AU275" i="13"/>
  <c r="V275" i="13"/>
  <c r="BL275" i="13"/>
  <c r="BJ275" i="13"/>
  <c r="Z275" i="13"/>
  <c r="BD275" i="13"/>
  <c r="AH275" i="13"/>
  <c r="S275" i="13"/>
  <c r="AC275" i="13"/>
  <c r="BF275" i="13"/>
  <c r="AZ275" i="13"/>
  <c r="AB275" i="13"/>
  <c r="AN275" i="13"/>
  <c r="BC278" i="13"/>
  <c r="BG278" i="13"/>
  <c r="AX278" i="13"/>
  <c r="BM278" i="13"/>
  <c r="AV278" i="13"/>
  <c r="V278" i="13"/>
  <c r="Z278" i="13"/>
  <c r="AU278" i="13"/>
  <c r="BL278" i="13"/>
  <c r="AC278" i="13"/>
  <c r="BJ278" i="13"/>
  <c r="AQ278" i="13"/>
  <c r="W278" i="13"/>
  <c r="AS278" i="13"/>
  <c r="AJ278" i="13"/>
  <c r="BD278" i="13"/>
  <c r="AP278" i="13"/>
  <c r="AW278" i="13"/>
  <c r="U278" i="13"/>
  <c r="AB278" i="13"/>
  <c r="AT278" i="13"/>
  <c r="BI278" i="13"/>
  <c r="Y278" i="13"/>
  <c r="BK278" i="13"/>
  <c r="AN278" i="13"/>
  <c r="AA278" i="13"/>
  <c r="AM278" i="13"/>
  <c r="AY278" i="13"/>
  <c r="BA278" i="13"/>
  <c r="AR278" i="13"/>
  <c r="AH278" i="13"/>
  <c r="AO278" i="13"/>
  <c r="AI278" i="13"/>
  <c r="AZ278" i="13"/>
  <c r="BE278" i="13"/>
  <c r="T278" i="13"/>
  <c r="BB278" i="13"/>
  <c r="AK278" i="13"/>
  <c r="S278" i="13"/>
  <c r="BH278" i="13"/>
  <c r="BF278" i="13"/>
  <c r="AL278" i="13"/>
  <c r="R69" i="9"/>
  <c r="Q69" i="9"/>
  <c r="P70" i="9"/>
  <c r="Q70" i="9"/>
  <c r="Q68" i="9"/>
  <c r="P68" i="9"/>
  <c r="F162" i="9"/>
  <c r="Q65" i="9"/>
  <c r="R65" i="9"/>
  <c r="R66" i="9"/>
  <c r="P66" i="9"/>
  <c r="R63" i="9"/>
  <c r="Q63" i="9"/>
  <c r="P63" i="9"/>
  <c r="P67" i="9"/>
  <c r="Q67" i="9"/>
  <c r="R67" i="9"/>
  <c r="D131" i="9"/>
  <c r="D135" i="9" s="1"/>
  <c r="D133" i="9"/>
  <c r="D137" i="9" s="1"/>
  <c r="C131" i="9"/>
  <c r="C140" i="9"/>
  <c r="C134" i="9"/>
  <c r="C141" i="9"/>
  <c r="C133" i="9"/>
  <c r="C139" i="9"/>
  <c r="D132" i="9"/>
  <c r="D136" i="9" s="1"/>
  <c r="D130" i="9"/>
  <c r="D134" i="9"/>
  <c r="D138" i="9" s="1"/>
  <c r="D141" i="9" l="1"/>
  <c r="D140" i="9"/>
  <c r="N10" i="28" l="1"/>
  <c r="O10" i="28" l="1"/>
  <c r="N11" i="28"/>
  <c r="G32" i="27" l="1"/>
  <c r="K18" i="28"/>
  <c r="D27" i="22"/>
  <c r="C27" i="22"/>
  <c r="E27" i="22"/>
  <c r="D22" i="22"/>
  <c r="D20" i="22"/>
  <c r="E20" i="22"/>
  <c r="D21" i="22"/>
  <c r="D115" i="10"/>
  <c r="D109" i="10"/>
  <c r="D114" i="10"/>
  <c r="D113" i="10"/>
  <c r="D111" i="10"/>
  <c r="C116" i="10"/>
  <c r="D116" i="10" s="1"/>
  <c r="D112" i="10"/>
  <c r="D110" i="10"/>
  <c r="C92" i="10"/>
  <c r="D156" i="13"/>
  <c r="P10" i="28"/>
  <c r="O11" i="28"/>
  <c r="C22" i="22"/>
  <c r="E22" i="22"/>
  <c r="C87" i="10"/>
  <c r="D294" i="13" l="1"/>
  <c r="G31" i="27"/>
  <c r="F156" i="13"/>
  <c r="P11" i="28"/>
  <c r="Q10" i="28"/>
  <c r="C46" i="10"/>
  <c r="B31" i="26"/>
  <c r="I39" i="27"/>
  <c r="C93" i="10"/>
  <c r="D289" i="13" l="1"/>
  <c r="C85" i="10"/>
  <c r="C20" i="22"/>
  <c r="H34" i="22"/>
  <c r="E21" i="22"/>
  <c r="C21" i="22"/>
  <c r="H38" i="22"/>
  <c r="AF29" i="13"/>
  <c r="AD29" i="13"/>
  <c r="C77" i="10"/>
  <c r="F289" i="13"/>
  <c r="G30" i="27" s="1"/>
  <c r="C19" i="22"/>
  <c r="E19" i="22"/>
  <c r="AF28" i="13"/>
  <c r="C86" i="10"/>
  <c r="C14" i="26"/>
  <c r="L3" i="13" s="1"/>
  <c r="I156" i="13"/>
  <c r="Q11" i="28"/>
  <c r="R10" i="28"/>
  <c r="AD30" i="13" l="1"/>
  <c r="C23" i="22" s="1"/>
  <c r="C13" i="22"/>
  <c r="E13" i="22"/>
  <c r="AF30" i="13"/>
  <c r="E23" i="22" s="1"/>
  <c r="R11" i="28"/>
  <c r="S10" i="28"/>
  <c r="P49" i="15"/>
  <c r="P15" i="15" s="1"/>
  <c r="AI158" i="13" l="1"/>
  <c r="K156" i="13"/>
  <c r="S11" i="28"/>
  <c r="T10" i="28"/>
  <c r="J49" i="15"/>
  <c r="J15" i="15" s="1"/>
  <c r="D129" i="9"/>
  <c r="AJ158" i="13" l="1"/>
  <c r="AK158" i="13" s="1"/>
  <c r="AL158" i="13" s="1"/>
  <c r="AM158" i="13" s="1"/>
  <c r="AN158" i="13" s="1"/>
  <c r="AO158" i="13" s="1"/>
  <c r="AP158" i="13" s="1"/>
  <c r="AQ158" i="13" s="1"/>
  <c r="AR158" i="13" s="1"/>
  <c r="AS158" i="13" s="1"/>
  <c r="AT158" i="13" s="1"/>
  <c r="AU158" i="13" s="1"/>
  <c r="AV158" i="13" s="1"/>
  <c r="AW158" i="13" s="1"/>
  <c r="AX158" i="13" s="1"/>
  <c r="AY158" i="13" s="1"/>
  <c r="AZ158" i="13" s="1"/>
  <c r="BA158" i="13" s="1"/>
  <c r="BB158" i="13" s="1"/>
  <c r="BC158" i="13" s="1"/>
  <c r="BD158" i="13" s="1"/>
  <c r="BE158" i="13" s="1"/>
  <c r="BF158" i="13" s="1"/>
  <c r="BG158" i="13" s="1"/>
  <c r="BH158" i="13" s="1"/>
  <c r="BI158" i="13" s="1"/>
  <c r="BJ158" i="13" s="1"/>
  <c r="BK158" i="13" s="1"/>
  <c r="T11" i="28"/>
  <c r="U10" i="28"/>
  <c r="D49" i="15"/>
  <c r="D15" i="15" s="1"/>
  <c r="BK166" i="13" l="1"/>
  <c r="BL158" i="13"/>
  <c r="N156" i="13"/>
  <c r="U11" i="28"/>
  <c r="V10" i="28"/>
  <c r="W10" i="28" s="1"/>
  <c r="BK161" i="13" l="1" a="1"/>
  <c r="BK161" i="13" s="1"/>
  <c r="BK163" i="13" a="1"/>
  <c r="BK163" i="13" s="1"/>
  <c r="BK165" i="13" a="1"/>
  <c r="BK165" i="13" s="1"/>
  <c r="BK162" i="13" a="1"/>
  <c r="BK162" i="13" s="1"/>
  <c r="BM158" i="13"/>
  <c r="BL166" i="13"/>
  <c r="O156" i="13"/>
  <c r="W11" i="28"/>
  <c r="X10" i="28"/>
  <c r="V11" i="28"/>
  <c r="D142" i="9"/>
  <c r="BL161" i="13" l="1" a="1"/>
  <c r="BL161" i="13" s="1"/>
  <c r="BL163" i="13" a="1"/>
  <c r="BL163" i="13" s="1"/>
  <c r="BL162" i="13" a="1"/>
  <c r="BL162" i="13" s="1"/>
  <c r="BL165" i="13" a="1"/>
  <c r="BL165" i="13" s="1"/>
  <c r="BM166" i="13"/>
  <c r="BN158" i="13"/>
  <c r="BK160" i="13"/>
  <c r="BK159" i="13" s="1"/>
  <c r="P156" i="13"/>
  <c r="Y10" i="28"/>
  <c r="X11" i="28"/>
  <c r="BM162" i="13" l="1" a="1"/>
  <c r="BM162" i="13" s="1"/>
  <c r="BM163" i="13" a="1"/>
  <c r="BM163" i="13" s="1"/>
  <c r="BM161" i="13" a="1"/>
  <c r="BM161" i="13" s="1"/>
  <c r="BM165" i="13" a="1"/>
  <c r="BM165" i="13" s="1"/>
  <c r="BN166" i="13"/>
  <c r="BO158" i="13"/>
  <c r="BO166" i="13" s="1"/>
  <c r="BL160" i="13"/>
  <c r="BL159" i="13" s="1"/>
  <c r="Z10" i="28"/>
  <c r="Y11" i="28"/>
  <c r="Q156" i="13"/>
  <c r="BO165" i="13" l="1" a="1"/>
  <c r="BO165" i="13" s="1"/>
  <c r="BO162" i="13" a="1"/>
  <c r="BO162" i="13" s="1"/>
  <c r="BO161" i="13" a="1"/>
  <c r="BO161" i="13" s="1"/>
  <c r="BO163" i="13" a="1"/>
  <c r="BO163" i="13" s="1"/>
  <c r="BN163" i="13" a="1"/>
  <c r="BN163" i="13" s="1"/>
  <c r="BN161" i="13" a="1"/>
  <c r="BN161" i="13" s="1"/>
  <c r="BN162" i="13" a="1"/>
  <c r="BN162" i="13" s="1"/>
  <c r="BN165" i="13" a="1"/>
  <c r="BN165" i="13" s="1"/>
  <c r="BM160" i="13"/>
  <c r="BM159" i="13" s="1"/>
  <c r="AA10" i="28"/>
  <c r="Z11" i="28"/>
  <c r="T156" i="13"/>
  <c r="BN160" i="13" l="1"/>
  <c r="BO160" i="13"/>
  <c r="AB10" i="28"/>
  <c r="AA11" i="28"/>
  <c r="V156" i="13" l="1"/>
  <c r="AB11" i="28"/>
  <c r="AC10" i="28"/>
  <c r="C47" i="10"/>
  <c r="W156" i="13" l="1"/>
  <c r="AD10" i="28"/>
  <c r="AC11" i="28"/>
  <c r="Y156" i="13" l="1"/>
  <c r="AE10" i="28"/>
  <c r="AD11" i="28"/>
  <c r="AS169" i="13"/>
  <c r="AW169" i="13"/>
  <c r="AN169" i="13"/>
  <c r="BB169" i="13"/>
  <c r="AJ169" i="13"/>
  <c r="AM169" i="13"/>
  <c r="AK169" i="13"/>
  <c r="AI169" i="13"/>
  <c r="AL169" i="13"/>
  <c r="AZ169" i="13"/>
  <c r="AU169" i="13"/>
  <c r="AV169" i="13"/>
  <c r="AX169" i="13"/>
  <c r="AY169" i="13"/>
  <c r="BC169" i="13"/>
  <c r="AR169" i="13"/>
  <c r="AH169" i="13"/>
  <c r="AT169" i="13"/>
  <c r="AQ169" i="13"/>
  <c r="AP169" i="13"/>
  <c r="BA169" i="13"/>
  <c r="AO169" i="13"/>
  <c r="AI272" i="13" l="1"/>
  <c r="AL272" i="13"/>
  <c r="BA272" i="13"/>
  <c r="AT272" i="13"/>
  <c r="BB272" i="13"/>
  <c r="AN272" i="13"/>
  <c r="AK272" i="13"/>
  <c r="AH272" i="13"/>
  <c r="BF272" i="13"/>
  <c r="BM272" i="13"/>
  <c r="BG272" i="13"/>
  <c r="BE272" i="13"/>
  <c r="BK272" i="13"/>
  <c r="BH272" i="13"/>
  <c r="BL272" i="13"/>
  <c r="BN272" i="13"/>
  <c r="BD272" i="13"/>
  <c r="BI272" i="13"/>
  <c r="BJ272" i="13"/>
  <c r="AW272" i="13"/>
  <c r="AZ272" i="13"/>
  <c r="AP272" i="13"/>
  <c r="AR272" i="13"/>
  <c r="BC272" i="13"/>
  <c r="AQ272" i="13"/>
  <c r="AS272" i="13"/>
  <c r="AJ272" i="13"/>
  <c r="AX272" i="13"/>
  <c r="AO272" i="13"/>
  <c r="AY272" i="13"/>
  <c r="AV272" i="13"/>
  <c r="AM272" i="13"/>
  <c r="AU272" i="13"/>
  <c r="Z156" i="13"/>
  <c r="AE11" i="28"/>
  <c r="AF10" i="28"/>
  <c r="E28" i="22"/>
  <c r="AA156" i="13" l="1"/>
  <c r="AF11" i="28"/>
  <c r="AG10" i="28"/>
  <c r="G38" i="22"/>
  <c r="G40" i="22"/>
  <c r="G35" i="22"/>
  <c r="G36" i="22"/>
  <c r="G37" i="22"/>
  <c r="G33" i="22"/>
  <c r="G34" i="22"/>
  <c r="E103" i="10"/>
  <c r="D34" i="22"/>
  <c r="F34" i="22"/>
  <c r="F33" i="22"/>
  <c r="D105" i="10"/>
  <c r="D14" i="26" l="1"/>
  <c r="AG11" i="28"/>
  <c r="AH10" i="28"/>
  <c r="AI10" i="28" l="1"/>
  <c r="AH11" i="28"/>
  <c r="E3" i="10" l="1"/>
  <c r="E3" i="26"/>
  <c r="L3" i="27"/>
  <c r="L278" i="13"/>
  <c r="BR15" i="28"/>
  <c r="I278" i="13"/>
  <c r="K278" i="13"/>
  <c r="F278" i="13"/>
  <c r="G278" i="13"/>
  <c r="J278" i="13"/>
  <c r="AJ10" i="28"/>
  <c r="AI11" i="28"/>
  <c r="P278" i="13"/>
  <c r="Q278" i="13"/>
  <c r="N278" i="13"/>
  <c r="O278" i="13"/>
  <c r="R278" i="13"/>
  <c r="M278" i="13"/>
  <c r="O275" i="13"/>
  <c r="M275" i="13"/>
  <c r="N275" i="13"/>
  <c r="K275" i="13"/>
  <c r="R275" i="13"/>
  <c r="AK10" i="28" l="1"/>
  <c r="AJ11" i="28"/>
  <c r="BT45" i="28"/>
  <c r="BV45" i="28" s="1"/>
  <c r="BT40" i="28"/>
  <c r="BV40" i="28" s="1"/>
  <c r="BP15" i="28"/>
  <c r="H33" i="22"/>
  <c r="AB156" i="13" l="1"/>
  <c r="AL10" i="28"/>
  <c r="AK11" i="28"/>
  <c r="BT15" i="28"/>
  <c r="AG156" i="13" l="1"/>
  <c r="AM10" i="28"/>
  <c r="AL11" i="28"/>
  <c r="E12" i="22"/>
  <c r="E16" i="22" s="1"/>
  <c r="AH156" i="13" l="1"/>
  <c r="AN10" i="28"/>
  <c r="AM11" i="28"/>
  <c r="AI156" i="13" l="1"/>
  <c r="AO10" i="28"/>
  <c r="AN11" i="28"/>
  <c r="AH166" i="13"/>
  <c r="AH162" i="13" l="1" a="1"/>
  <c r="AH162" i="13" s="1"/>
  <c r="AH165" i="13" a="1"/>
  <c r="AH165" i="13" s="1"/>
  <c r="AH163" i="13" a="1"/>
  <c r="AH163" i="13" s="1"/>
  <c r="AH161" i="13" a="1"/>
  <c r="AH161" i="13" s="1"/>
  <c r="AJ156" i="13"/>
  <c r="AP10" i="28"/>
  <c r="AO11" i="28"/>
  <c r="AI166" i="13"/>
  <c r="AI165" i="13" l="1" a="1"/>
  <c r="AI165" i="13" s="1"/>
  <c r="AI162" i="13" a="1"/>
  <c r="AI162" i="13" s="1"/>
  <c r="AI163" i="13" a="1"/>
  <c r="AI163" i="13" s="1"/>
  <c r="AI161" i="13" a="1"/>
  <c r="AI161" i="13" s="1"/>
  <c r="AH160" i="13"/>
  <c r="AK156" i="13"/>
  <c r="AQ10" i="28"/>
  <c r="AP11" i="28"/>
  <c r="AJ166" i="13"/>
  <c r="AJ161" i="13" l="1" a="1"/>
  <c r="AJ161" i="13" s="1"/>
  <c r="AJ163" i="13" a="1"/>
  <c r="AJ163" i="13" s="1"/>
  <c r="AJ165" i="13" a="1"/>
  <c r="AJ165" i="13" s="1"/>
  <c r="AJ162" i="13" a="1"/>
  <c r="AJ162" i="13" s="1"/>
  <c r="AI160" i="13"/>
  <c r="AL156" i="13"/>
  <c r="AH159" i="13"/>
  <c r="AR10" i="28"/>
  <c r="AQ11" i="28"/>
  <c r="AK166" i="13"/>
  <c r="AK162" i="13" l="1" a="1"/>
  <c r="AK162" i="13" s="1"/>
  <c r="AK165" i="13" a="1"/>
  <c r="AK165" i="13" s="1"/>
  <c r="AK161" i="13" a="1"/>
  <c r="AK161" i="13" s="1"/>
  <c r="AK163" i="13" a="1"/>
  <c r="AK163" i="13" s="1"/>
  <c r="AJ160" i="13"/>
  <c r="AM156" i="13"/>
  <c r="AI159" i="13"/>
  <c r="AS10" i="28"/>
  <c r="AT10" i="28" s="1"/>
  <c r="AR11" i="28"/>
  <c r="AL166" i="13"/>
  <c r="AL162" i="13" l="1" a="1"/>
  <c r="AL162" i="13" s="1"/>
  <c r="AL161" i="13" a="1"/>
  <c r="AL161" i="13" s="1"/>
  <c r="AL163" i="13" a="1"/>
  <c r="AL163" i="13" s="1"/>
  <c r="AL165" i="13" a="1"/>
  <c r="AL165" i="13" s="1"/>
  <c r="AK160" i="13"/>
  <c r="AN156" i="13"/>
  <c r="AJ159" i="13"/>
  <c r="AU10" i="28"/>
  <c r="AT11" i="28"/>
  <c r="AS11" i="28"/>
  <c r="AM166" i="13"/>
  <c r="AM162" i="13" l="1" a="1"/>
  <c r="AM162" i="13" s="1"/>
  <c r="AM161" i="13" a="1"/>
  <c r="AM161" i="13" s="1"/>
  <c r="AM163" i="13" a="1"/>
  <c r="AM163" i="13" s="1"/>
  <c r="AM165" i="13" a="1"/>
  <c r="AM165" i="13" s="1"/>
  <c r="AL160" i="13"/>
  <c r="AO156" i="13"/>
  <c r="AK159" i="13"/>
  <c r="AV10" i="28"/>
  <c r="AU11" i="28"/>
  <c r="AN166" i="13"/>
  <c r="AN162" i="13" l="1" a="1"/>
  <c r="AN162" i="13" s="1"/>
  <c r="AN163" i="13" a="1"/>
  <c r="AN163" i="13" s="1"/>
  <c r="AN161" i="13" a="1"/>
  <c r="AN161" i="13" s="1"/>
  <c r="AN165" i="13" a="1"/>
  <c r="AN165" i="13" s="1"/>
  <c r="AM160" i="13"/>
  <c r="AP156" i="13"/>
  <c r="AL159" i="13"/>
  <c r="AW10" i="28"/>
  <c r="AV11" i="28"/>
  <c r="AO166" i="13"/>
  <c r="AO163" i="13" l="1" a="1"/>
  <c r="AO163" i="13" s="1"/>
  <c r="AO161" i="13" a="1"/>
  <c r="AO161" i="13" s="1"/>
  <c r="AO162" i="13" a="1"/>
  <c r="AO162" i="13" s="1"/>
  <c r="AO165" i="13" a="1"/>
  <c r="AO165" i="13" s="1"/>
  <c r="AN160" i="13"/>
  <c r="AQ156" i="13"/>
  <c r="AM159" i="13"/>
  <c r="AX10" i="28"/>
  <c r="AW11" i="28"/>
  <c r="AP166" i="13"/>
  <c r="AP165" i="13" l="1" a="1"/>
  <c r="AP165" i="13" s="1"/>
  <c r="AP163" i="13" a="1"/>
  <c r="AP163" i="13" s="1"/>
  <c r="AP162" i="13" a="1"/>
  <c r="AP162" i="13" s="1"/>
  <c r="AP161" i="13" a="1"/>
  <c r="AP161" i="13" s="1"/>
  <c r="AO160" i="13"/>
  <c r="AR156" i="13"/>
  <c r="AN159" i="13"/>
  <c r="AY10" i="28"/>
  <c r="AX11" i="28"/>
  <c r="AQ166" i="13"/>
  <c r="AQ162" i="13" l="1" a="1"/>
  <c r="AQ162" i="13" s="1"/>
  <c r="AQ165" i="13" a="1"/>
  <c r="AQ165" i="13" s="1"/>
  <c r="AQ163" i="13" a="1"/>
  <c r="AQ163" i="13" s="1"/>
  <c r="AQ161" i="13" a="1"/>
  <c r="AQ161" i="13" s="1"/>
  <c r="AP160" i="13"/>
  <c r="AS156" i="13"/>
  <c r="AO159" i="13"/>
  <c r="AZ10" i="28"/>
  <c r="AY11" i="28"/>
  <c r="AR166" i="13"/>
  <c r="AR162" i="13" l="1" a="1"/>
  <c r="AR162" i="13" s="1"/>
  <c r="AR165" i="13" a="1"/>
  <c r="AR165" i="13" s="1"/>
  <c r="AR161" i="13" a="1"/>
  <c r="AR161" i="13" s="1"/>
  <c r="AR163" i="13" a="1"/>
  <c r="AR163" i="13" s="1"/>
  <c r="AQ160" i="13"/>
  <c r="AT156" i="13"/>
  <c r="AP159" i="13"/>
  <c r="BA10" i="28"/>
  <c r="AZ11" i="28"/>
  <c r="AS166" i="13"/>
  <c r="AS165" i="13" l="1" a="1"/>
  <c r="AS165" i="13" s="1"/>
  <c r="AS162" i="13" a="1"/>
  <c r="AS162" i="13" s="1"/>
  <c r="AS163" i="13" a="1"/>
  <c r="AS163" i="13" s="1"/>
  <c r="AS161" i="13" a="1"/>
  <c r="AS161" i="13" s="1"/>
  <c r="AR160" i="13"/>
  <c r="AU156" i="13"/>
  <c r="AQ159" i="13"/>
  <c r="BB10" i="28"/>
  <c r="BA11" i="28"/>
  <c r="AT166" i="13"/>
  <c r="AT165" i="13" l="1" a="1"/>
  <c r="AT165" i="13" s="1"/>
  <c r="AT162" i="13" a="1"/>
  <c r="AT162" i="13" s="1"/>
  <c r="AT163" i="13" a="1"/>
  <c r="AT163" i="13" s="1"/>
  <c r="AT161" i="13" a="1"/>
  <c r="AT161" i="13" s="1"/>
  <c r="AS160" i="13"/>
  <c r="AV156" i="13"/>
  <c r="AR159" i="13"/>
  <c r="BC10" i="28"/>
  <c r="BB11" i="28"/>
  <c r="AU166" i="13"/>
  <c r="AU163" i="13" l="1" a="1"/>
  <c r="AU163" i="13" s="1"/>
  <c r="AU165" i="13" a="1"/>
  <c r="AU165" i="13" s="1"/>
  <c r="AU162" i="13" a="1"/>
  <c r="AU162" i="13" s="1"/>
  <c r="AU161" i="13" a="1"/>
  <c r="AU161" i="13" s="1"/>
  <c r="AT160" i="13"/>
  <c r="AW156" i="13"/>
  <c r="AS159" i="13"/>
  <c r="BD10" i="28"/>
  <c r="BC11" i="28"/>
  <c r="AV166" i="13"/>
  <c r="AV161" i="13" l="1" a="1"/>
  <c r="AV161" i="13" s="1"/>
  <c r="AV163" i="13" a="1"/>
  <c r="AV163" i="13" s="1"/>
  <c r="AV165" i="13" a="1"/>
  <c r="AV165" i="13" s="1"/>
  <c r="AV162" i="13" a="1"/>
  <c r="AV162" i="13" s="1"/>
  <c r="AU160" i="13"/>
  <c r="AX156" i="13"/>
  <c r="AT159" i="13"/>
  <c r="BE10" i="28"/>
  <c r="BD11" i="28"/>
  <c r="AW166" i="13"/>
  <c r="AW162" i="13" l="1" a="1"/>
  <c r="AW162" i="13" s="1"/>
  <c r="AW161" i="13" a="1"/>
  <c r="AW161" i="13" s="1"/>
  <c r="AW165" i="13" a="1"/>
  <c r="AW165" i="13" s="1"/>
  <c r="AW163" i="13" a="1"/>
  <c r="AW163" i="13" s="1"/>
  <c r="AV160" i="13"/>
  <c r="AY156" i="13"/>
  <c r="AU159" i="13"/>
  <c r="BF10" i="28"/>
  <c r="BE11" i="28"/>
  <c r="AX166" i="13"/>
  <c r="AX162" i="13" l="1" a="1"/>
  <c r="AX162" i="13" s="1"/>
  <c r="AX161" i="13" a="1"/>
  <c r="AX161" i="13" s="1"/>
  <c r="AX165" i="13" a="1"/>
  <c r="AX165" i="13" s="1"/>
  <c r="AX163" i="13" a="1"/>
  <c r="AX163" i="13" s="1"/>
  <c r="AW160" i="13"/>
  <c r="AZ156" i="13"/>
  <c r="AV159" i="13"/>
  <c r="BG10" i="28"/>
  <c r="BF11" i="28"/>
  <c r="AY166" i="13"/>
  <c r="AY165" i="13" l="1" a="1"/>
  <c r="AY165" i="13" s="1"/>
  <c r="AY162" i="13" a="1"/>
  <c r="AY162" i="13" s="1"/>
  <c r="AY161" i="13" a="1"/>
  <c r="AY161" i="13" s="1"/>
  <c r="AY163" i="13" a="1"/>
  <c r="AY163" i="13" s="1"/>
  <c r="AX160" i="13"/>
  <c r="BA156" i="13"/>
  <c r="AW159" i="13"/>
  <c r="BH10" i="28"/>
  <c r="BG11" i="28"/>
  <c r="AZ166" i="13"/>
  <c r="AZ163" i="13" l="1" a="1"/>
  <c r="AZ163" i="13" s="1"/>
  <c r="AZ162" i="13" a="1"/>
  <c r="AZ162" i="13" s="1"/>
  <c r="AZ161" i="13" a="1"/>
  <c r="AZ161" i="13" s="1"/>
  <c r="AZ165" i="13" a="1"/>
  <c r="AZ165" i="13" s="1"/>
  <c r="AY160" i="13"/>
  <c r="BB156" i="13"/>
  <c r="AX159" i="13"/>
  <c r="BI10" i="28"/>
  <c r="BH11" i="28"/>
  <c r="BA166" i="13"/>
  <c r="BA161" i="13" l="1" a="1"/>
  <c r="BA161" i="13" s="1"/>
  <c r="BA163" i="13" a="1"/>
  <c r="BA163" i="13" s="1"/>
  <c r="BA162" i="13" a="1"/>
  <c r="BA162" i="13" s="1"/>
  <c r="BA165" i="13" a="1"/>
  <c r="BA165" i="13" s="1"/>
  <c r="AZ160" i="13"/>
  <c r="BC156" i="13"/>
  <c r="AY159" i="13"/>
  <c r="BJ10" i="28"/>
  <c r="BI11" i="28"/>
  <c r="BB166" i="13"/>
  <c r="BB161" i="13" l="1" a="1"/>
  <c r="BB161" i="13" s="1"/>
  <c r="BB162" i="13" a="1"/>
  <c r="BB162" i="13" s="1"/>
  <c r="BB163" i="13" a="1"/>
  <c r="BB163" i="13" s="1"/>
  <c r="BB165" i="13" a="1"/>
  <c r="BB165" i="13" s="1"/>
  <c r="BA160" i="13"/>
  <c r="BD156" i="13"/>
  <c r="AZ159" i="13"/>
  <c r="BK10" i="28"/>
  <c r="BJ11" i="28"/>
  <c r="BB160" i="13" l="1"/>
  <c r="BE156" i="13"/>
  <c r="BA159" i="13"/>
  <c r="BL10" i="28"/>
  <c r="BK11" i="28"/>
  <c r="BC166" i="13"/>
  <c r="BC165" i="13" l="1" a="1"/>
  <c r="BC165" i="13" s="1"/>
  <c r="BC162" i="13" a="1"/>
  <c r="BC162" i="13" s="1"/>
  <c r="BC161" i="13" a="1"/>
  <c r="BC161" i="13" s="1"/>
  <c r="BC163" i="13" a="1"/>
  <c r="BC163" i="13" s="1"/>
  <c r="BF156" i="13"/>
  <c r="BB159" i="13"/>
  <c r="BM10" i="28"/>
  <c r="BM11" i="28" s="1"/>
  <c r="BL11" i="28"/>
  <c r="BD166" i="13"/>
  <c r="BD163" i="13" l="1" a="1"/>
  <c r="BD163" i="13" s="1"/>
  <c r="BD165" i="13" a="1"/>
  <c r="BD165" i="13" s="1"/>
  <c r="BD162" i="13" a="1"/>
  <c r="BD162" i="13" s="1"/>
  <c r="BD161" i="13" a="1"/>
  <c r="BD161" i="13" s="1"/>
  <c r="BC160" i="13"/>
  <c r="BE166" i="13"/>
  <c r="BE162" i="13" l="1" a="1"/>
  <c r="BE162" i="13" s="1"/>
  <c r="BE165" i="13" a="1"/>
  <c r="BE165" i="13" s="1"/>
  <c r="BE163" i="13" a="1"/>
  <c r="BE163" i="13" s="1"/>
  <c r="BE161" i="13" a="1"/>
  <c r="BE161" i="13" s="1"/>
  <c r="BD160" i="13"/>
  <c r="BG156" i="13"/>
  <c r="BC159" i="13"/>
  <c r="C48" i="10"/>
  <c r="BF166" i="13"/>
  <c r="BF163" i="13" l="1" a="1"/>
  <c r="BF163" i="13" s="1"/>
  <c r="BF162" i="13" a="1"/>
  <c r="BF162" i="13" s="1"/>
  <c r="BF165" i="13" a="1"/>
  <c r="BF165" i="13" s="1"/>
  <c r="BF161" i="13" a="1"/>
  <c r="BF161" i="13" s="1"/>
  <c r="BE160" i="13"/>
  <c r="BH156" i="13"/>
  <c r="BD159" i="13"/>
  <c r="BG166" i="13"/>
  <c r="BG163" i="13" l="1" a="1"/>
  <c r="BG163" i="13" s="1"/>
  <c r="BG161" i="13" a="1"/>
  <c r="BG161" i="13" s="1"/>
  <c r="BG165" i="13" a="1"/>
  <c r="BG165" i="13" s="1"/>
  <c r="BG162" i="13" a="1"/>
  <c r="BG162" i="13" s="1"/>
  <c r="BF160" i="13"/>
  <c r="BI156" i="13"/>
  <c r="BE159" i="13"/>
  <c r="BH166" i="13"/>
  <c r="BH163" i="13" l="1" a="1"/>
  <c r="BH163" i="13" s="1"/>
  <c r="BH161" i="13" a="1"/>
  <c r="BH161" i="13" s="1"/>
  <c r="BH165" i="13" a="1"/>
  <c r="BH165" i="13" s="1"/>
  <c r="BH162" i="13" a="1"/>
  <c r="BH162" i="13" s="1"/>
  <c r="BG160" i="13"/>
  <c r="BJ156" i="13"/>
  <c r="BF159" i="13"/>
  <c r="BI166" i="13"/>
  <c r="BI162" i="13" l="1" a="1"/>
  <c r="BI162" i="13" s="1"/>
  <c r="BI163" i="13" a="1"/>
  <c r="BI163" i="13" s="1"/>
  <c r="BI161" i="13" a="1"/>
  <c r="BI161" i="13" s="1"/>
  <c r="BI165" i="13" a="1"/>
  <c r="BI165" i="13" s="1"/>
  <c r="BH160" i="13"/>
  <c r="BK156" i="13"/>
  <c r="BG159" i="13"/>
  <c r="BJ166" i="13"/>
  <c r="BJ162" i="13" l="1" a="1"/>
  <c r="BJ162" i="13" s="1"/>
  <c r="BJ161" i="13" a="1"/>
  <c r="BJ161" i="13" s="1"/>
  <c r="BJ165" i="13" a="1"/>
  <c r="BJ165" i="13" s="1"/>
  <c r="BJ163" i="13" a="1"/>
  <c r="BJ163" i="13" s="1"/>
  <c r="BI160" i="13"/>
  <c r="BL156" i="13"/>
  <c r="BH159" i="13"/>
  <c r="BJ160" i="13" l="1"/>
  <c r="BM156" i="13"/>
  <c r="BI159" i="13"/>
  <c r="BN156" i="13" l="1"/>
  <c r="BJ159" i="13"/>
  <c r="BR30" i="28" l="1"/>
  <c r="BP32" i="28"/>
  <c r="BT32" i="28" s="1"/>
  <c r="BP21" i="28"/>
  <c r="BT21" i="28" s="1"/>
  <c r="BR21" i="28"/>
  <c r="BR19" i="28"/>
  <c r="BR24" i="28"/>
  <c r="BR29" i="28"/>
  <c r="BP22" i="28"/>
  <c r="BT22" i="28" s="1"/>
  <c r="BP24" i="28"/>
  <c r="BT24" i="28" s="1"/>
  <c r="BR23" i="28"/>
  <c r="BR28" i="28"/>
  <c r="BP26" i="28"/>
  <c r="BT26" i="28" s="1"/>
  <c r="BR32" i="28"/>
  <c r="BR22" i="28"/>
  <c r="BR17" i="28"/>
  <c r="BR26" i="28"/>
  <c r="BP19" i="28"/>
  <c r="BT19" i="28" s="1"/>
  <c r="BR18" i="28"/>
  <c r="BP30" i="28"/>
  <c r="BT30" i="28" s="1"/>
  <c r="BR25" i="28"/>
  <c r="BP25" i="28"/>
  <c r="BT25" i="28" s="1"/>
  <c r="BP28" i="28"/>
  <c r="BT28" i="28" s="1"/>
  <c r="BR31" i="28"/>
  <c r="BP29" i="28"/>
  <c r="BT29" i="28" s="1"/>
  <c r="C32" i="27" l="1"/>
  <c r="BR16" i="28"/>
  <c r="AE28" i="13"/>
  <c r="D12" i="22" s="1"/>
  <c r="D16" i="22" s="1"/>
  <c r="AD28" i="13"/>
  <c r="C12" i="22" s="1"/>
  <c r="C16" i="22" s="1"/>
  <c r="D33" i="22"/>
  <c r="BP16" i="28"/>
  <c r="BP27" i="28"/>
  <c r="BT27" i="28" s="1"/>
  <c r="BR27" i="28"/>
  <c r="BP20" i="28"/>
  <c r="BT20" i="28" s="1"/>
  <c r="BR20" i="28"/>
  <c r="E99" i="10"/>
  <c r="BP18" i="28"/>
  <c r="BT18" i="28" s="1"/>
  <c r="BP31" i="28"/>
  <c r="BT31" i="28" s="1"/>
  <c r="BP23" i="28"/>
  <c r="BT23" i="28" s="1"/>
  <c r="BP17" i="28"/>
  <c r="BT17" i="28" s="1"/>
  <c r="B52" i="31" l="1"/>
  <c r="D288" i="13" s="1"/>
  <c r="E98" i="10"/>
  <c r="C31" i="27"/>
  <c r="I31" i="27" s="1"/>
  <c r="BP33" i="28"/>
  <c r="BT16" i="28"/>
  <c r="BT33" i="28" s="1"/>
  <c r="BG42" i="28"/>
  <c r="AP42" i="28"/>
  <c r="X37" i="28"/>
  <c r="BG47" i="28"/>
  <c r="BC47" i="28"/>
  <c r="AC47" i="28"/>
  <c r="BI47" i="28"/>
  <c r="Y37" i="28"/>
  <c r="T42" i="28"/>
  <c r="R47" i="28"/>
  <c r="AV37" i="28"/>
  <c r="Q47" i="28"/>
  <c r="AS47" i="28"/>
  <c r="P47" i="28"/>
  <c r="W47" i="28"/>
  <c r="AB37" i="28"/>
  <c r="AG42" i="28"/>
  <c r="AM37" i="28"/>
  <c r="AR42" i="28"/>
  <c r="AO37" i="28"/>
  <c r="BE47" i="28"/>
  <c r="AQ37" i="28"/>
  <c r="Q37" i="28"/>
  <c r="BD37" i="28"/>
  <c r="T47" i="28"/>
  <c r="BB37" i="28"/>
  <c r="V47" i="28"/>
  <c r="AQ42" i="28"/>
  <c r="AD37" i="28"/>
  <c r="AQ47" i="28"/>
  <c r="S42" i="28"/>
  <c r="Z47" i="28"/>
  <c r="AP37" i="28"/>
  <c r="AW37" i="28"/>
  <c r="AK42" i="28"/>
  <c r="BB42" i="28"/>
  <c r="AZ47" i="28"/>
  <c r="O42" i="28"/>
  <c r="AI47" i="28"/>
  <c r="S47" i="28"/>
  <c r="AG37" i="28"/>
  <c r="AI37" i="28"/>
  <c r="AL47" i="28"/>
  <c r="AJ42" i="28"/>
  <c r="AN42" i="28"/>
  <c r="AS37" i="28"/>
  <c r="AZ37" i="28"/>
  <c r="AT47" i="28"/>
  <c r="BA37" i="28"/>
  <c r="BM37" i="28"/>
  <c r="BA47" i="28"/>
  <c r="AW47" i="28"/>
  <c r="U42" i="28"/>
  <c r="BL47" i="28"/>
  <c r="BJ42" i="28"/>
  <c r="O37" i="28"/>
  <c r="BH37" i="28"/>
  <c r="N47" i="28"/>
  <c r="BH42" i="28"/>
  <c r="AB42" i="28"/>
  <c r="U37" i="28"/>
  <c r="AA47" i="28"/>
  <c r="AP47" i="28"/>
  <c r="BE37" i="28"/>
  <c r="AA37" i="28"/>
  <c r="AD42" i="28"/>
  <c r="AJ37" i="28"/>
  <c r="BH47" i="28"/>
  <c r="AA42" i="28"/>
  <c r="AH47" i="28"/>
  <c r="AD47" i="28"/>
  <c r="N37" i="28"/>
  <c r="BF37" i="28"/>
  <c r="AS42" i="28"/>
  <c r="AU42" i="28"/>
  <c r="Y47" i="28"/>
  <c r="X47" i="28"/>
  <c r="O47" i="28"/>
  <c r="BL37" i="28"/>
  <c r="BJ37" i="28"/>
  <c r="AO47" i="28"/>
  <c r="AR47" i="28"/>
  <c r="BC37" i="28"/>
  <c r="BA42" i="28"/>
  <c r="AH37" i="28"/>
  <c r="Y42" i="28"/>
  <c r="AY47" i="28"/>
  <c r="BM42" i="28"/>
  <c r="BL42" i="28"/>
  <c r="AZ42" i="28"/>
  <c r="T37" i="28"/>
  <c r="AV47" i="28"/>
  <c r="P42" i="28"/>
  <c r="AJ47" i="28"/>
  <c r="AL42" i="28"/>
  <c r="AF42" i="28"/>
  <c r="Q42" i="28"/>
  <c r="U47" i="28"/>
  <c r="BG37" i="28"/>
  <c r="AK47" i="28"/>
  <c r="AM47" i="28"/>
  <c r="BI42" i="28"/>
  <c r="AV42" i="28"/>
  <c r="AN47" i="28"/>
  <c r="AL37" i="28"/>
  <c r="AG47" i="28"/>
  <c r="AF37" i="28"/>
  <c r="BC42" i="28"/>
  <c r="AM42" i="28"/>
  <c r="Z37" i="28"/>
  <c r="AE47" i="28"/>
  <c r="AC37" i="28"/>
  <c r="AF47" i="28"/>
  <c r="X42" i="28"/>
  <c r="AT37" i="28"/>
  <c r="BJ47" i="28"/>
  <c r="V37" i="28"/>
  <c r="R37" i="28"/>
  <c r="BF47" i="28"/>
  <c r="V42" i="28"/>
  <c r="AC42" i="28"/>
  <c r="AY42" i="28"/>
  <c r="AE37" i="28"/>
  <c r="BK47" i="28"/>
  <c r="AO42" i="28"/>
  <c r="BK37" i="28"/>
  <c r="AK37" i="28"/>
  <c r="AN37" i="28"/>
  <c r="AU37" i="28"/>
  <c r="BK42" i="28"/>
  <c r="BE42" i="28"/>
  <c r="BI37" i="28"/>
  <c r="BM47" i="28"/>
  <c r="N42" i="28"/>
  <c r="AW42" i="28"/>
  <c r="R42" i="28"/>
  <c r="AX37" i="28"/>
  <c r="AX42" i="28"/>
  <c r="P37" i="28"/>
  <c r="AY37" i="28"/>
  <c r="Z42" i="28"/>
  <c r="AH42" i="28"/>
  <c r="BD42" i="28"/>
  <c r="BD47" i="28"/>
  <c r="AR37" i="28"/>
  <c r="AI42" i="28"/>
  <c r="AX47" i="28"/>
  <c r="W37" i="28"/>
  <c r="AT42" i="28"/>
  <c r="AU47" i="28"/>
  <c r="AE42" i="28"/>
  <c r="W42" i="28"/>
  <c r="BF42" i="28"/>
  <c r="BB47" i="28"/>
  <c r="S37" i="28"/>
  <c r="AB47" i="28"/>
  <c r="F99" i="10" l="1"/>
  <c r="C54" i="10"/>
  <c r="C30" i="27" s="1"/>
  <c r="I30" i="27" s="1"/>
  <c r="C88" i="10"/>
  <c r="AV48" i="28"/>
  <c r="BB43" i="28"/>
  <c r="AX43" i="28"/>
  <c r="AX48" i="28"/>
  <c r="AZ43" i="28"/>
  <c r="AT48" i="28"/>
  <c r="BL43" i="28"/>
  <c r="T38" i="28"/>
  <c r="O48" i="28"/>
  <c r="O38" i="28"/>
  <c r="AX38" i="28"/>
  <c r="AV43" i="28"/>
  <c r="F98" i="10"/>
  <c r="BD43" i="28"/>
  <c r="BF39" i="28"/>
  <c r="BF38" i="28"/>
  <c r="N49" i="28"/>
  <c r="N48" i="28"/>
  <c r="BH38" i="28"/>
  <c r="V38" i="28"/>
  <c r="V39" i="28"/>
  <c r="AT38" i="28"/>
  <c r="BB48" i="28"/>
  <c r="BF43" i="28"/>
  <c r="BF44" i="28"/>
  <c r="BJ43" i="28"/>
  <c r="BJ44" i="28"/>
  <c r="V49" i="28"/>
  <c r="V48" i="28"/>
  <c r="BP41" i="28"/>
  <c r="N38" i="28"/>
  <c r="N39" i="28"/>
  <c r="BH48" i="28"/>
  <c r="BL48" i="28"/>
  <c r="BB38" i="28"/>
  <c r="BP36" i="28"/>
  <c r="K51" i="28"/>
  <c r="R39" i="28"/>
  <c r="R38" i="28"/>
  <c r="BD48" i="28"/>
  <c r="N43" i="28"/>
  <c r="N44" i="28"/>
  <c r="BF48" i="28"/>
  <c r="BF49" i="28"/>
  <c r="AV38" i="28"/>
  <c r="R43" i="28"/>
  <c r="R44" i="28"/>
  <c r="BJ39" i="28"/>
  <c r="BJ38" i="28"/>
  <c r="O43" i="28"/>
  <c r="BD38" i="28"/>
  <c r="R48" i="28"/>
  <c r="R49" i="28"/>
  <c r="V44" i="28"/>
  <c r="V43" i="28"/>
  <c r="AZ38" i="28"/>
  <c r="BJ48" i="28"/>
  <c r="BJ49" i="28"/>
  <c r="BH43" i="28"/>
  <c r="T48" i="28"/>
  <c r="AT43" i="28"/>
  <c r="BL38" i="28"/>
  <c r="AZ48" i="28"/>
  <c r="T43" i="28"/>
  <c r="D52" i="31"/>
  <c r="F105" i="10"/>
  <c r="C31" i="31"/>
  <c r="C33" i="31" s="1"/>
  <c r="F103" i="10"/>
  <c r="C36" i="31"/>
  <c r="C38" i="31" s="1"/>
  <c r="C67" i="10"/>
  <c r="F102" i="10"/>
  <c r="E52" i="31"/>
  <c r="C64" i="31"/>
  <c r="C67" i="31" s="1"/>
  <c r="F101" i="10"/>
  <c r="F100" i="10"/>
  <c r="C79" i="10" l="1"/>
  <c r="C70" i="10"/>
  <c r="C55" i="10"/>
  <c r="D56" i="31"/>
  <c r="D57" i="31" s="1"/>
  <c r="C69" i="10"/>
  <c r="G56" i="31"/>
  <c r="G57" i="31" s="1"/>
  <c r="E56" i="31"/>
  <c r="E57" i="31" s="1"/>
  <c r="F56" i="31"/>
  <c r="F57" i="31" s="1"/>
  <c r="C56" i="31"/>
  <c r="C57" i="31" s="1"/>
  <c r="C58" i="10"/>
  <c r="BT44" i="28" s="1"/>
  <c r="BV44" i="28" s="1"/>
  <c r="M19" i="13"/>
  <c r="BT38" i="28"/>
  <c r="BP38" i="28"/>
  <c r="BP37" i="28"/>
  <c r="K55" i="28"/>
  <c r="BP39" i="28"/>
  <c r="C72" i="10" l="1"/>
  <c r="C60" i="10"/>
  <c r="C61" i="10" s="1"/>
  <c r="BT39" i="28"/>
  <c r="BU39" i="28" s="1"/>
  <c r="BU44" i="28"/>
  <c r="K53" i="28"/>
  <c r="K57" i="28"/>
  <c r="K52" i="28"/>
  <c r="K56" i="28"/>
  <c r="BT43" i="28"/>
  <c r="BV38" i="28"/>
  <c r="BU38" i="28"/>
  <c r="C53" i="10" l="1"/>
  <c r="C37" i="10" s="1"/>
  <c r="C45" i="10"/>
  <c r="M21" i="13" s="1"/>
  <c r="C26" i="27"/>
  <c r="BV39" i="28"/>
  <c r="C36" i="10"/>
  <c r="B68" i="27" s="1" a="1"/>
  <c r="B68" i="27" s="1"/>
  <c r="M23" i="13" s="1"/>
  <c r="BU43" i="28"/>
  <c r="BV43" i="28"/>
  <c r="M22" i="13" l="1"/>
  <c r="C27" i="27"/>
  <c r="BP50" i="28"/>
  <c r="G68" i="27"/>
  <c r="D32"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tc={AB6078FD-1CB8-417A-A6E2-DF5734033E5E}</author>
  </authors>
  <commentList>
    <comment ref="B9" authorId="0" shapeId="0" xr:uid="{AB6078FD-1CB8-417A-A6E2-DF5734033E5E}">
      <text>
        <t>[Threaded comment]
Your version of Excel allows you to read this threaded comment; however, any edits to it will get removed if the file is opened in a newer version of Excel. Learn more: https://go.microsoft.com/fwlink/?linkid=870924
Comment:
    Once we have the simplest training video done, we should add a STOP GO WATCH message here directing people to training
Reply:
    @Katie Stevenson (Credera) Bump - need to determine if this is MVP or not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tc={F833DB94-CD8C-458A-9E82-14591E6EED6E}</author>
  </authors>
  <commentList>
    <comment ref="B19" authorId="0" shapeId="0" xr:uid="{F833DB94-CD8C-458A-9E82-14591E6EED6E}">
      <text>
        <t>[Threaded comment]
Your version of Excel allows you to read this threaded comment; however, any edits to it will get removed if the file is opened in a newer version of Excel. Learn more: https://go.microsoft.com/fwlink/?linkid=870924
Comment:
    @Johannes Arntz (Credera) FYI- we just updated this field name based on Pilot feedback. This was previously “Billing Entity”
Reply:
    @Cristian Guajardo (Credera) for awareness too</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tc={32B27DF2-66AB-4E2C-9753-80EF0967DF76}</author>
    <author>tc={08640E98-71B6-4AFB-8202-9456B36CA307}</author>
    <author>tc={64E9AFCD-30D4-48EA-B567-6AC207771AFB}</author>
  </authors>
  <commentList>
    <comment ref="AD13" authorId="0" shapeId="0" xr:uid="{32B27DF2-66AB-4E2C-9753-80EF0967DF76}">
      <text>
        <t>[Threaded comment]
Your version of Excel allows you to read this threaded comment; however, any edits to it will get removed if the file is opened in a newer version of Excel. Learn more: https://go.microsoft.com/fwlink/?linkid=870924
Comment:
    @Ryan Crews (Credera) We need to update this list. Once updated- please update the source range drop down list on Project Inputs
Reply:
    And remove blank Yes option</t>
      </text>
    </comment>
    <comment ref="F56" authorId="1" shapeId="0" xr:uid="{08640E98-71B6-4AFB-8202-9456B36CA307}">
      <text>
        <t>[Threaded comment]
Your version of Excel allows you to read this threaded comment; however, any edits to it will get removed if the file is opened in a newer version of Excel. Learn more: https://go.microsoft.com/fwlink/?linkid=870924
Comment:
    Replace this whole table with new simplified rates table from Standard Rate Card tab.</t>
      </text>
    </comment>
    <comment ref="J208" authorId="2" shapeId="0" xr:uid="{64E9AFCD-30D4-48EA-B567-6AC207771AFB}">
      <text>
        <t>[Threaded comment]
Your version of Excel allows you to read this threaded comment; however, any edits to it will get removed if the file is opened in a newer version of Excel. Learn more: https://go.microsoft.com/fwlink/?linkid=870924
Comment:
    @Katie Stevenson (Credera) we need to capture updated levels for all TADNA folks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tc={13989036-07ED-4296-B544-5303EDC67345}</author>
    <author>Samantha Abel</author>
    <author>Katie Stevenson (Credera)</author>
    <author>tc={1A508F18-DEE0-4683-A945-E33E8D8F7C1A}</author>
    <author>tc={3057AEFE-E3F8-4FE2-B5B5-4A84B3EA9DFE}</author>
    <author>tc={0F1A0AC8-43FD-4126-AED5-7E8AB1BB6FD5}</author>
  </authors>
  <commentList>
    <comment ref="B2" authorId="0" shapeId="0" xr:uid="{13989036-07ED-4296-B544-5303EDC67345}">
      <text>
        <t>[Threaded comment]
Your version of Excel allows you to read this threaded comment; however, any edits to it will get removed if the file is opened in a newer version of Excel. Learn more: https://go.microsoft.com/fwlink/?linkid=870924
Comment:
    FINAL REVIEW: Freeze this header and column D to help with the calendar table</t>
      </text>
    </comment>
    <comment ref="C25" authorId="1" shapeId="0" xr:uid="{549F5557-FB27-8D40-9B2E-77A4DE8F5717}">
      <text>
        <r>
          <rPr>
            <sz val="10"/>
            <color rgb="FF000000"/>
            <rFont val="Tahoma"/>
            <family val="2"/>
          </rPr>
          <t>Not sure what to select? Check out the RPE QRG or refer to section on How to Use Guide tab for help</t>
        </r>
      </text>
    </comment>
    <comment ref="N47" authorId="2" shapeId="0" xr:uid="{AF29DCC2-CA4B-4681-8B67-7B20E4E98AB1}">
      <text>
        <r>
          <rPr>
            <b/>
            <sz val="9"/>
            <color indexed="81"/>
            <rFont val="Tahoma"/>
            <family val="2"/>
          </rPr>
          <t>To override levels, simply type the desired level number into the correct row. The cells auto populate based on default level for Role Type</t>
        </r>
        <r>
          <rPr>
            <sz val="9"/>
            <color indexed="81"/>
            <rFont val="Tahoma"/>
            <family val="2"/>
          </rPr>
          <t xml:space="preserve">
</t>
        </r>
      </text>
    </comment>
    <comment ref="AA48" authorId="3" shapeId="0" xr:uid="{1A508F18-DEE0-4683-A945-E33E8D8F7C1A}">
      <text>
        <t>[Threaded comment]
Your version of Excel allows you to read this threaded comment; however, any edits to it will get removed if the file is opened in a newer version of Excel. Learn more: https://go.microsoft.com/fwlink/?linkid=870924
Comment:
    Need this to be a drop down with our real capabilities</t>
      </text>
    </comment>
    <comment ref="C160" authorId="2" shapeId="0" xr:uid="{261BC9A6-D4A8-4FD1-BCBC-F0127EEC3752}">
      <text>
        <r>
          <rPr>
            <b/>
            <sz val="9"/>
            <color indexed="81"/>
            <rFont val="Tahoma"/>
            <family val="2"/>
          </rPr>
          <t xml:space="preserve">Reminder: These holidays are not automatically taken out of weekly hours.
</t>
        </r>
      </text>
    </comment>
    <comment ref="C161" authorId="4" shapeId="0" xr:uid="{3057AEFE-E3F8-4FE2-B5B5-4A84B3EA9DFE}">
      <text>
        <t>[Threaded comment]
Your version of Excel allows you to read this threaded comment; however, any edits to it will get removed if the file is opened in a newer version of Excel. Learn more: https://go.microsoft.com/fwlink/?linkid=870924
Comment:
    @Katie Stevenson (Credera) investigate impact of changing this to actual locations</t>
      </text>
    </comment>
    <comment ref="K291" authorId="5" shapeId="0" xr:uid="{0F1A0AC8-43FD-4126-AED5-7E8AB1BB6FD5}">
      <text>
        <t xml:space="preserve">[Threaded comment]
Your version of Excel allows you to read this threaded comment; however, any edits to it will get removed if the file is opened in a newer version of Excel. Learn more: https://go.microsoft.com/fwlink/?linkid=870924
Comment:
    Katie come fix- why isn’t this populating
</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saurav.sen Sen</author>
    <author>Koti Reddy</author>
    <author>Microsoft Office User</author>
  </authors>
  <commentList>
    <comment ref="G14" authorId="0" shapeId="0" xr:uid="{F8A8E213-CFD8-4764-B068-EA39F38CE22C}">
      <text>
        <r>
          <rPr>
            <b/>
            <sz val="10"/>
            <color rgb="FF000000"/>
            <rFont val="Tahoma"/>
            <family val="2"/>
          </rPr>
          <t>saurav.sen Sen:</t>
        </r>
        <r>
          <rPr>
            <sz val="10"/>
            <color rgb="FF000000"/>
            <rFont val="Tahoma"/>
            <family val="2"/>
          </rPr>
          <t xml:space="preserve">
</t>
        </r>
        <r>
          <rPr>
            <sz val="10"/>
            <color rgb="FF000000"/>
            <rFont val="Tahoma"/>
            <family val="2"/>
          </rPr>
          <t>Always group by Practices</t>
        </r>
      </text>
    </comment>
    <comment ref="J14" authorId="1" shapeId="0" xr:uid="{30A13739-7DEF-46C8-A33D-89E2EF2DF15D}">
      <text>
        <r>
          <rPr>
            <b/>
            <sz val="9"/>
            <color rgb="FF000000"/>
            <rFont val="Tahoma"/>
            <family val="2"/>
          </rPr>
          <t>Koti Reddy:</t>
        </r>
        <r>
          <rPr>
            <sz val="9"/>
            <color rgb="FF000000"/>
            <rFont val="Tahoma"/>
            <family val="2"/>
          </rPr>
          <t xml:space="preserve">
</t>
        </r>
        <r>
          <rPr>
            <sz val="9"/>
            <color rgb="FF000000"/>
            <rFont val="Tahoma"/>
            <family val="2"/>
          </rPr>
          <t xml:space="preserve">Enter the number of resources
</t>
        </r>
      </text>
    </comment>
    <comment ref="L14" authorId="0" shapeId="0" xr:uid="{36C1F5BF-7B3C-496F-B318-9A215F92CE35}">
      <text>
        <r>
          <rPr>
            <b/>
            <sz val="10"/>
            <color rgb="FF000000"/>
            <rFont val="Tahoma"/>
            <family val="2"/>
          </rPr>
          <t xml:space="preserve">Example of Phases:
</t>
        </r>
        <r>
          <rPr>
            <sz val="10"/>
            <color rgb="FF000000"/>
            <rFont val="Tahoma"/>
            <family val="2"/>
          </rPr>
          <t xml:space="preserve">Strategic Alignment
</t>
        </r>
        <r>
          <rPr>
            <sz val="10"/>
            <color rgb="FF000000"/>
            <rFont val="Tahoma"/>
            <family val="2"/>
          </rPr>
          <t xml:space="preserve">Engagement Research
</t>
        </r>
        <r>
          <rPr>
            <sz val="10"/>
            <color rgb="FF000000"/>
            <rFont val="Tahoma"/>
            <family val="2"/>
          </rPr>
          <t xml:space="preserve">Opportunity Assessment
</t>
        </r>
        <r>
          <rPr>
            <sz val="10"/>
            <color rgb="FF000000"/>
            <rFont val="Tahoma"/>
            <family val="2"/>
          </rPr>
          <t xml:space="preserve">Content Planning
</t>
        </r>
        <r>
          <rPr>
            <sz val="10"/>
            <color rgb="FF000000"/>
            <rFont val="Tahoma"/>
            <family val="2"/>
          </rPr>
          <t xml:space="preserve">Experience Architecture
</t>
        </r>
        <r>
          <rPr>
            <sz val="10"/>
            <color rgb="FF000000"/>
            <rFont val="Tahoma"/>
            <family val="2"/>
          </rPr>
          <t xml:space="preserve">Creative Execution
</t>
        </r>
        <r>
          <rPr>
            <sz val="10"/>
            <color rgb="FF000000"/>
            <rFont val="Tahoma"/>
            <family val="2"/>
          </rPr>
          <t xml:space="preserve">Requirement
</t>
        </r>
        <r>
          <rPr>
            <sz val="10"/>
            <color rgb="FF000000"/>
            <rFont val="Tahoma"/>
            <family val="2"/>
          </rPr>
          <t xml:space="preserve">Design
</t>
        </r>
        <r>
          <rPr>
            <sz val="10"/>
            <color rgb="FF000000"/>
            <rFont val="Tahoma"/>
            <family val="2"/>
          </rPr>
          <t xml:space="preserve">Construction
</t>
        </r>
        <r>
          <rPr>
            <sz val="10"/>
            <color rgb="FF000000"/>
            <rFont val="Tahoma"/>
            <family val="2"/>
          </rPr>
          <t xml:space="preserve">Testing
</t>
        </r>
        <r>
          <rPr>
            <sz val="10"/>
            <color rgb="FF000000"/>
            <rFont val="Tahoma"/>
            <family val="2"/>
          </rPr>
          <t xml:space="preserve">UAT
</t>
        </r>
        <r>
          <rPr>
            <sz val="10"/>
            <color rgb="FF000000"/>
            <rFont val="Tahoma"/>
            <family val="2"/>
          </rPr>
          <t xml:space="preserve">Go live 
</t>
        </r>
        <r>
          <rPr>
            <sz val="10"/>
            <color rgb="FF000000"/>
            <rFont val="Tahoma"/>
            <family val="2"/>
          </rPr>
          <t xml:space="preserve">Warranty
</t>
        </r>
        <r>
          <rPr>
            <sz val="10"/>
            <color rgb="FF000000"/>
            <rFont val="Tahoma"/>
            <family val="2"/>
          </rPr>
          <t xml:space="preserve">Infrastructure Setup 
</t>
        </r>
        <r>
          <rPr>
            <sz val="10"/>
            <color rgb="FF000000"/>
            <rFont val="Tahoma"/>
            <family val="2"/>
          </rPr>
          <t xml:space="preserve">Deployment
</t>
        </r>
      </text>
    </comment>
    <comment ref="BR14" authorId="2" shapeId="0" xr:uid="{BC4AC0FD-C229-4FFC-85CE-821CC4DEB3A3}">
      <text>
        <r>
          <rPr>
            <b/>
            <sz val="10"/>
            <color rgb="FF000000"/>
            <rFont val="Tahoma"/>
            <family val="2"/>
          </rPr>
          <t>DO NOT UPDATE</t>
        </r>
      </text>
    </comment>
    <comment ref="BS14" authorId="2" shapeId="0" xr:uid="{4DA62DC7-E98B-4F91-9A49-E18A54520FBC}">
      <text>
        <r>
          <rPr>
            <sz val="10"/>
            <color rgb="FF000000"/>
            <rFont val="Tahoma"/>
            <family val="2"/>
          </rPr>
          <t xml:space="preserve">Please update </t>
        </r>
        <r>
          <rPr>
            <b/>
            <sz val="10"/>
            <color rgb="FF000000"/>
            <rFont val="Tahoma"/>
            <family val="2"/>
          </rPr>
          <t xml:space="preserve">Client specific Custom Rates </t>
        </r>
        <r>
          <rPr>
            <sz val="10"/>
            <color rgb="FF000000"/>
            <rFont val="Tahoma"/>
            <family val="2"/>
          </rPr>
          <t>(if different from Standard Rates)</t>
        </r>
      </text>
    </comment>
    <comment ref="BV14" authorId="0" shapeId="0" xr:uid="{EC8FCFCB-55A7-4CEF-B23C-ECEAB38542AB}">
      <text>
        <r>
          <rPr>
            <b/>
            <sz val="10"/>
            <color rgb="FF000000"/>
            <rFont val="Tahoma"/>
            <family val="2"/>
          </rPr>
          <t>Multiply by 1.2 for Fixed Bid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Katie Stevenson (Credera)</author>
  </authors>
  <commentList>
    <comment ref="B40" authorId="0" shapeId="0" xr:uid="{6D07E6F6-264F-43AA-BBB2-978B0B9050C5}">
      <text>
        <r>
          <rPr>
            <sz val="9"/>
            <color indexed="81"/>
            <rFont val="Tahoma"/>
            <family val="2"/>
          </rPr>
          <t xml:space="preserve">See the Margin Analysis section on 4. Summary &amp; Totals for an in-depth break down of margin that considers all project inputs.
</t>
        </r>
      </text>
    </comment>
    <comment ref="B51" authorId="0" shapeId="0" xr:uid="{1EFCCB57-69AF-4284-9E36-CF37AF167DFD}">
      <text>
        <r>
          <rPr>
            <sz val="9"/>
            <color rgb="FF000000"/>
            <rFont val="Tahoma"/>
            <family val="2"/>
          </rPr>
          <t>Calculated based off pure resource rates and cost calculations.</t>
        </r>
      </text>
    </comment>
    <comment ref="B77" authorId="0" shapeId="0" xr:uid="{DA2B33A4-EBA0-456F-9A4B-C2A58356E32B}">
      <text>
        <r>
          <rPr>
            <sz val="9"/>
            <color indexed="81"/>
            <rFont val="Tahoma"/>
            <family val="2"/>
          </rPr>
          <t>Billable Expenses calculated in this table will be built into your Total Client Bid. NOTE: These expenses are for estimate calculation purposes only. You will still need to enter expenses in system to be reimbursed.</t>
        </r>
      </text>
    </comment>
    <comment ref="B78" authorId="0" shapeId="0" xr:uid="{E787BA1F-D711-4C86-8A0D-84FAD7E4C7F7}">
      <text>
        <r>
          <rPr>
            <sz val="9"/>
            <color indexed="81"/>
            <rFont val="Tahoma"/>
            <family val="2"/>
          </rPr>
          <t xml:space="preserve">Non-Billable expenses calculated here are just estimates. They will be used to estimate your project margin that is evaluated by the CRB. 
</t>
        </r>
      </text>
    </comment>
    <comment ref="B88" authorId="0" shapeId="0" xr:uid="{766833D1-FCDA-4D73-9F46-56F4FA7B7249}">
      <text>
        <r>
          <rPr>
            <sz val="9"/>
            <color indexed="81"/>
            <rFont val="Tahoma"/>
            <family val="2"/>
          </rPr>
          <t xml:space="preserve">Any Accelerators or Investments accounted for in this table will be included in your Total Client Bid. These will help recover overall Account margin. If you have done free workshops with a client that you are not planning to bake into this project's contract, do not add them to this table.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Katie Stevenson (Credera)</author>
    <author>tc={16418555-C342-0C49-84DB-AE775BDAC380}</author>
    <author>tc={3642D564-BA5C-F546-9FDE-16AE8BDD0C73}</author>
    <author>tc={EEEDD279-BBDD-4C33-92D5-BD28C905FB15}</author>
    <author>tc={380A0712-6A2D-4B60-BC76-AC23DC6855B0}</author>
  </authors>
  <commentList>
    <comment ref="B45" authorId="0" shapeId="0" xr:uid="{8789F242-D730-4B98-B624-6C8D4F3C0EFC}">
      <text>
        <r>
          <rPr>
            <sz val="9"/>
            <color indexed="81"/>
            <rFont val="Tahoma"/>
            <family val="2"/>
          </rPr>
          <t xml:space="preserve">Revenue in System does not always equal Total Bid. System Revenue is the total revenue reflected in Projector or Dynamics. See note in Total Project Revenue in B60 for more information.
</t>
        </r>
      </text>
    </comment>
    <comment ref="B52" authorId="1" shapeId="0" xr:uid="{16418555-C342-0C49-84DB-AE775BDAC380}">
      <text>
        <t xml:space="preserve">[Threaded comment]
Your version of Excel allows you to read this threaded comment; however, any edits to it will get removed if the file is opened in a newer version of Excel. Learn more: https://go.microsoft.com/fwlink/?linkid=870924
Comment:
    @Katie Stevenson (Credera) - in re-reviewing, if the Big header is "Basic financials" should  the name of the one below it be "financial totals"? Feels like we should rename one or the other </t>
      </text>
    </comment>
    <comment ref="B53" authorId="0" shapeId="0" xr:uid="{BD08ED83-8D33-4293-82AD-1851FC85C9A4}">
      <text>
        <r>
          <rPr>
            <sz val="9"/>
            <color indexed="81"/>
            <rFont val="Tahoma"/>
            <family val="2"/>
          </rPr>
          <t xml:space="preserve">Credera's margin target is 47%. The Commercial Review board will review projects with margin below target.
</t>
        </r>
      </text>
    </comment>
    <comment ref="B60" authorId="0" shapeId="0" xr:uid="{38793D35-B539-451B-8B37-7C25BAF1431D}">
      <text>
        <r>
          <rPr>
            <sz val="9"/>
            <color indexed="81"/>
            <rFont val="Tahoma"/>
            <family val="2"/>
          </rPr>
          <t xml:space="preserve">For Fixed Fee projects, Total Project Revenue and Total Client Bid are equal. For Time &amp; Materials projects, the Total Client Bid includes Contingency, but Projector/Dynamics will only show the guaranteed Total Project Revenue
</t>
        </r>
      </text>
    </comment>
    <comment ref="B64" authorId="2" shapeId="0" xr:uid="{3642D564-BA5C-F546-9FDE-16AE8BDD0C73}">
      <text>
        <t>[Threaded comment]
Your version of Excel allows you to read this threaded comment; however, any edits to it will get removed if the file is opened in a newer version of Excel. Learn more: https://go.microsoft.com/fwlink/?linkid=870924
Comment:
    @Katie Stevenson (Credera) similar question here, is there a reason it "Financial Total - Revenue" and "Revenue totals" aren't named the same?  Either one is fine.  Just feels off to be different when there's not a second table below it</t>
      </text>
    </comment>
    <comment ref="B65" authorId="3" shapeId="0" xr:uid="{EEEDD279-BBDD-4C33-92D5-BD28C905FB15}">
      <text>
        <t>[Threaded comment]
Your version of Excel allows you to read this threaded comment; however, any edits to it will get removed if the file is opened in a newer version of Excel. Learn more: https://go.microsoft.com/fwlink/?linkid=870924
Comment:
    @Haley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Reply:
    @Katie Stevenson (Credera) - sorry, now i fully get your comment.  Yes, this makes a lot of sense.  easier to follow!</t>
      </text>
    </comment>
    <comment ref="C69" authorId="4" shapeId="0" xr:uid="{380A0712-6A2D-4B60-BC76-AC23DC6855B0}">
      <text>
        <t>[Threaded comment]
Your version of Excel allows you to read this threaded comment; however, any edits to it will get removed if the file is opened in a newer version of Excel. Learn more: https://go.microsoft.com/fwlink/?linkid=870924
Comment:
    This should not always impact margin, correct? Only for Fixed Fee? Checked bid calc</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tc={18D9346A-6EF1-4627-A16F-A92CA24E226F}</author>
    <author>Marleta Hansen (Credera)</author>
    <author>tc={433E0AB8-78E1-4E94-9928-DBF8AF050461}</author>
    <author>Katie Stevenson (Credera)</author>
    <author>tc={433CDC30-A16A-4D49-8B26-9742CB9C14CA}</author>
    <author>tc={DAAB6BD6-5CB8-4F96-94A9-B12AF78B623A}</author>
    <author>tc={47763C8A-96D3-466D-8575-A993B46F1BCC}</author>
  </authors>
  <commentList>
    <comment ref="I3" authorId="0" shapeId="0" xr:uid="{18D9346A-6EF1-4627-A16F-A92CA24E226F}">
      <text>
        <t>[Threaded comment]
Your version of Excel allows you to read this threaded comment; however, any edits to it will get removed if the file is opened in a newer version of Excel. Learn more: https://go.microsoft.com/fwlink/?linkid=870924
Comment:
    Let’s change this color to not green if it’s a flag</t>
      </text>
    </comment>
    <comment ref="B26" authorId="1" shapeId="0" xr:uid="{55A324C3-E861-4B37-BF2D-964433A8AF66}">
      <text>
        <r>
          <rPr>
            <sz val="9"/>
            <color indexed="81"/>
            <rFont val="Tahoma"/>
            <family val="2"/>
          </rPr>
          <t xml:space="preserve">List total estimated Revenue across all Credera entities.  
If split across Credera entities is relevant, you can explain the split in the comment
</t>
        </r>
      </text>
    </comment>
    <comment ref="B27" authorId="1" shapeId="0" xr:uid="{81D029B9-0B29-439A-A48A-06455ECD89C2}">
      <text>
        <r>
          <rPr>
            <b/>
            <sz val="9"/>
            <color indexed="81"/>
            <rFont val="Tahoma"/>
            <family val="2"/>
          </rPr>
          <t xml:space="preserve">Margin = 
[Estimated Revenue – Estimated Cost] / 
Estimated Revenue
</t>
        </r>
        <r>
          <rPr>
            <sz val="9"/>
            <color indexed="81"/>
            <rFont val="Tahoma"/>
            <family val="2"/>
          </rPr>
          <t xml:space="preserve">
Include total estimated cost for any and all resources expected to work on the project even if some resources time will not be directly billed to the client.
Estimated cost should also include any expected non-billable expenses</t>
        </r>
      </text>
    </comment>
    <comment ref="I27" authorId="2" shapeId="0" xr:uid="{433E0AB8-78E1-4E94-9928-DBF8AF050461}">
      <text>
        <t>[Threaded comment]
Your version of Excel allows you to read this threaded comment; however, any edits to it will get removed if the file is opened in a newer version of Excel. Learn more: https://go.microsoft.com/fwlink/?linkid=870924
Comment:
    Utilize annotation to this and a link to the KPI tab
Reply:
    @Katie Stevenson (Credera) Bump</t>
      </text>
    </comment>
    <comment ref="B28" authorId="3" shapeId="0" xr:uid="{05970CE3-4154-4EA2-A9DA-A3740C10C08E}">
      <text>
        <r>
          <rPr>
            <sz val="9"/>
            <color indexed="81"/>
            <rFont val="Tahoma"/>
            <family val="2"/>
          </rPr>
          <t xml:space="preserve">You can reference the Portfolio Performance Report to get your overall Account Margin
</t>
        </r>
      </text>
    </comment>
    <comment ref="C29" authorId="1" shapeId="0" xr:uid="{600A598D-E87B-48C6-8A32-3097C7EC77D0}">
      <text>
        <r>
          <rPr>
            <b/>
            <sz val="9"/>
            <color indexed="81"/>
            <rFont val="Tahoma"/>
            <family val="2"/>
          </rPr>
          <t xml:space="preserve">Blended Rate = 
Estimated Revenue / Estimated Hours
</t>
        </r>
        <r>
          <rPr>
            <sz val="9"/>
            <color indexed="81"/>
            <rFont val="Tahoma"/>
            <family val="2"/>
          </rPr>
          <t xml:space="preserve">
</t>
        </r>
      </text>
    </comment>
    <comment ref="G29" authorId="1" shapeId="0" xr:uid="{EA1D2E76-B40E-4126-B3A9-4812DACC3E00}">
      <text>
        <r>
          <rPr>
            <b/>
            <sz val="9"/>
            <color indexed="81"/>
            <rFont val="Tahoma"/>
            <family val="2"/>
          </rPr>
          <t xml:space="preserve">Blended Cost = 
Estimated Total Cost / Estimated Hours
</t>
        </r>
        <r>
          <rPr>
            <sz val="9"/>
            <color indexed="81"/>
            <rFont val="Tahoma"/>
            <family val="2"/>
          </rPr>
          <t xml:space="preserve">
</t>
        </r>
      </text>
    </comment>
    <comment ref="B30" authorId="1" shapeId="0" xr:uid="{ECC51978-133D-4DEB-A8A5-40D5B8324C64}">
      <text>
        <r>
          <rPr>
            <sz val="9"/>
            <color indexed="81"/>
            <rFont val="Tahoma"/>
            <family val="2"/>
          </rPr>
          <t>Calculate Blended Rate and Cost across all planned resources.
Include any and all resources expected to work on the project even if some resources time will not be directly billed to the client.</t>
        </r>
      </text>
    </comment>
    <comment ref="B31" authorId="1" shapeId="0" xr:uid="{6CE45B72-2238-4D25-964F-9993A6884F9D}">
      <text>
        <r>
          <rPr>
            <sz val="9"/>
            <color rgb="FF000000"/>
            <rFont val="Tahoma"/>
            <family val="2"/>
          </rPr>
          <t xml:space="preserve">Calculate Blended Rate and Cost across onshore planned resources.
</t>
        </r>
        <r>
          <rPr>
            <sz val="9"/>
            <color rgb="FF000000"/>
            <rFont val="Tahoma"/>
            <family val="2"/>
          </rPr>
          <t xml:space="preserve">
</t>
        </r>
        <r>
          <rPr>
            <sz val="9"/>
            <color rgb="FF000000"/>
            <rFont val="Tahoma"/>
            <family val="2"/>
          </rPr>
          <t>Include any and all onshore resources expected to work on the project even if some resources time will not be directly billed to the client.</t>
        </r>
      </text>
    </comment>
    <comment ref="B32" authorId="1" shapeId="0" xr:uid="{71309A44-7A5F-45B0-8ACB-89F0DDA8B875}">
      <text>
        <r>
          <rPr>
            <sz val="9"/>
            <color indexed="81"/>
            <rFont val="Tahoma"/>
            <family val="2"/>
          </rPr>
          <t>Calculate Blended Rate and Cost across GDC planned resources.
Include any and all GDC resources expected to work on the project even if some resources time will not be directly billed to the client.</t>
        </r>
      </text>
    </comment>
    <comment ref="B35" authorId="1" shapeId="0" xr:uid="{8B764EB5-7F2D-4685-A32E-4114944C238B}">
      <text>
        <r>
          <rPr>
            <sz val="9"/>
            <color indexed="81"/>
            <rFont val="Tahoma"/>
            <family val="2"/>
          </rPr>
          <t>Select the appropriate Deal Type from the drop down options.
Staffing / Staff Aug projects should select Time &amp; Materials (no cap)</t>
        </r>
      </text>
    </comment>
    <comment ref="B36" authorId="1" shapeId="0" xr:uid="{2F5C61DD-5CAB-47A0-9392-8A89FF228858}">
      <text>
        <r>
          <rPr>
            <sz val="9"/>
            <color indexed="81"/>
            <rFont val="Tahoma"/>
            <family val="2"/>
          </rPr>
          <t>We use a flat cost-basis contingency calculation – If the project is estimated as a total revenue amount of $100K with a 10% contingency, the client agreement amount for the work  (or estimate for T&amp;M deals) should be $110K</t>
        </r>
        <r>
          <rPr>
            <b/>
            <sz val="9"/>
            <color indexed="81"/>
            <rFont val="Tahoma"/>
            <family val="2"/>
          </rPr>
          <t xml:space="preserve">
</t>
        </r>
        <r>
          <rPr>
            <sz val="9"/>
            <color indexed="81"/>
            <rFont val="Tahoma"/>
            <family val="2"/>
          </rPr>
          <t>The contingency amount should be reflected on the SOW with the client, but should not be entered as planned revenue in our forecast.  The client lead will need to approve usage of contingency during the project if needed, but we do not plan to earn contingency at the outset of the project.</t>
        </r>
      </text>
    </comment>
    <comment ref="B39" authorId="1" shapeId="0" xr:uid="{6C274791-A7AC-4254-B359-BC14CC627AE2}">
      <text>
        <r>
          <rPr>
            <sz val="9"/>
            <color indexed="81"/>
            <rFont val="Tahoma"/>
            <family val="2"/>
          </rPr>
          <t>Team size is the number of roles on the project.  If the number of roles will change significantly over the course of the project, please explain in the comment.</t>
        </r>
      </text>
    </comment>
    <comment ref="B40" authorId="1" shapeId="0" xr:uid="{A39CF8EE-73AD-4370-AAB0-70BD89311A34}">
      <text>
        <r>
          <rPr>
            <sz val="9"/>
            <color indexed="81"/>
            <rFont val="Tahoma"/>
            <family val="2"/>
          </rPr>
          <t>Email Presales@credera.com for your GDC consulation.</t>
        </r>
      </text>
    </comment>
    <comment ref="B41" authorId="1" shapeId="0" xr:uid="{E53ED037-B06A-4A85-B0D4-BA8272DDEDFF}">
      <text>
        <r>
          <rPr>
            <b/>
            <sz val="9"/>
            <color indexed="81"/>
            <rFont val="Tahoma"/>
            <family val="2"/>
          </rPr>
          <t xml:space="preserve">Overall GDC % = 
Total Estimated GDC Hours / Total Estimated Hours
</t>
        </r>
        <r>
          <rPr>
            <sz val="9"/>
            <color indexed="81"/>
            <rFont val="Tahoma"/>
            <family val="2"/>
          </rPr>
          <t xml:space="preserve">This field will capture the overall GDC % of hours and the following fields will breakdown the % by practice.  </t>
        </r>
      </text>
    </comment>
    <comment ref="B44" authorId="1" shapeId="0" xr:uid="{C2710CC4-B2E9-48B9-A740-5BDF103137A2}">
      <text>
        <r>
          <rPr>
            <b/>
            <sz val="9"/>
            <color indexed="81"/>
            <rFont val="Tahoma"/>
            <family val="2"/>
          </rPr>
          <t xml:space="preserve">L7 % = 
Estimated L7 Resource Hours / 
Total Estimated Hours
</t>
        </r>
        <r>
          <rPr>
            <sz val="9"/>
            <color indexed="81"/>
            <rFont val="Tahoma"/>
            <family val="2"/>
          </rPr>
          <t>Include hours for any and all resources expected to work on the project even if some resources time will not be directly billed to the client.</t>
        </r>
      </text>
    </comment>
    <comment ref="B45" authorId="1" shapeId="0" xr:uid="{33FFAFDC-2EFF-405F-AF14-9CB30498695B}">
      <text>
        <r>
          <rPr>
            <b/>
            <sz val="9"/>
            <color indexed="81"/>
            <rFont val="Tahoma"/>
            <family val="2"/>
          </rPr>
          <t xml:space="preserve">L6 % = 
Estimated L6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6" authorId="1" shapeId="0" xr:uid="{51A4EDC4-D39D-44DF-8AEB-A9D27E1FFD4F}">
      <text>
        <r>
          <rPr>
            <b/>
            <sz val="9"/>
            <color indexed="81"/>
            <rFont val="Tahoma"/>
            <family val="2"/>
          </rPr>
          <t xml:space="preserve">L5 % = 
Estimated L5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7" authorId="1" shapeId="0" xr:uid="{89A64A9E-81D8-4F5D-80A2-75EC975D57E1}">
      <text>
        <r>
          <rPr>
            <b/>
            <sz val="9"/>
            <color indexed="81"/>
            <rFont val="Tahoma"/>
            <family val="2"/>
          </rPr>
          <t xml:space="preserve">L4 % = 
Estimated L4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8" authorId="1" shapeId="0" xr:uid="{CB9171E3-BF95-4A7D-AFAB-741303CA7220}">
      <text>
        <r>
          <rPr>
            <b/>
            <sz val="9"/>
            <color indexed="81"/>
            <rFont val="Tahoma"/>
            <family val="2"/>
          </rPr>
          <t xml:space="preserve">L3 % = 
Estimated L3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9" authorId="1" shapeId="0" xr:uid="{BF151356-0B0D-457D-AA6E-7F7ECA4AEBF4}">
      <text>
        <r>
          <rPr>
            <b/>
            <sz val="9"/>
            <color indexed="81"/>
            <rFont val="Tahoma"/>
            <family val="2"/>
          </rPr>
          <t xml:space="preserve">L2 % = 
Estimated L2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0" authorId="1" shapeId="0" xr:uid="{1DD7FDF7-1A2A-45E1-8A23-76C182018830}">
      <text>
        <r>
          <rPr>
            <b/>
            <sz val="9"/>
            <color indexed="81"/>
            <rFont val="Tahoma"/>
            <family val="2"/>
          </rPr>
          <t xml:space="preserve">L1 % = 
Estimated L1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3" authorId="1" shapeId="0" xr:uid="{27BE00FE-45E9-4F01-A8F9-CEEE9FDDB386}">
      <text>
        <r>
          <rPr>
            <sz val="9"/>
            <color rgb="FF000000"/>
            <rFont val="Tahoma"/>
            <family val="2"/>
          </rPr>
          <t>Select the appropriate answer from the drop down options.</t>
        </r>
      </text>
    </comment>
    <comment ref="B54" authorId="1" shapeId="0" xr:uid="{659CB303-6A8C-4D28-A200-19B570AB8320}">
      <text>
        <r>
          <rPr>
            <sz val="9"/>
            <color rgb="FF000000"/>
            <rFont val="Tahoma"/>
            <family val="2"/>
          </rPr>
          <t>Select the appropriate answer from the drop down options.</t>
        </r>
      </text>
    </comment>
    <comment ref="B57" authorId="1" shapeId="0" xr:uid="{444F4867-7C3C-4FBF-8F5A-DAEF98CD4C84}">
      <text>
        <r>
          <rPr>
            <sz val="9"/>
            <color indexed="81"/>
            <rFont val="Tahoma"/>
            <family val="2"/>
          </rPr>
          <t>Select the appropriate answer from the drop down options.</t>
        </r>
      </text>
    </comment>
    <comment ref="B58" authorId="1" shapeId="0" xr:uid="{6BA3CFBC-4503-4457-9A69-1AC0B0BD52ED}">
      <text>
        <r>
          <rPr>
            <b/>
            <sz val="9"/>
            <color indexed="81"/>
            <rFont val="Tahoma"/>
            <family val="2"/>
          </rPr>
          <t>Existing Accounts:</t>
        </r>
        <r>
          <rPr>
            <sz val="9"/>
            <color indexed="81"/>
            <rFont val="Tahoma"/>
            <family val="2"/>
          </rPr>
          <t xml:space="preserve">
The Euler request is not required for Existing clients (choose "N/A - Existing").  Finance will periodically renew Euler scores for existing accounts without any action from the sales and delivery teams.
</t>
        </r>
        <r>
          <rPr>
            <b/>
            <sz val="9"/>
            <color indexed="81"/>
            <rFont val="Tahoma"/>
            <family val="2"/>
          </rPr>
          <t>New Accounts:</t>
        </r>
        <r>
          <rPr>
            <sz val="9"/>
            <color indexed="81"/>
            <rFont val="Tahoma"/>
            <family val="2"/>
          </rPr>
          <t xml:space="preserve">
For any opportunities at a new client, please reach out to Finance@credera.com to request a Euler scoring as soon as we decide to pursue an opportunity. The Finance Team will respond with the results of the Euler score and will let you know if any specific terms are required for agreements with this client as a result.
If you have already requested a Euler score from Finance, select the "Yes - Requested" option even if you have not yet received a response from Finance. We only need to know that the process has been initiated.
If you have not requested a Euler score on this client, you need to do so, but answer "No - Not Yet" until you have contacted finance.</t>
        </r>
      </text>
    </comment>
    <comment ref="B59" authorId="1" shapeId="0" xr:uid="{F1DA10AF-B04A-49C2-BC78-F3E02902A28E}">
      <text>
        <r>
          <rPr>
            <b/>
            <sz val="9"/>
            <color indexed="81"/>
            <rFont val="Tahoma"/>
            <family val="2"/>
          </rPr>
          <t xml:space="preserve">Existing Accounts:
</t>
        </r>
        <r>
          <rPr>
            <sz val="9"/>
            <color indexed="81"/>
            <rFont val="Tahoma"/>
            <family val="2"/>
          </rPr>
          <t xml:space="preserve">Choose "N/A - Existing" unless the MSA is being renegotiated along with this opportunity.
</t>
        </r>
        <r>
          <rPr>
            <b/>
            <sz val="9"/>
            <color indexed="81"/>
            <rFont val="Tahoma"/>
            <family val="2"/>
          </rPr>
          <t>New Accounts:</t>
        </r>
        <r>
          <rPr>
            <sz val="9"/>
            <color indexed="81"/>
            <rFont val="Tahoma"/>
            <family val="2"/>
          </rPr>
          <t xml:space="preserve">
If this opportunity will enter into a new MSA for Credera, the Commercial Review Board needs to review any MSAs that specify rates.</t>
        </r>
      </text>
    </comment>
    <comment ref="C59" authorId="4" shapeId="0" xr:uid="{433CDC30-A16A-4D49-8B26-9742CB9C14CA}">
      <text>
        <t>[Threaded comment]
Your version of Excel allows you to read this threaded comment; however, any edits to it will get removed if the file is opened in a newer version of Excel. Learn more: https://go.microsoft.com/fwlink/?linkid=870924
Comment:
    Should this field autopopulate if a custom rate card is used/client custom rate class? Or should it populate as a “comment” field?
@Marleta Hansen (Credera) 
Reply:
    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
      </text>
    </comment>
    <comment ref="I59" authorId="5" shapeId="0" xr:uid="{DAAB6BD6-5CB8-4F96-94A9-B12AF78B623A}">
      <text>
        <t>[Threaded comment]
Your version of Excel allows you to read this threaded comment; however, any edits to it will get removed if the file is opened in a newer version of Excel. Learn more: https://go.microsoft.com/fwlink/?linkid=870924
Comment:
    Add flag that asks about new rate card, add flag that looks for projects with override rates without a discount. Confirm requirements with Marleta</t>
      </text>
    </comment>
    <comment ref="B60" authorId="1" shapeId="0" xr:uid="{1A4649A1-EFED-456F-A137-C55074480E48}">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1" authorId="1" shapeId="0" xr:uid="{FE780849-3C64-4BA6-B728-4796BFD11C82}">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2" authorId="1" shapeId="0" xr:uid="{2ECBF9B2-DEC2-40EA-AB08-9756A4B5F81A}">
      <text>
        <r>
          <rPr>
            <sz val="9"/>
            <color indexed="81"/>
            <rFont val="Tahoma"/>
            <family val="2"/>
          </rPr>
          <t>A volume discount is a structure that changes the terms of the deal based on revenue earned or hours worked over a period of time (i.e., the volume of work).  Sometimes a volume discount is written to impact a single SOW, and sometimes volume discounts reference multiple or all work completed for a client during a period of time.  Regardless of the structure, if there are any terms proposed or existing from a previous agreement that could reduce rates or revenue for this opportunity based on the volume of work over time, choose "Yes" here.
Volume Discounts are almost always inappropriate for Consulting work, and if there is a request from a client for a volume discount, the Commercial Review Board will discuss how to respond appropriately.</t>
        </r>
      </text>
    </comment>
    <comment ref="B63" authorId="1" shapeId="0" xr:uid="{F4F1153C-1F54-40D2-81E2-102B9A67CAE6}">
      <text>
        <r>
          <rPr>
            <sz val="9"/>
            <color indexed="81"/>
            <rFont val="Tahoma"/>
            <family val="2"/>
          </rPr>
          <t>Is this a target account for the portfolio this year? If yes, please provide a headline statement of the strategy for this client in the comments field.</t>
        </r>
      </text>
    </comment>
    <comment ref="P69" authorId="6" shapeId="0" xr:uid="{47763C8A-96D3-466D-8575-A993B46F1BCC}">
      <text>
        <t>[Threaded comment]
Your version of Excel allows you to read this threaded comment; however, any edits to it will get removed if the file is opened in a newer version of Excel. Learn more: https://go.microsoft.com/fwlink/?linkid=870924
Comment:
    @Katie Stevenson (Credera) Did we decide we wanted to move this over to the left? Or hide it?</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tc={C62BB651-F4BB-4495-9C4E-27394A6DBB19}</author>
  </authors>
  <commentList>
    <comment ref="A2" authorId="0" shapeId="0" xr:uid="{C62BB651-F4BB-4495-9C4E-27394A6DBB19}">
      <text>
        <t>[Threaded comment]
Your version of Excel allows you to read this threaded comment; however, any edits to it will get removed if the file is opened in a newer version of Excel. Learn more: https://go.microsoft.com/fwlink/?linkid=870924
Comment:
    @Marleta Hansen (Credera) pls send Risk Management slides for KPI’s</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Samantha Abel</author>
    <author>tc={F6009B7B-84FA-4366-A5FC-4CEA04431EF8}</author>
    <author>tc={F76A7D65-4FDA-4660-B919-C1E17BD12FFA}</author>
  </authors>
  <commentList>
    <comment ref="S1" authorId="0" shapeId="0" xr:uid="{97B92A9F-1C82-8E42-AEF7-0CD723490113}">
      <text>
        <r>
          <rPr>
            <b/>
            <sz val="10"/>
            <color rgb="FF000000"/>
            <rFont val="Tahoma"/>
            <family val="2"/>
          </rPr>
          <t>Samantha Abel:</t>
        </r>
        <r>
          <rPr>
            <sz val="10"/>
            <color rgb="FF000000"/>
            <rFont val="Tahoma"/>
            <family val="2"/>
          </rPr>
          <t xml:space="preserve">
</t>
        </r>
        <r>
          <rPr>
            <sz val="10"/>
            <color rgb="FF000000"/>
            <rFont val="Tahoma"/>
            <family val="2"/>
          </rPr>
          <t>Remember to click "+" to expand if you need to determine if different line items are in scope or not nd evaluate scope options</t>
        </r>
      </text>
    </comment>
    <comment ref="C4" authorId="1" shapeId="0" xr:uid="{F6009B7B-84FA-4366-A5FC-4CEA04431EF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 ref="L59" authorId="0" shapeId="0" xr:uid="{941B6E50-F671-444E-8903-38594E05BCAC}">
      <text>
        <r>
          <rPr>
            <sz val="10"/>
            <color rgb="FF000000"/>
            <rFont val="Tahoma"/>
            <family val="2"/>
          </rPr>
          <t>Reminder! If you need to review multiple scope options to see the different durations for including tasks or not - please expand the columns above!</t>
        </r>
      </text>
    </comment>
    <comment ref="T59" authorId="2" shapeId="0" xr:uid="{F76A7D65-4FDA-4660-B919-C1E17BD12FFA}">
      <text>
        <t>[Threaded comment]
Your version of Excel allows you to read this threaded comment; however, any edits to it will get removed if the file is opened in a newer version of Excel. Learn more: https://go.microsoft.com/fwlink/?linkid=870924
Comment:
    Can we reduce the vertical height used here?
Reply:
    @Katie Stevenson (Credera) Bump</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tc={9C193BF1-1EB3-4E7D-8B10-B0E4FA266D38}</author>
  </authors>
  <commentList>
    <comment ref="B6" authorId="0" shapeId="0" xr:uid="{9C193BF1-1EB3-4E7D-8B10-B0E4FA266D3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tc={052A2392-96F3-43DB-854F-BC60DAF48085}</author>
    <author>tc={02659B2E-3775-4BA1-BC9E-349C1D2FB8F2}</author>
  </authors>
  <commentList>
    <comment ref="B3" authorId="0" shapeId="0" xr:uid="{052A2392-96F3-43DB-854F-BC60DAF48085}">
      <text>
        <t>[Threaded comment]
Your version of Excel allows you to read this threaded comment; however, any edits to it will get removed if the file is opened in a newer version of Excel. Learn more: https://go.microsoft.com/fwlink/?linkid=870924
Comment:
    “Review” or “compare”? I think Compare is more active and a better presentation of the purpose of this page
Reply:
    @Katie Stevenson (Credera) Bump</t>
      </text>
    </comment>
    <comment ref="B6" authorId="1" shapeId="0" xr:uid="{02659B2E-3775-4BA1-BC9E-349C1D2FB8F2}">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Nagesh N. Kumar</author>
  </authors>
  <commentList>
    <comment ref="B32" authorId="0" shapeId="0" xr:uid="{A639C8B6-8D33-5E4D-87E4-8E4588764984}">
      <text>
        <r>
          <rPr>
            <b/>
            <sz val="9"/>
            <color rgb="FF000000"/>
            <rFont val="Tahoma"/>
            <family val="2"/>
          </rPr>
          <t>Nagesh N. Kumar:</t>
        </r>
        <r>
          <rPr>
            <sz val="9"/>
            <color rgb="FF000000"/>
            <rFont val="Tahoma"/>
            <family val="2"/>
          </rPr>
          <t xml:space="preserve">
</t>
        </r>
        <r>
          <rPr>
            <sz val="9"/>
            <color rgb="FF000000"/>
            <rFont val="Tahoma"/>
            <family val="2"/>
          </rPr>
          <t xml:space="preserve"> WCM testing only</t>
        </r>
      </text>
    </comment>
    <comment ref="B33" authorId="0" shapeId="0" xr:uid="{287A5352-197C-7443-B61E-A23282FF599B}">
      <text>
        <r>
          <rPr>
            <b/>
            <sz val="9"/>
            <color rgb="FF000000"/>
            <rFont val="Tahoma"/>
            <family val="2"/>
          </rPr>
          <t>Nagesh N. Kumar:</t>
        </r>
        <r>
          <rPr>
            <sz val="9"/>
            <color rgb="FF000000"/>
            <rFont val="Tahoma"/>
            <family val="2"/>
          </rPr>
          <t xml:space="preserve">
</t>
        </r>
        <r>
          <rPr>
            <sz val="9"/>
            <color rgb="FF000000"/>
            <rFont val="Tahoma"/>
            <family val="2"/>
          </rPr>
          <t>UI &amp; WCM testing without responsive testing, only 3 browsers</t>
        </r>
      </text>
    </comment>
    <comment ref="B34" authorId="0" shapeId="0" xr:uid="{2B1F350F-0863-8646-8617-8B3B96B12135}">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with 3 devices and 3 browsers</t>
        </r>
      </text>
    </comment>
    <comment ref="B35" authorId="0" shapeId="0" xr:uid="{F38AE5ED-7C09-C940-8FFF-0500FC089AF2}">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 ref="B36" authorId="0" shapeId="0" xr:uid="{B563DF13-3530-584D-898E-6493F59D5784}">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<sst xmlns="http://schemas.openxmlformats.org/spreadsheetml/2006/main" count="22822" uniqueCount="3692">
  <si>
    <t>LEGEND</t>
  </si>
  <si>
    <t>Optional</t>
  </si>
  <si>
    <t>Instructions</t>
  </si>
  <si>
    <t>To package estimated items into different scope options and quickly adjust based on feedback</t>
  </si>
  <si>
    <t>Manual Entry</t>
  </si>
  <si>
    <t>To model out detailed pricing options based on level and rate by role</t>
  </si>
  <si>
    <t xml:space="preserve">To evaluate multiple project financials when selling work such as margin, blended rate, etc. </t>
  </si>
  <si>
    <t>y</t>
  </si>
  <si>
    <t>Tab Name</t>
  </si>
  <si>
    <t>Key Action</t>
  </si>
  <si>
    <t>1. Project Inputs</t>
  </si>
  <si>
    <t>Optional - Scope Estimation</t>
  </si>
  <si>
    <t>Optional - Scope Options Review</t>
  </si>
  <si>
    <t xml:space="preserve"> </t>
  </si>
  <si>
    <t>Optional - Pricing Scenario Eval</t>
  </si>
  <si>
    <t>Office</t>
  </si>
  <si>
    <t>CMS</t>
  </si>
  <si>
    <t>Client:</t>
  </si>
  <si>
    <t>Select E-Commerce</t>
  </si>
  <si>
    <t>OMC Client &amp; OMC Agencies Involved?</t>
  </si>
  <si>
    <t>Select</t>
  </si>
  <si>
    <t>In Unit Testing Deliverable to Client</t>
  </si>
  <si>
    <t>Project Name</t>
  </si>
  <si>
    <t>Project Type</t>
  </si>
  <si>
    <t>Rate / Margin Class</t>
  </si>
  <si>
    <r>
      <t xml:space="preserve">Client Rate Card </t>
    </r>
    <r>
      <rPr>
        <i/>
        <sz val="11"/>
        <color theme="1"/>
        <rFont val="Lato Regular"/>
      </rPr>
      <t>(only select if Custom Rates selected for Margin Class)</t>
    </r>
  </si>
  <si>
    <t>Start Date:</t>
  </si>
  <si>
    <t>Billing Type</t>
  </si>
  <si>
    <t>Generic Complexity Options</t>
  </si>
  <si>
    <t>Complexity / Difficult Level</t>
  </si>
  <si>
    <t>External Dependencies</t>
  </si>
  <si>
    <t>Complex</t>
  </si>
  <si>
    <t>Many External Dependencies</t>
  </si>
  <si>
    <t>Very Large</t>
  </si>
  <si>
    <t>Some External Dependencies</t>
  </si>
  <si>
    <t>Large</t>
  </si>
  <si>
    <t>Not Many External Dependencies</t>
  </si>
  <si>
    <t>Medium</t>
  </si>
  <si>
    <t>No External Dependencies</t>
  </si>
  <si>
    <t>Small</t>
  </si>
  <si>
    <t>Not Specifying Dependency Risk</t>
  </si>
  <si>
    <t>Very Small</t>
  </si>
  <si>
    <t>None</t>
  </si>
  <si>
    <t>Option 1</t>
  </si>
  <si>
    <t>Option 2</t>
  </si>
  <si>
    <t>Option 3</t>
  </si>
  <si>
    <t>SCOPE ESTIMATION</t>
  </si>
  <si>
    <t>OMC Client?</t>
  </si>
  <si>
    <t>Entities Involved:</t>
  </si>
  <si>
    <t>Margin Class</t>
  </si>
  <si>
    <t>Project Duration (Weeks)</t>
  </si>
  <si>
    <t>Do not use this column - it is for copying line items in from the Scoping Starter tab</t>
  </si>
  <si>
    <t>Will be used for Role Planning</t>
  </si>
  <si>
    <t>Grouping for Line Item (ex: Epic)</t>
  </si>
  <si>
    <t>Line Item to Estimate (ex. Feature)</t>
  </si>
  <si>
    <t>This value is the number of days for 1 person to complete the work, not total duration. Hours per day assumption = 8. If assuming multiple people, multiply the effort by number of people &amp; document</t>
  </si>
  <si>
    <t>Select a complexity factor or select "Not specifying"</t>
  </si>
  <si>
    <t>Select a dependency factor or select "Not specifying"</t>
  </si>
  <si>
    <t>Effort Days weighted by Confidence Level plus Complexity Risk Factor plus Dependencies Risk Factor. Gray coloring for rows without estimates calculated</t>
  </si>
  <si>
    <t>Mark for in or out of scope for each option, must fill these out for data to show up on Option tabs.</t>
  </si>
  <si>
    <t>Here you will see weighted effort days by option for each task</t>
  </si>
  <si>
    <t>Document all assumptions you based your estimate on, validate them, and transfer to SOW</t>
  </si>
  <si>
    <t>Questions that you need to ask to be comfortable with your assumptions</t>
  </si>
  <si>
    <t>Include Y/N</t>
  </si>
  <si>
    <t>Bucket / Phase</t>
  </si>
  <si>
    <t xml:space="preserve">Workstream/ Parent / Epic / User Story  </t>
  </si>
  <si>
    <t>Child / Activity / Task</t>
  </si>
  <si>
    <t>Effort Days Manual Input Consulting - ONLY</t>
  </si>
  <si>
    <t>Complexity</t>
  </si>
  <si>
    <t>Column1</t>
  </si>
  <si>
    <t>Column2</t>
  </si>
  <si>
    <t>Column3</t>
  </si>
  <si>
    <t>Weighted Effort Days</t>
  </si>
  <si>
    <t>Option 1 Weighted Effort</t>
  </si>
  <si>
    <t>Option 2 Weighted Effort</t>
  </si>
  <si>
    <t>Option 3 Weighted Effort</t>
  </si>
  <si>
    <t>Assumptions</t>
  </si>
  <si>
    <t>Client Questions</t>
  </si>
  <si>
    <t>Yes</t>
  </si>
  <si>
    <t>Efforts Summary Table</t>
  </si>
  <si>
    <t>Additional Buckets Total Days</t>
  </si>
  <si>
    <t>Weighted Person Days</t>
  </si>
  <si>
    <t>Total Effort Days</t>
  </si>
  <si>
    <t>SI Quick Total Estimation Calculator - Digital Projects ONLY</t>
  </si>
  <si>
    <t>Component</t>
  </si>
  <si>
    <t>Quantity</t>
  </si>
  <si>
    <t>Weighted Days</t>
  </si>
  <si>
    <t>Totals</t>
  </si>
  <si>
    <t>OPTIONS ANALYSIS</t>
  </si>
  <si>
    <t>In order for pivot tables to update, please select on a cell in the pivot table and in your excel header select "PivotTable" then "Refresh All" to see updated totals</t>
  </si>
  <si>
    <t>Option 1 Details</t>
  </si>
  <si>
    <t>Option 2 Details</t>
  </si>
  <si>
    <t>Option 3 Details</t>
  </si>
  <si>
    <t>Option Name</t>
  </si>
  <si>
    <t># of Weeks</t>
  </si>
  <si>
    <t>1. Review Estimated Buckets, Activities &amp; Totals</t>
  </si>
  <si>
    <t>Grand Total</t>
  </si>
  <si>
    <t>Total Person Days</t>
  </si>
  <si>
    <t>Duration (wks)</t>
  </si>
  <si>
    <t>Instructions/ Guidelines</t>
  </si>
  <si>
    <t xml:space="preserve">Basic Financial Comparison for Pricing Option. Use columns in table below to select "Yes" or "No" to include a roll in a pricing option. </t>
  </si>
  <si>
    <t>Select Approach Option</t>
  </si>
  <si>
    <t>Phases/Buckets</t>
  </si>
  <si>
    <t>Total Hours</t>
  </si>
  <si>
    <t>Pricing Option 1</t>
  </si>
  <si>
    <t>Pricing Option 2</t>
  </si>
  <si>
    <t>Pricing Option 3</t>
  </si>
  <si>
    <t>Estimated Cost</t>
  </si>
  <si>
    <t>Estimated Revenue</t>
  </si>
  <si>
    <t>Revenue</t>
  </si>
  <si>
    <t>Cost</t>
  </si>
  <si>
    <t>Blended Rate</t>
  </si>
  <si>
    <t>Margin</t>
  </si>
  <si>
    <t>L2</t>
  </si>
  <si>
    <t>L3</t>
  </si>
  <si>
    <t>L4</t>
  </si>
  <si>
    <t>L5</t>
  </si>
  <si>
    <t>L6</t>
  </si>
  <si>
    <t>L7</t>
  </si>
  <si>
    <t>Onshore</t>
  </si>
  <si>
    <t>Offshore</t>
  </si>
  <si>
    <t>Week 1</t>
  </si>
  <si>
    <t>Week 2</t>
  </si>
  <si>
    <t>Week 3</t>
  </si>
  <si>
    <t>Week 4</t>
  </si>
  <si>
    <t>Week 5</t>
  </si>
  <si>
    <t>Week 6</t>
  </si>
  <si>
    <t>Week 7</t>
  </si>
  <si>
    <t>Week 8</t>
  </si>
  <si>
    <t>Week 9</t>
  </si>
  <si>
    <t>Week 10</t>
  </si>
  <si>
    <t>Week 11</t>
  </si>
  <si>
    <t>Week 12</t>
  </si>
  <si>
    <t>Week 13</t>
  </si>
  <si>
    <t>Week 14</t>
  </si>
  <si>
    <t>Week 15</t>
  </si>
  <si>
    <t>Week 16</t>
  </si>
  <si>
    <t>Week 17</t>
  </si>
  <si>
    <t>Week 18</t>
  </si>
  <si>
    <t>Week 19</t>
  </si>
  <si>
    <t>Week 20</t>
  </si>
  <si>
    <t>Week 21</t>
  </si>
  <si>
    <t>Week 22</t>
  </si>
  <si>
    <t>Week 23</t>
  </si>
  <si>
    <t>Week 24</t>
  </si>
  <si>
    <t>Week 25</t>
  </si>
  <si>
    <t>Week 26</t>
  </si>
  <si>
    <t>Week 27</t>
  </si>
  <si>
    <t>Week 28</t>
  </si>
  <si>
    <t>Week 29</t>
  </si>
  <si>
    <t>Week 30</t>
  </si>
  <si>
    <t>Week 31</t>
  </si>
  <si>
    <t>Week 32</t>
  </si>
  <si>
    <t>Week 33</t>
  </si>
  <si>
    <t>Week 34</t>
  </si>
  <si>
    <t>Week 35</t>
  </si>
  <si>
    <t>Week 36</t>
  </si>
  <si>
    <t>Week 37</t>
  </si>
  <si>
    <t>Week 38</t>
  </si>
  <si>
    <t>Week 39</t>
  </si>
  <si>
    <t>Week 40</t>
  </si>
  <si>
    <t>Week 41</t>
  </si>
  <si>
    <t>Week 42</t>
  </si>
  <si>
    <t>Week 43</t>
  </si>
  <si>
    <t>Week 44</t>
  </si>
  <si>
    <t>Week 45</t>
  </si>
  <si>
    <t>Week 46</t>
  </si>
  <si>
    <t>Week 47</t>
  </si>
  <si>
    <t>Week 48</t>
  </si>
  <si>
    <t>Week 49</t>
  </si>
  <si>
    <t>Week 50</t>
  </si>
  <si>
    <t>Week 51</t>
  </si>
  <si>
    <t>Week 52</t>
  </si>
  <si>
    <t>Level</t>
  </si>
  <si>
    <r>
      <t xml:space="preserve">STD. T&amp;M Rate </t>
    </r>
    <r>
      <rPr>
        <b/>
        <i/>
        <sz val="8"/>
        <color theme="1"/>
        <rFont val="Lato Regular"/>
      </rPr>
      <t>($/Hr)</t>
    </r>
  </si>
  <si>
    <t xml:space="preserve">Client Rate </t>
  </si>
  <si>
    <t>CrederaUS</t>
  </si>
  <si>
    <t>Cloud Migration Engineer</t>
  </si>
  <si>
    <t>Cumulative Effort</t>
  </si>
  <si>
    <t>T&amp;M Week Breakdown</t>
  </si>
  <si>
    <t>Per Week</t>
  </si>
  <si>
    <t>FF Week Breakdown</t>
  </si>
  <si>
    <t>PRICING SCENARIOS EVAL</t>
  </si>
  <si>
    <t>Financial Totals</t>
  </si>
  <si>
    <t>Pricing Scenario 1</t>
  </si>
  <si>
    <t>Pricing Scenario 2</t>
  </si>
  <si>
    <t>Pricing Scenario 3</t>
  </si>
  <si>
    <t>Employee Revenue:</t>
  </si>
  <si>
    <t>Resource Totals</t>
  </si>
  <si>
    <t>Resource Margin</t>
  </si>
  <si>
    <t>Offshore Rate</t>
  </si>
  <si>
    <t>Onshore Rate</t>
  </si>
  <si>
    <t>% Offshore Resources</t>
  </si>
  <si>
    <t>Expenses:</t>
  </si>
  <si>
    <t>FT Resources</t>
  </si>
  <si>
    <t>PT Resources</t>
  </si>
  <si>
    <t>Billable Hours</t>
  </si>
  <si>
    <t>Leadership Hours %</t>
  </si>
  <si>
    <t>Total Number of Resources</t>
  </si>
  <si>
    <t>Breakdown by Entity (if applicable)</t>
  </si>
  <si>
    <t>Entity</t>
  </si>
  <si>
    <t>% of Team</t>
  </si>
  <si>
    <t>Total Rev</t>
  </si>
  <si>
    <t>Credera US</t>
  </si>
  <si>
    <t>TAD</t>
  </si>
  <si>
    <t>BrightGen</t>
  </si>
  <si>
    <t>Credera UK</t>
  </si>
  <si>
    <t>Smart Digital</t>
  </si>
  <si>
    <t>Credera India/LATAM (GDC)</t>
  </si>
  <si>
    <t>Other OMC Agencies</t>
  </si>
  <si>
    <t>Coming Soon</t>
  </si>
  <si>
    <t>Areteans</t>
  </si>
  <si>
    <t>Estimated Buckets</t>
  </si>
  <si>
    <t>Total Estimated Days</t>
  </si>
  <si>
    <t>Project- Level Assumptions</t>
  </si>
  <si>
    <t>Billable?</t>
  </si>
  <si>
    <t>Select Answer</t>
  </si>
  <si>
    <t>Travel</t>
  </si>
  <si>
    <t>Training</t>
  </si>
  <si>
    <t xml:space="preserve">Tools &amp; Licenses </t>
  </si>
  <si>
    <t>Other Expenses</t>
  </si>
  <si>
    <t>Accelerators / Investments</t>
  </si>
  <si>
    <t>Margin Delta</t>
  </si>
  <si>
    <t>T&amp;M</t>
  </si>
  <si>
    <t>Project Revenue</t>
  </si>
  <si>
    <t>Resource Rate</t>
  </si>
  <si>
    <t>Leverage Ratio</t>
  </si>
  <si>
    <t>% of Revenue</t>
  </si>
  <si>
    <t>Resource Level</t>
  </si>
  <si>
    <t>L1 / A2-A3</t>
  </si>
  <si>
    <t>L7 (Partner)</t>
  </si>
  <si>
    <t>Standard Rate Cards</t>
  </si>
  <si>
    <t>NOTE: Credera rack rates are confidential and are not to be shared without collaboration of your OIC</t>
  </si>
  <si>
    <t xml:space="preserve">RDC Reference- Resource Title </t>
  </si>
  <si>
    <t>Updated</t>
  </si>
  <si>
    <t>Drop Down for Org</t>
  </si>
  <si>
    <t>Resource Organization</t>
  </si>
  <si>
    <t>Role Type</t>
  </si>
  <si>
    <t>Resource Title</t>
  </si>
  <si>
    <t>Resource Cost</t>
  </si>
  <si>
    <t>On/OffShore</t>
  </si>
  <si>
    <t>Rack Rate</t>
  </si>
  <si>
    <t>Practice</t>
  </si>
  <si>
    <t>Yes/No Drop Down</t>
  </si>
  <si>
    <t>Resource Platform</t>
  </si>
  <si>
    <t>Platform</t>
  </si>
  <si>
    <t>Ecom</t>
  </si>
  <si>
    <t>SAP?</t>
  </si>
  <si>
    <t>OMC Agencies</t>
  </si>
  <si>
    <t>TAD Work Bucket List</t>
  </si>
  <si>
    <t>Remaining Days Drop Down</t>
  </si>
  <si>
    <t>Bucket Phase Options</t>
  </si>
  <si>
    <t>Analyst</t>
  </si>
  <si>
    <t>Credera US Consulting - L1 / A2-A3 | Analyst</t>
  </si>
  <si>
    <t>Management Consulting (CUS)</t>
  </si>
  <si>
    <t>Acquia</t>
  </si>
  <si>
    <t>Select Type</t>
  </si>
  <si>
    <t>TADNA</t>
  </si>
  <si>
    <t>Analytics Engineer</t>
  </si>
  <si>
    <t>Credera US Consulting - L3 / C1-C2 | Senior Consultant</t>
  </si>
  <si>
    <t>Atlanta</t>
  </si>
  <si>
    <t>Experience Design (CUS)</t>
  </si>
  <si>
    <t>Adobe</t>
  </si>
  <si>
    <t>Consulting</t>
  </si>
  <si>
    <t>AEM</t>
  </si>
  <si>
    <t>WCS</t>
  </si>
  <si>
    <t>Standard Rates</t>
  </si>
  <si>
    <t>UX</t>
  </si>
  <si>
    <t>No Approach Options Used</t>
  </si>
  <si>
    <t>TADIndia</t>
  </si>
  <si>
    <t>Back End Engineer</t>
  </si>
  <si>
    <t>Credera US Consulting - L2 / B1-B3 | Consultant</t>
  </si>
  <si>
    <t>Costa Rica</t>
  </si>
  <si>
    <t>Chicago</t>
  </si>
  <si>
    <t>Technology Solution (CUS)</t>
  </si>
  <si>
    <t>No</t>
  </si>
  <si>
    <t>Salesforce</t>
  </si>
  <si>
    <t>Digital - Staffing Augmentation</t>
  </si>
  <si>
    <t>Fixed Fee</t>
  </si>
  <si>
    <t>Sitecore</t>
  </si>
  <si>
    <t>Hybris</t>
  </si>
  <si>
    <t>Client Custom Rates</t>
  </si>
  <si>
    <t>UI</t>
  </si>
  <si>
    <t>CrederaLATAM</t>
  </si>
  <si>
    <t>Cloud FinOps Engineer</t>
  </si>
  <si>
    <t>Colombia</t>
  </si>
  <si>
    <t>Denver</t>
  </si>
  <si>
    <t>MarTech &amp; Commerce (CUS)</t>
  </si>
  <si>
    <t>MACH</t>
  </si>
  <si>
    <t>Digital - Systems Implementation</t>
  </si>
  <si>
    <t>Drupal</t>
  </si>
  <si>
    <t>Investment</t>
  </si>
  <si>
    <t>Yes - TWBA</t>
  </si>
  <si>
    <t>CMS + Web Integration</t>
  </si>
  <si>
    <t>CrederaIndia</t>
  </si>
  <si>
    <t>Dallas</t>
  </si>
  <si>
    <t>MarTech (GDC)</t>
  </si>
  <si>
    <t>.NET</t>
  </si>
  <si>
    <t>Digital - Strategy/UX</t>
  </si>
  <si>
    <t>Other</t>
  </si>
  <si>
    <t>Yes - Critical Mass</t>
  </si>
  <si>
    <t>Services/Integrations</t>
  </si>
  <si>
    <t>Cloud Native App Engineer</t>
  </si>
  <si>
    <t>Houston</t>
  </si>
  <si>
    <t xml:space="preserve">Premium MarTech </t>
  </si>
  <si>
    <t>Managed Services</t>
  </si>
  <si>
    <t>Yes - DDBO</t>
  </si>
  <si>
    <t>E-Commerce</t>
  </si>
  <si>
    <t>CrederaUK</t>
  </si>
  <si>
    <t>Cloud Platform Engineer</t>
  </si>
  <si>
    <t>New York City</t>
  </si>
  <si>
    <t>Wordpress</t>
  </si>
  <si>
    <t>Digital - MarTech Consulting/Strategy</t>
  </si>
  <si>
    <t>Yes - OHG</t>
  </si>
  <si>
    <t>SmartDigital</t>
  </si>
  <si>
    <t>Data Engineer</t>
  </si>
  <si>
    <t>Los Angeles</t>
  </si>
  <si>
    <t>Aquia</t>
  </si>
  <si>
    <t>Tealium</t>
  </si>
  <si>
    <t>Yes - RAPP</t>
  </si>
  <si>
    <t>Data Integration Engineer</t>
  </si>
  <si>
    <t>Seattle</t>
  </si>
  <si>
    <t>MarTech</t>
  </si>
  <si>
    <t>Data Science Engineer</t>
  </si>
  <si>
    <t>San Fransisco Bay Area</t>
  </si>
  <si>
    <t>Experience Design</t>
  </si>
  <si>
    <t>Coveo</t>
  </si>
  <si>
    <t>Data Visualization Engineer</t>
  </si>
  <si>
    <t>No Location Preference</t>
  </si>
  <si>
    <t>DevOps Engineer</t>
  </si>
  <si>
    <t>Canada</t>
  </si>
  <si>
    <t>Management Consulting</t>
  </si>
  <si>
    <t>Front End Engineer</t>
  </si>
  <si>
    <t>Full Stack Engineer</t>
  </si>
  <si>
    <t>Technology Solution</t>
  </si>
  <si>
    <t>Infrastructure Engineer</t>
  </si>
  <si>
    <t>Delivery</t>
  </si>
  <si>
    <t>Machine Learning Engineer</t>
  </si>
  <si>
    <t>Capability Squad (CUS)</t>
  </si>
  <si>
    <t>ML Ops Engineer</t>
  </si>
  <si>
    <t>Consumer Squad (CUS)</t>
  </si>
  <si>
    <t>Mobile Engineer</t>
  </si>
  <si>
    <t>Energy Squad (CUS)</t>
  </si>
  <si>
    <t>Security Engineer</t>
  </si>
  <si>
    <t>Healthcare Squad (CUS)</t>
  </si>
  <si>
    <t>Cloud Solution Architect</t>
  </si>
  <si>
    <t>Credera US Consulting - L5 / D2-E1 | Senior Architect</t>
  </si>
  <si>
    <t>Digital Squad (CUS)</t>
  </si>
  <si>
    <t>Data Architect</t>
  </si>
  <si>
    <t>Expansion Accounts Squad (CUS)</t>
  </si>
  <si>
    <t>Enterprise Architect</t>
  </si>
  <si>
    <t>SGLT (CUS)</t>
  </si>
  <si>
    <t>Front End Architect</t>
  </si>
  <si>
    <t>Credera US Consulting - L4 / D1 | Architect</t>
  </si>
  <si>
    <t>Experience Design (TAD)</t>
  </si>
  <si>
    <t>Mobile Architect</t>
  </si>
  <si>
    <t>Management Consulting (TAD)</t>
  </si>
  <si>
    <t>Security Architect</t>
  </si>
  <si>
    <t>Cloud &amp; Engineering (GDC)</t>
  </si>
  <si>
    <t>Solution Architect</t>
  </si>
  <si>
    <t>Content (GDC)</t>
  </si>
  <si>
    <t>Project Tech Lead</t>
  </si>
  <si>
    <t>Data &amp; AI (GDC)</t>
  </si>
  <si>
    <t>Program Tech Lead</t>
  </si>
  <si>
    <t>Experience Design (GDC)</t>
  </si>
  <si>
    <t>Cloud Advisor</t>
  </si>
  <si>
    <t>Management Consulting (GDC)</t>
  </si>
  <si>
    <t>Data Analyst</t>
  </si>
  <si>
    <t>Quality Assurance (GDC)</t>
  </si>
  <si>
    <t>Data Scientist</t>
  </si>
  <si>
    <t>Data Strategist</t>
  </si>
  <si>
    <t>Mobile Strategist</t>
  </si>
  <si>
    <t>Privacy Analyst</t>
  </si>
  <si>
    <t>Privacy Strategist</t>
  </si>
  <si>
    <t>Security Analyst</t>
  </si>
  <si>
    <t>Security Strategist</t>
  </si>
  <si>
    <t>Technology Strategist</t>
  </si>
  <si>
    <t>Program XD Lead</t>
  </si>
  <si>
    <t>Project XD Lead</t>
  </si>
  <si>
    <t>Credera US Consulting - L4 / D1 | Manager</t>
  </si>
  <si>
    <t>Business Analyst</t>
  </si>
  <si>
    <t>OIC</t>
  </si>
  <si>
    <t>Credera US Partner - L7 / S2-EX3 | Partner</t>
  </si>
  <si>
    <t>Product Manager</t>
  </si>
  <si>
    <t>Program Lead</t>
  </si>
  <si>
    <t>Credera US Consulting - L5 / D2-E1 | Senior Manager</t>
  </si>
  <si>
    <t>Project Lead</t>
  </si>
  <si>
    <t>Designer</t>
  </si>
  <si>
    <t>Design Director</t>
  </si>
  <si>
    <t>Design System Designer</t>
  </si>
  <si>
    <t>Production Designer</t>
  </si>
  <si>
    <t>UI Designer</t>
  </si>
  <si>
    <t>Visual Designer</t>
  </si>
  <si>
    <t>Content Designer</t>
  </si>
  <si>
    <t>Content Strategist</t>
  </si>
  <si>
    <t>Content Strategy Director</t>
  </si>
  <si>
    <t>Customer Researcher</t>
  </si>
  <si>
    <t>Market Researcher</t>
  </si>
  <si>
    <t>Research Manager</t>
  </si>
  <si>
    <t>Experience Strategist</t>
  </si>
  <si>
    <t>User Researcher</t>
  </si>
  <si>
    <t>Experience Strategy Director</t>
  </si>
  <si>
    <t>Service Designer</t>
  </si>
  <si>
    <t>Workshop Facilitator</t>
  </si>
  <si>
    <t>EE &amp; Culture Specialist</t>
  </si>
  <si>
    <t>Org. &amp; Change Analyst</t>
  </si>
  <si>
    <t>Org. &amp; Change Generalist</t>
  </si>
  <si>
    <t>Org. Change Manager</t>
  </si>
  <si>
    <t>Innovation Specialist</t>
  </si>
  <si>
    <t>Operations Specialist</t>
  </si>
  <si>
    <t>S&amp;O Analyst</t>
  </si>
  <si>
    <t>Strategy Specialist</t>
  </si>
  <si>
    <t>MT&amp;C Content Specialist</t>
  </si>
  <si>
    <t>Commerce Architect</t>
  </si>
  <si>
    <t>MT&amp;C Automation Specialist</t>
  </si>
  <si>
    <t>MT&amp;C Generalist / Analyst</t>
  </si>
  <si>
    <t>MT&amp;C Project Manager</t>
  </si>
  <si>
    <t>MT&amp;C SEO/Organic Specialist</t>
  </si>
  <si>
    <t>MT&amp;C SCV/CDP Specialist</t>
  </si>
  <si>
    <t>MC Principal</t>
  </si>
  <si>
    <t>Credera US Consulting - L6 / E2-S1 | Principal</t>
  </si>
  <si>
    <t>XD Principal</t>
  </si>
  <si>
    <t>TS Principal Architect</t>
  </si>
  <si>
    <t>Credera US Consulting - L6 / E2-S1 | Principal Architect</t>
  </si>
  <si>
    <t>Digital Principal Architect</t>
  </si>
  <si>
    <t>Digital Principal</t>
  </si>
  <si>
    <t>MarTech Architect</t>
  </si>
  <si>
    <t>MT&amp;C Analytics Specialist</t>
  </si>
  <si>
    <t>MT&amp;C Specialist (Other)</t>
  </si>
  <si>
    <t>Scrum Master</t>
  </si>
  <si>
    <t>TADNorthAmerica</t>
  </si>
  <si>
    <t>Management - Associate Practice Director</t>
  </si>
  <si>
    <t>TADigital NA | Management - Associate Practice Director</t>
  </si>
  <si>
    <t>Management - Practice Director / Delivery Director</t>
  </si>
  <si>
    <t>TADigital NA | Management - Practice Director / Delivery Director</t>
  </si>
  <si>
    <t>Management - Sr. Practice Director / Sr. Delivery Director</t>
  </si>
  <si>
    <t>TADigital NA | Management - Sr. Practice Director / Sr. Delivery Director</t>
  </si>
  <si>
    <t>Management - Practice VP / Delivery VP</t>
  </si>
  <si>
    <t>TADigital NA | Management - Practice VP / Delivery VP</t>
  </si>
  <si>
    <t>Management - CXO / CDO</t>
  </si>
  <si>
    <t>Project Manager / Product Manager</t>
  </si>
  <si>
    <t>TADigital NA Consulting - Project Manager / Product Manager</t>
  </si>
  <si>
    <t>Sr. Project Manager</t>
  </si>
  <si>
    <t>TADigital NA Consulting - Sr. Project Manager</t>
  </si>
  <si>
    <t>Delivery Manager</t>
  </si>
  <si>
    <t>TADigital NA Consulting - Delivery Manager</t>
  </si>
  <si>
    <t>Practice Manager</t>
  </si>
  <si>
    <t>TADigital NA Consulting - Practice Manager</t>
  </si>
  <si>
    <t>Sr. Practice Manager</t>
  </si>
  <si>
    <t>TADigital NA Consulting - Sr. Practice Manager</t>
  </si>
  <si>
    <t>Content &amp; SEO - Content Analyst</t>
  </si>
  <si>
    <t>TADigital NA Consulting | Content &amp; SEO - Content Analyst</t>
  </si>
  <si>
    <t>Content &amp; SEO - Associate Content Strategist</t>
  </si>
  <si>
    <t>TADigital NA Consulting | Content &amp; SEO - Associate Content Strategist</t>
  </si>
  <si>
    <t>Content &amp; SEO - Content Strategist</t>
  </si>
  <si>
    <t>TADigital NA Consulting | Content &amp; SEO - Content Strategist</t>
  </si>
  <si>
    <t>Content &amp; SEO - Sr. Content Strategist</t>
  </si>
  <si>
    <t>TADigital NA Consulting | Content &amp; SEO - Sr. Content Strategist</t>
  </si>
  <si>
    <t>Content &amp; SEO - Content Strategy Lead</t>
  </si>
  <si>
    <t>TADigital NA Consulting | Content &amp; SEO - Content Strategy Lead</t>
  </si>
  <si>
    <t>Content &amp; SEO - Associate Manager</t>
  </si>
  <si>
    <t>TADigital NA Consulting | Content &amp; SEO - Associate Manager</t>
  </si>
  <si>
    <t>Content &amp; SEO - Associate Copy Analyst</t>
  </si>
  <si>
    <t>TADigital NA Consulting | Content &amp; SEO - Associate Copy Analyst</t>
  </si>
  <si>
    <t>Content &amp; SEO - Copywriter</t>
  </si>
  <si>
    <t>TADigital NA Consulting | Content &amp; SEO - Copywriter</t>
  </si>
  <si>
    <t>Content &amp; SEO - Sr. Copywriter</t>
  </si>
  <si>
    <t>TADigital NA Consulting | Content &amp; SEO - Sr. Copywriter</t>
  </si>
  <si>
    <t>Content &amp; SEO - Sr. Copy Editor</t>
  </si>
  <si>
    <t>TADigital NA Consulting | Content &amp; SEO - Sr. Copy Editor</t>
  </si>
  <si>
    <t>Content &amp; SEO - Editorial Content Lead</t>
  </si>
  <si>
    <t>TADigital NA Consulting | Content &amp; SEO - Editorial Content Lead</t>
  </si>
  <si>
    <t>Content &amp; SEO - Associate Web Content Analyst</t>
  </si>
  <si>
    <t>TADigital NA Consulting | Content &amp; SEO - Associate Web Content Analyst</t>
  </si>
  <si>
    <t>Content &amp; SEO - Web Content Analyst</t>
  </si>
  <si>
    <t>TADigital NA Consulting | Content &amp; SEO - Web Content Analyst</t>
  </si>
  <si>
    <t>Content &amp; SEO - Sr. Web Content Analyst</t>
  </si>
  <si>
    <t>TADigital NA Consulting | Content &amp; SEO - Sr. Web Content Analyst</t>
  </si>
  <si>
    <t>Content &amp; SEO - Principal Web Content Analyst</t>
  </si>
  <si>
    <t>TADigital NA Consulting | Content &amp; SEO - Principal Web Content Analyst</t>
  </si>
  <si>
    <t>Content &amp; SEO - Sr. Content Engineer</t>
  </si>
  <si>
    <t>TADigital NA Consulting | Content &amp; SEO - Sr. Content Engineer</t>
  </si>
  <si>
    <t>Content &amp; SEO - Lead Web Content Engineer</t>
  </si>
  <si>
    <t>TADigital NA Consulting | Content &amp; SEO - Lead Web Content Engineer</t>
  </si>
  <si>
    <t>Content &amp; SEO - Associate SEO Analyst</t>
  </si>
  <si>
    <t>TADigital NA Consulting | Content &amp; SEO - Associate SEO Analyst</t>
  </si>
  <si>
    <t>Content &amp; SEO - SEO Analyst</t>
  </si>
  <si>
    <t>TADigital NA Consulting | Content &amp; SEO - SEO Analyst</t>
  </si>
  <si>
    <t>Content &amp; SEO - SEO Strategist</t>
  </si>
  <si>
    <t>TADigital NA Consulting | Content &amp; SEO - SEO Strategist</t>
  </si>
  <si>
    <t>Content &amp; SEO - Sr. SEO Strategist</t>
  </si>
  <si>
    <t>TADigital NA Consulting | Content &amp; SEO - Sr. SEO Strategist</t>
  </si>
  <si>
    <t>Content &amp; SEO - SEO Lead</t>
  </si>
  <si>
    <t>TADigital NA Consulting | Content &amp; SEO - SEO Lead</t>
  </si>
  <si>
    <t>Design - Associate UX Designer</t>
  </si>
  <si>
    <t>TADigital NA Consulting | Design - Associate UX Designer</t>
  </si>
  <si>
    <t>Design - UX Designer</t>
  </si>
  <si>
    <t>TADigital NA Consulting | Design - UX Designer</t>
  </si>
  <si>
    <t>Design - Sr. UX Designer</t>
  </si>
  <si>
    <t>TADigital NA Consulting | Design - Sr. UX Designer</t>
  </si>
  <si>
    <t>Design - Associate UX Manager / Associate UX Principal</t>
  </si>
  <si>
    <t>TADigital NA Consulting | Design - Associate UX Manager / Associate UX Principal</t>
  </si>
  <si>
    <t>Design - UX Manager / UX Principal</t>
  </si>
  <si>
    <t>TADigital NA Consulting | Design - UX Manager / UX Principal</t>
  </si>
  <si>
    <t>Design - Sr. UX Manager / Sr. UX Principal</t>
  </si>
  <si>
    <t>TADigital NA Consulting | Design - Sr. UX Manager / Sr. UX Principal</t>
  </si>
  <si>
    <t>Design - Associate Visual Designer</t>
  </si>
  <si>
    <t>TADigital NA Consulting | Design - Associate Visual Designer</t>
  </si>
  <si>
    <t>Design - Visual Designer</t>
  </si>
  <si>
    <t>TADigital NA Consulting | Design - Visual Designer</t>
  </si>
  <si>
    <t>Design - Sr. Visual Designer</t>
  </si>
  <si>
    <t>TADigital NA Consulting | Design - Sr. Visual Designer</t>
  </si>
  <si>
    <t>Design - Art Director</t>
  </si>
  <si>
    <t>TADigital NA Consulting | Design - Art Director</t>
  </si>
  <si>
    <t>Design - Sr. Art Director</t>
  </si>
  <si>
    <t>TADigital NA Consulting | Design - Sr. Art Director</t>
  </si>
  <si>
    <t>Design - Managing Art Director</t>
  </si>
  <si>
    <t>TADigital NA Consulting | Design - Managing Art Director</t>
  </si>
  <si>
    <t>Strategy - Associate Analyst</t>
  </si>
  <si>
    <t>TADigital NA Consulting | Strategy - Associate Analyst</t>
  </si>
  <si>
    <t>Strategy - Analyst</t>
  </si>
  <si>
    <t>TADigital NA Consulting | Strategy - Analyst</t>
  </si>
  <si>
    <t>Strategy - Sr. Analyst</t>
  </si>
  <si>
    <t>TADigital NA Consulting | Strategy - Sr. Analyst</t>
  </si>
  <si>
    <t>Strategy - Associate Digital Strategist</t>
  </si>
  <si>
    <t>TADigital NA Consulting | Strategy - Associate Digital Strategist</t>
  </si>
  <si>
    <t>Strategy - Digital Strategist</t>
  </si>
  <si>
    <t>TADigital NA Consulting | Strategy - Digital Strategist</t>
  </si>
  <si>
    <t>Strategy - Sr. Digital Strategist</t>
  </si>
  <si>
    <t>TADigital NA Consulting | Strategy - Sr. Digital Strategist</t>
  </si>
  <si>
    <t>Strategy - Associate Manager</t>
  </si>
  <si>
    <t>TADigital NA Consulting | Strategy - Associate Manager</t>
  </si>
  <si>
    <t>Developer</t>
  </si>
  <si>
    <t>TADigital NA Digital - Developer</t>
  </si>
  <si>
    <t>Sr. Developer</t>
  </si>
  <si>
    <t>TADigital NA Digital - Sr. Developer</t>
  </si>
  <si>
    <t>Technical Lead</t>
  </si>
  <si>
    <t>TADigital NA Digital - Technical Lead</t>
  </si>
  <si>
    <t>Technical Architect</t>
  </si>
  <si>
    <t>TADigital NA Digital - Technical Architect</t>
  </si>
  <si>
    <t>Sr. Technical Architect</t>
  </si>
  <si>
    <t>TADigital NA Digital - Sr. Technical Architect</t>
  </si>
  <si>
    <t>Multi-Solution Architect</t>
  </si>
  <si>
    <t>TADigital NA Digital - Multi-Solution Architect</t>
  </si>
  <si>
    <t>Data Engineer / Data Analyst</t>
  </si>
  <si>
    <t>TADigital NA Digital - Data Engineer / Data Analyst</t>
  </si>
  <si>
    <t>Sr. Data Engineer / Sr. Data Analyst</t>
  </si>
  <si>
    <t>TADigital NA Digital - Sr. Data Engineer / Sr. Data Analyst</t>
  </si>
  <si>
    <t>Data Lead / Lead Data Analyst</t>
  </si>
  <si>
    <t>TADigital NA Digital - Data Lead / Lead Data Analyst</t>
  </si>
  <si>
    <t>Data Scientist/Architect/Strategist</t>
  </si>
  <si>
    <t>TADigital NA Digital - Data Scientist/Architect/Strategist</t>
  </si>
  <si>
    <t>Sr. Data Scientist/Architect/Strategist</t>
  </si>
  <si>
    <t>TADigital NA Digital - Sr. Data Scientist/Architect/Strategist</t>
  </si>
  <si>
    <t>Enterprise Arch. / Associate Prin. Data Scientist</t>
  </si>
  <si>
    <t>TADigital NA Digital - Enterprise Arch. / Associate Prin. Data Scientist</t>
  </si>
  <si>
    <t>Sr. Enterprise Architect / Prin. Data Scientist</t>
  </si>
  <si>
    <t>TADigital NA Digital - Sr. Enterprise Architect / Prin. Data Scientist</t>
  </si>
  <si>
    <t>Prin. Enterprise Arch. / Sr. Prin. Data Scientist</t>
  </si>
  <si>
    <t>TADigital NA Digital - Prin. Enterprise Arch. / Sr. Prin. Data Scientist</t>
  </si>
  <si>
    <t>Chief Enterprise Architect / Chief Data Scientist</t>
  </si>
  <si>
    <t>TADigital NA Digital - Chief Enterprise Architect / Chief Data Scientist</t>
  </si>
  <si>
    <t>TADigital NA Digital - Business Analyst</t>
  </si>
  <si>
    <t>Sr. Business Analyst</t>
  </si>
  <si>
    <t>TADigital NA Digital - Sr. Business Analyst</t>
  </si>
  <si>
    <t>BA Lead</t>
  </si>
  <si>
    <t>TADigital NA Digital - BA Lead</t>
  </si>
  <si>
    <t>QA Engineer</t>
  </si>
  <si>
    <t>TADigital NA Digital - QA Engineer</t>
  </si>
  <si>
    <t>Sr. QA Engineer</t>
  </si>
  <si>
    <t>TADigital NA Digital - Sr. QA Engineer</t>
  </si>
  <si>
    <t>QA Lead</t>
  </si>
  <si>
    <t>TADigital NA Digital - QA Lead</t>
  </si>
  <si>
    <t>QA Manager</t>
  </si>
  <si>
    <t>TADigital NA Digital - QA Manager</t>
  </si>
  <si>
    <t>TADigital NA Digital - DevOps Engineer</t>
  </si>
  <si>
    <t>Sr. DevOps Engineer</t>
  </si>
  <si>
    <t>TADigital NA Digital - Sr. DevOps Engineer</t>
  </si>
  <si>
    <t>DevOps Lead</t>
  </si>
  <si>
    <t>TADigital NA Digital - DevOps Lead</t>
  </si>
  <si>
    <t>DevOps Architect</t>
  </si>
  <si>
    <t>TADigital NA Digital - DevOps Architect</t>
  </si>
  <si>
    <t>Enterprise DevOps Architect</t>
  </si>
  <si>
    <t>TADigital NA Digital - Enterprise DevOps Architect</t>
  </si>
  <si>
    <t>Marketing Analyst</t>
  </si>
  <si>
    <t>TADigital NA Digital - Marketing Analyst</t>
  </si>
  <si>
    <t>Sr. Marketing Analyst</t>
  </si>
  <si>
    <t>TADigital NA Digital - Sr. Marketing Analyst</t>
  </si>
  <si>
    <t>Marketing Lead</t>
  </si>
  <si>
    <t>TADigital NA Digital - Marketing Lead</t>
  </si>
  <si>
    <t>Marketing Architect</t>
  </si>
  <si>
    <t>TADigital NA Digital - Marketing Architect</t>
  </si>
  <si>
    <t>Practice VP / Delivery VP</t>
  </si>
  <si>
    <t>TADigital NA Digital - Practice VP / Delivery VP</t>
  </si>
  <si>
    <t>tadNA</t>
  </si>
  <si>
    <t>Management Consulting - 4 | Senior Scrum Master</t>
  </si>
  <si>
    <t>Management Consulting - 3 | Project Manager</t>
  </si>
  <si>
    <t>Management Consulting - 4 | Senior Project Manager</t>
  </si>
  <si>
    <t>Department</t>
  </si>
  <si>
    <t>Title</t>
  </si>
  <si>
    <t>Hourly Rate</t>
  </si>
  <si>
    <t>Daily Rate</t>
  </si>
  <si>
    <t>RPE Resource Title</t>
  </si>
  <si>
    <t>* Client Custom</t>
  </si>
  <si>
    <t>Client Rate Level 01</t>
  </si>
  <si>
    <t>Client Rate Level 02</t>
  </si>
  <si>
    <t>Client Rate Level 03</t>
  </si>
  <si>
    <t>Client Rate Level 04</t>
  </si>
  <si>
    <t>Client Rate Level 05</t>
  </si>
  <si>
    <t>Client Rate Level 06</t>
  </si>
  <si>
    <t>Client Rate Level 07</t>
  </si>
  <si>
    <t>Client Rate Level 08</t>
  </si>
  <si>
    <t>Client Rate Level 09</t>
  </si>
  <si>
    <t>Client Rate Level 10</t>
  </si>
  <si>
    <t>Client Rate Level 11</t>
  </si>
  <si>
    <t>Client Rate Level 12</t>
  </si>
  <si>
    <t>Client Rate Level 13</t>
  </si>
  <si>
    <t>Client Rate Level 14</t>
  </si>
  <si>
    <t>Client Rate Level 15</t>
  </si>
  <si>
    <t>* Role Type Rates</t>
  </si>
  <si>
    <t>Data Scientist (inactive)</t>
  </si>
  <si>
    <t>Areteans US</t>
  </si>
  <si>
    <t>A | Areteans US Personnel</t>
  </si>
  <si>
    <t>A | Areteans India Personnel</t>
  </si>
  <si>
    <t>BrightGen Resource</t>
  </si>
  <si>
    <t>Credera DE</t>
  </si>
  <si>
    <t>Credera DE Resource</t>
  </si>
  <si>
    <t>Credera India Business Enablement</t>
  </si>
  <si>
    <t>C | Corporate Staff</t>
  </si>
  <si>
    <t>Credera India Consulting | Cloud &amp; Engineering</t>
  </si>
  <si>
    <t>1 | Associate Engineer</t>
  </si>
  <si>
    <t>1 | Engineer</t>
  </si>
  <si>
    <t>2 | Senior Engineer</t>
  </si>
  <si>
    <t>2 | Lead Engineer</t>
  </si>
  <si>
    <t>3 | Architect</t>
  </si>
  <si>
    <t>4 | Senior Architect</t>
  </si>
  <si>
    <t>5 | Principal Architect</t>
  </si>
  <si>
    <t>Credera India Consulting | Content</t>
  </si>
  <si>
    <t>Credera India Consulting | Data &amp; AI</t>
  </si>
  <si>
    <t>Credera India Consulting | Experience Design</t>
  </si>
  <si>
    <t>1 | Designer</t>
  </si>
  <si>
    <t>2 | Senior Designer</t>
  </si>
  <si>
    <t>3 | Associate Design Director</t>
  </si>
  <si>
    <t>4 | Lead Design Director</t>
  </si>
  <si>
    <t>4 | Principal Design Director</t>
  </si>
  <si>
    <t>Credera India Consulting | Management Consulting</t>
  </si>
  <si>
    <t>2 | Scrum Master</t>
  </si>
  <si>
    <t>1 | Consultant</t>
  </si>
  <si>
    <t>2 | Senior Consultant</t>
  </si>
  <si>
    <t>3 | Manager</t>
  </si>
  <si>
    <t>4 | Senior Manager</t>
  </si>
  <si>
    <t>5 | Principal</t>
  </si>
  <si>
    <t>Credera India Consulting | Quality Assurance</t>
  </si>
  <si>
    <t>1 | Associate QA Engineer</t>
  </si>
  <si>
    <t>1 | QA Engineer</t>
  </si>
  <si>
    <t>2 | Senior QA Engineer</t>
  </si>
  <si>
    <t>2 | Lead QA Engineer</t>
  </si>
  <si>
    <t>3 | QA Architect</t>
  </si>
  <si>
    <t>4 | Senior QA Architect</t>
  </si>
  <si>
    <t>5 | Principal QA Architect</t>
  </si>
  <si>
    <t>Credera India Digital | MarTech</t>
  </si>
  <si>
    <t>Credera India Digital | Premium MarTech</t>
  </si>
  <si>
    <t>Credera LATAM Business Enablement</t>
  </si>
  <si>
    <t>Credera LATAM Consulting | Cloud &amp; Engineering</t>
  </si>
  <si>
    <t>Credera LATAM Consulting | Data &amp; AI</t>
  </si>
  <si>
    <t>Credera LATAM Consulting | Management Consulting</t>
  </si>
  <si>
    <t>1 | Business Analyst</t>
  </si>
  <si>
    <t>2 | Sr Business Analyst</t>
  </si>
  <si>
    <t>3 | Senior Scrum Master</t>
  </si>
  <si>
    <t>2 | Project Manager</t>
  </si>
  <si>
    <t>3 | Senior Project Manager</t>
  </si>
  <si>
    <t>Credera LATAM Consulting | Quality Assurance</t>
  </si>
  <si>
    <t>E0 | Engineer</t>
  </si>
  <si>
    <t>E1 | Engineer</t>
  </si>
  <si>
    <t>E2 | Engineer</t>
  </si>
  <si>
    <t>E3 | Engineer</t>
  </si>
  <si>
    <t>E4 | Engineer</t>
  </si>
  <si>
    <t>E5 | Principal Engineer</t>
  </si>
  <si>
    <t>C0 | Analyst</t>
  </si>
  <si>
    <t>C1 | Consultant</t>
  </si>
  <si>
    <t>C2 | Senior Consultant</t>
  </si>
  <si>
    <t>MC3 | Managing Consultant</t>
  </si>
  <si>
    <t>MC4 | Managing Consultant</t>
  </si>
  <si>
    <t>MC5 | Managing Consultant</t>
  </si>
  <si>
    <t>PR6 | Principal</t>
  </si>
  <si>
    <t>DR1 | Director</t>
  </si>
  <si>
    <t>DR2 | Managing Director</t>
  </si>
  <si>
    <t>DR3 | Managing Director</t>
  </si>
  <si>
    <t>ED | Executive Director</t>
  </si>
  <si>
    <t>00 | Unknown UK Title</t>
  </si>
  <si>
    <t>Credera US Business Enablement</t>
  </si>
  <si>
    <t>Credera US Consulting</t>
  </si>
  <si>
    <t>0 | Contractor</t>
  </si>
  <si>
    <t>0 | Intern</t>
  </si>
  <si>
    <t>Credera US Digital</t>
  </si>
  <si>
    <t>Credera US Partner</t>
  </si>
  <si>
    <t>6 | Partner</t>
  </si>
  <si>
    <t>6 | Partner &amp; Chief Data Scientist</t>
  </si>
  <si>
    <t>6 | Partner &amp; Chief Diversity Officer</t>
  </si>
  <si>
    <t>6 | Partner &amp; Chief Technology Officer</t>
  </si>
  <si>
    <t>6 | Global COO</t>
  </si>
  <si>
    <t>6 | Global CFO</t>
  </si>
  <si>
    <t>6 | President &amp; CEO</t>
  </si>
  <si>
    <t>6 | Global Chief Growth Officer</t>
  </si>
  <si>
    <t>6 | Partner &amp; Chief Innovation Officer</t>
  </si>
  <si>
    <t>6 | Partner &amp; Chief Digital Officer</t>
  </si>
  <si>
    <t>LeapPoint</t>
  </si>
  <si>
    <t>LeapPoint Resource</t>
  </si>
  <si>
    <t>Other Intercompany</t>
  </si>
  <si>
    <t>OMC Resource</t>
  </si>
  <si>
    <t>TADigital Business Enablement</t>
  </si>
  <si>
    <t>TADigital India Consulting | Cloud &amp; Engineering</t>
  </si>
  <si>
    <t>TADigital India Consulting | Content</t>
  </si>
  <si>
    <t>TADigital India Consulting | Data &amp; AI</t>
  </si>
  <si>
    <t>TADigital India Consulting | Experience Design</t>
  </si>
  <si>
    <t>TADigital India Consulting | Management Consulting</t>
  </si>
  <si>
    <t>TADigital India Consulting | Quality Assurance</t>
  </si>
  <si>
    <t>TADigital India Digital | MarTech</t>
  </si>
  <si>
    <t>TADigital India Digital | Premium MarTech</t>
  </si>
  <si>
    <t>TADigital NA | Management</t>
  </si>
  <si>
    <t>Associate Practice Director</t>
  </si>
  <si>
    <t>Practice Director / Delivery Director</t>
  </si>
  <si>
    <t>Sr. Practice Director / Sr. Delivery Director</t>
  </si>
  <si>
    <t>CXO / CDO</t>
  </si>
  <si>
    <t>TADigital NA Consulting</t>
  </si>
  <si>
    <t>TADigital NA Consulting | Content &amp; SEO</t>
  </si>
  <si>
    <t>Content Analyst</t>
  </si>
  <si>
    <t>Associate Content Strategist</t>
  </si>
  <si>
    <t>Sr. Content Strategist</t>
  </si>
  <si>
    <t>Content Strategy Lead</t>
  </si>
  <si>
    <t>Associate Manager</t>
  </si>
  <si>
    <t>Associate Copy Analyst</t>
  </si>
  <si>
    <t>Copywriter</t>
  </si>
  <si>
    <t>Sr. Copywriter</t>
  </si>
  <si>
    <t>Sr. Copy Editor</t>
  </si>
  <si>
    <t>Editorial Content Lead</t>
  </si>
  <si>
    <t>Associate Web Content Analyst</t>
  </si>
  <si>
    <t>Web Content Analyst</t>
  </si>
  <si>
    <t>Sr. Web Content Analyst</t>
  </si>
  <si>
    <t>Principal Web Content Analyst</t>
  </si>
  <si>
    <t>Sr. Content Engineer</t>
  </si>
  <si>
    <t>Lead Web Content Engineer</t>
  </si>
  <si>
    <t>Associate SEO Analyst</t>
  </si>
  <si>
    <t>SEO Analyst</t>
  </si>
  <si>
    <t>SEO Strategist</t>
  </si>
  <si>
    <t>Sr. SEO Strategist</t>
  </si>
  <si>
    <t>SEO Lead</t>
  </si>
  <si>
    <t>TADigital NA Consulting | Design</t>
  </si>
  <si>
    <t>Associate UX Designer</t>
  </si>
  <si>
    <t>UX Designer</t>
  </si>
  <si>
    <t>Sr. UX Designer</t>
  </si>
  <si>
    <t>Associate UX Manager / Associate UX Principal</t>
  </si>
  <si>
    <t>UX Manager / UX Principal</t>
  </si>
  <si>
    <t>Sr. UX Manager / Sr. UX Principal</t>
  </si>
  <si>
    <t>Associate Visual Designer</t>
  </si>
  <si>
    <t>Sr. Visual Designer</t>
  </si>
  <si>
    <t>Art Director</t>
  </si>
  <si>
    <t>Sr. Art Director</t>
  </si>
  <si>
    <t>Managing Art Director</t>
  </si>
  <si>
    <t>TADigital NA Consulting | Strategy</t>
  </si>
  <si>
    <t>Associate Analyst</t>
  </si>
  <si>
    <t>Sr. Analyst</t>
  </si>
  <si>
    <t>Associate Digital Strategist</t>
  </si>
  <si>
    <t>Digital Strategist</t>
  </si>
  <si>
    <t>Sr. Digital Strategist</t>
  </si>
  <si>
    <t>TADigital NA Digital</t>
  </si>
  <si>
    <t>Contractor</t>
  </si>
  <si>
    <t>X - GDC Role Rates (inactive)</t>
  </si>
  <si>
    <t>LATAM | Software | Associate Engineer (inactive)</t>
  </si>
  <si>
    <t>LATAM | Cloud | Associate Engineer (inactive)</t>
  </si>
  <si>
    <t>LATAM | Mobile | Associate Engineer (inactive)</t>
  </si>
  <si>
    <t>LATAM | Data | Associate Engineer (inactive)</t>
  </si>
  <si>
    <t>LATAM | Platform | Associate Engineer (inactive)</t>
  </si>
  <si>
    <t>LATAM | Software | Engineer (inactive)</t>
  </si>
  <si>
    <t>LATAM | Cloud | Engineer (inactive)</t>
  </si>
  <si>
    <t>LATAM | Mobile | Engineer (inactive)</t>
  </si>
  <si>
    <t>LATAM | Data | Engineer (inactive)</t>
  </si>
  <si>
    <t>LATAM | Platform | Engineer (inactive)</t>
  </si>
  <si>
    <t>LATAM | Software | Senior Engineer (inactive)</t>
  </si>
  <si>
    <t>LATAM | Cloud | Senior Engineer (inactive)</t>
  </si>
  <si>
    <t>LATAM | Mobile | Senior Engineer (inactive)</t>
  </si>
  <si>
    <t>LATAM | Data | Senior Engineer (inactive)</t>
  </si>
  <si>
    <t>LATAM | Platform | Senior Engineer (inactive)</t>
  </si>
  <si>
    <t>LATAM | Software | Lead Engineer (inactive)</t>
  </si>
  <si>
    <t>LATAM | Cloud | Lead Engineer (inactive)</t>
  </si>
  <si>
    <t>LATAM | Mobile | Lead Engineer (inactive)</t>
  </si>
  <si>
    <t>LATAM | Data | Lead Engineer (inactive)</t>
  </si>
  <si>
    <t>LATAM | Platform | Lead Engineer (inactive)</t>
  </si>
  <si>
    <t>LATAM | Software | Principal Engineer (inactive)</t>
  </si>
  <si>
    <t>LATAM | Cloud | Principal Engineer (inactive)</t>
  </si>
  <si>
    <t>LATAM | Mobile | Principal Engineer (inactive)</t>
  </si>
  <si>
    <t>LATAM | Data | Principal Engineer (inactive)</t>
  </si>
  <si>
    <t>LATAM | Platform | Principal Engineer (inactive)</t>
  </si>
  <si>
    <t>LATAM | Software | Associate Architect (inactive)</t>
  </si>
  <si>
    <t>LATAM | Cloud | Associate Architect (inactive)</t>
  </si>
  <si>
    <t>LATAM | Mobile | Associate Architect (inactive)</t>
  </si>
  <si>
    <t>LATAM | Data | Associate Architect (inactive)</t>
  </si>
  <si>
    <t>LATAM | Platform | Associate Architect (inactive)</t>
  </si>
  <si>
    <t>LATAM | Software | Architect (inactive)</t>
  </si>
  <si>
    <t>LATAM | Cloud | Architect (inactive)</t>
  </si>
  <si>
    <t>LATAM | Mobile | Architect (inactive)</t>
  </si>
  <si>
    <t>LATAM | Data | Architect (inactive)</t>
  </si>
  <si>
    <t>LATAM | Platform | Architect (inactive)</t>
  </si>
  <si>
    <t>LATAM | Software | Senior Architect (inactive)</t>
  </si>
  <si>
    <t>LATAM | Cloud | Senior Architect (inactive)</t>
  </si>
  <si>
    <t>LATAM | Mobile | Senior Architect (inactive)</t>
  </si>
  <si>
    <t>LATAM | Data | Senior Architect (inactive)</t>
  </si>
  <si>
    <t>LATAM | Platform | Senior Architect (inactive)</t>
  </si>
  <si>
    <t>LATAM | Software | Principal Architect (inactive)</t>
  </si>
  <si>
    <t>LATAM | Cloud | Principal Architect (inactive)</t>
  </si>
  <si>
    <t>LATAM | Mobile | Principal Architect (inactive)</t>
  </si>
  <si>
    <t>LATAM | Data | Principal Architect (inactive)</t>
  </si>
  <si>
    <t>LATAM | Platform | Principal Architect (inactive)</t>
  </si>
  <si>
    <t>LATAM | QA | Associate QA Engineer (inactive)</t>
  </si>
  <si>
    <t>LATAM | QA | QA Engineer (inactive)</t>
  </si>
  <si>
    <t>LATAM | QA | Senior QA Engineer (inactive)</t>
  </si>
  <si>
    <t>LATAM | QA | Lead QA Engineer (inactive)</t>
  </si>
  <si>
    <t>LATAM | QA | Principal QA Engineer (inactive)</t>
  </si>
  <si>
    <t>LATAM | Tech Mgmt | Project Manager (inactive)</t>
  </si>
  <si>
    <t>LATAM | Tech Mgmt | Engineering Manager (inactive)</t>
  </si>
  <si>
    <t>LATAM | Tech Mgmt | Senior Engineering Manager (inactive)</t>
  </si>
  <si>
    <t>LATAM | Tech Mgmt | Scrum Master (inactive)</t>
  </si>
  <si>
    <t>LATAM | Tech Mgmt | Business Analyst (inactive)</t>
  </si>
  <si>
    <t>LATAM | Tech Mgmt | Senior Scrum Master (inactive)</t>
  </si>
  <si>
    <t>LATAM | Tech Mgmt | Senior Business Analyst (inactive)</t>
  </si>
  <si>
    <t>India | Software | Associate Engineer (inactive)</t>
  </si>
  <si>
    <t>India | Cloud | Associate Engineer (inactive)</t>
  </si>
  <si>
    <t>India | Mobile | Associate Engineer (inactive)</t>
  </si>
  <si>
    <t>India | Data | Associate Engineer (inactive)</t>
  </si>
  <si>
    <t>India | Platform | Associate Engineer (inactive)</t>
  </si>
  <si>
    <t>India | Software | Engineer (inactive)</t>
  </si>
  <si>
    <t>India | Cloud | Engineer (inactive)</t>
  </si>
  <si>
    <t>India | Mobile | Engineer (inactive)</t>
  </si>
  <si>
    <t>India | Data | Engineer (inactive)</t>
  </si>
  <si>
    <t>India | Platform | Engineer (inactive)</t>
  </si>
  <si>
    <t>India | Software | Senior Engineer (inactive)</t>
  </si>
  <si>
    <t>India | Cloud | Senior Engineer (inactive)</t>
  </si>
  <si>
    <t>India | Mobile | Senior Engineer (inactive)</t>
  </si>
  <si>
    <t>India | Data | Senior Engineer (inactive)</t>
  </si>
  <si>
    <t>India | Platform | Senior Engineer (inactive)</t>
  </si>
  <si>
    <t>India | Software | Lead Engineer (inactive)</t>
  </si>
  <si>
    <t>India | Cloud | Lead Engineer (inactive)</t>
  </si>
  <si>
    <t>India | Mobile | Lead Engineer (inactive)</t>
  </si>
  <si>
    <t>India | Data | Lead Engineer (inactive)</t>
  </si>
  <si>
    <t>India | Platform | Lead Engineer (inactive)</t>
  </si>
  <si>
    <t>India | Software | Principal Engineer (inactive)</t>
  </si>
  <si>
    <t>India | Cloud | Principal Engineer (inactive)</t>
  </si>
  <si>
    <t>India | Mobile | Principal Engineer (inactive)</t>
  </si>
  <si>
    <t>India | Data | Principal Engineer (inactive)</t>
  </si>
  <si>
    <t>India | Platform | Principal Engineer (inactive)</t>
  </si>
  <si>
    <t>India | Software | Associate Architect (inactive)</t>
  </si>
  <si>
    <t>India | Cloud | Associate Architect (inactive)</t>
  </si>
  <si>
    <t>India | Mobile | Associate Architect (inactive)</t>
  </si>
  <si>
    <t>India | Data | Associate Architect (inactive)</t>
  </si>
  <si>
    <t>India | Platform | Associate Architect (inactive)</t>
  </si>
  <si>
    <t>India | Software | Architect (inactive)</t>
  </si>
  <si>
    <t>India | Cloud | Architect (inactive)</t>
  </si>
  <si>
    <t>India | Mobile | Architect (inactive)</t>
  </si>
  <si>
    <t>India | Data | Architect (inactive)</t>
  </si>
  <si>
    <t>India | Platform | Architect (inactive)</t>
  </si>
  <si>
    <t>India | Software | Senior Architect (inactive)</t>
  </si>
  <si>
    <t>India | Cloud | Senior Architect (inactive)</t>
  </si>
  <si>
    <t>India | Mobile | Senior Architect (inactive)</t>
  </si>
  <si>
    <t>India | Data | Senior Architect (inactive)</t>
  </si>
  <si>
    <t>India | Platform | Senior Architect (inactive)</t>
  </si>
  <si>
    <t>India | Software | Principal Architect (inactive)</t>
  </si>
  <si>
    <t>India | Cloud | Principal Architect (inactive)</t>
  </si>
  <si>
    <t>India | Mobile | Principal Architect (inactive)</t>
  </si>
  <si>
    <t>India | Data | Principal Architect (inactive)</t>
  </si>
  <si>
    <t>India | Platform | Principal Architect (inactive)</t>
  </si>
  <si>
    <t>India | QA | Associate QA Engineer (inactive)</t>
  </si>
  <si>
    <t>India | QA | QA Engineer (inactive)</t>
  </si>
  <si>
    <t>India | QA | Senior QA Engineer (inactive)</t>
  </si>
  <si>
    <t>India | QA | Lead QA Engineer (inactive)</t>
  </si>
  <si>
    <t>India | QA | Principal QA Engineer (inactive)</t>
  </si>
  <si>
    <t>India | Tech Mgmt | Project Manager (inactive)</t>
  </si>
  <si>
    <t>India | Tech Mgmt | Engineering Manager (inactive)</t>
  </si>
  <si>
    <t>India | Tech Mgmt | Senior Engineering Manager (inactive)</t>
  </si>
  <si>
    <t>India | Tech Mgmt | Scrum Master (inactive)</t>
  </si>
  <si>
    <t>India | Tech Mgmt | Senior Scrum Master (inactive)</t>
  </si>
  <si>
    <t>India | Tech Mgmt | Senior Business Analyst (inactive)</t>
  </si>
  <si>
    <t>India | Tech Mgmt | Business Analyst (inactive)</t>
  </si>
  <si>
    <t>X - Global Delivery Center (inactive)</t>
  </si>
  <si>
    <t>1 | Associate QA Engineer (inactive)</t>
  </si>
  <si>
    <t>1 | QA Engineer (inactive)</t>
  </si>
  <si>
    <t>2 | Senior QA Engineer (inactive)</t>
  </si>
  <si>
    <t>3 | Lead QA Engineer (inactive)</t>
  </si>
  <si>
    <t>4 | Principal QA Engineer (inactive)</t>
  </si>
  <si>
    <t>1 | Associate Engineer (inactive)</t>
  </si>
  <si>
    <t>1 | Engineer (inactive)</t>
  </si>
  <si>
    <t>1 | Cloud Engineer (inactive)</t>
  </si>
  <si>
    <t>2 | Senior Engineer (inactive)</t>
  </si>
  <si>
    <t>3 | Lead Engineer (inactive)</t>
  </si>
  <si>
    <t>4 | Principal Engineer (inactive)</t>
  </si>
  <si>
    <t>3 | Associate Architect (inactive)</t>
  </si>
  <si>
    <t>3 | Architect (inactive)</t>
  </si>
  <si>
    <t>4 | Senior Architect (inactive)</t>
  </si>
  <si>
    <t>5 | Principal Architect (inactive)</t>
  </si>
  <si>
    <t>3 | Engineering Manager (inactive)</t>
  </si>
  <si>
    <t>4 | Senior Engineering Manager (inactive)</t>
  </si>
  <si>
    <t>3 | Project Manager (inactive)</t>
  </si>
  <si>
    <t>2 | Scrum Master (inactive)</t>
  </si>
  <si>
    <t>3 | Senior Scrum Master (inactive)</t>
  </si>
  <si>
    <t>1 | Business Analyst (inactive)</t>
  </si>
  <si>
    <t>2 | Senior Business Analyst (inactive)</t>
  </si>
  <si>
    <t>X - Inactive Titles</t>
  </si>
  <si>
    <t>MC Contractor (inactive)</t>
  </si>
  <si>
    <t>MC Intern (inactive)</t>
  </si>
  <si>
    <t>MC Consultant [1] (inactive)</t>
  </si>
  <si>
    <t>MC Senior Consultant [2] (inactive)</t>
  </si>
  <si>
    <t>MC Manager [3] (inactive)</t>
  </si>
  <si>
    <t>MC Senior Manager [4] (inactive)</t>
  </si>
  <si>
    <t>MC Principal [5] (inactive)</t>
  </si>
  <si>
    <t>Contractor (inactive)</t>
  </si>
  <si>
    <t>Intern (inactive)</t>
  </si>
  <si>
    <t>Consultant[1] (inactive)</t>
  </si>
  <si>
    <t>Senior Consultant [2] (inactive)</t>
  </si>
  <si>
    <t>Architect [3] (inactive)</t>
  </si>
  <si>
    <t>Manager [3] (inactive)</t>
  </si>
  <si>
    <t>Senior Architect [4] (inactive)</t>
  </si>
  <si>
    <t>Senior Manager [4] (inactive)</t>
  </si>
  <si>
    <t>Principal Architect [5] (inactive)</t>
  </si>
  <si>
    <t>X - TA Digital Consulting (inactive)</t>
  </si>
  <si>
    <t>0 | Trainee/Intern (inactive)</t>
  </si>
  <si>
    <t>1 | Apprentice (inactive)</t>
  </si>
  <si>
    <t>1 | Senior Apprentice (inactive)</t>
  </si>
  <si>
    <t>1 | Specialist (inactive)</t>
  </si>
  <si>
    <t>1 | Senior Specialist (inactive)</t>
  </si>
  <si>
    <t>2 | Lead (inactive)</t>
  </si>
  <si>
    <t>2 | Senior Specialist - II (inactive)</t>
  </si>
  <si>
    <t>2 | Senior Lead (inactive)</t>
  </si>
  <si>
    <t>2 | Senior Specialist - III (inactive)</t>
  </si>
  <si>
    <t>3 | Consultant Architect (inactive)</t>
  </si>
  <si>
    <t>3 | Manager (inactive)</t>
  </si>
  <si>
    <t>3 | Consultant Scientist (inactive)</t>
  </si>
  <si>
    <t>3 | Consultant Strategist (inactive)</t>
  </si>
  <si>
    <t>4 | Senior Manager (inactive)</t>
  </si>
  <si>
    <t>4 | Senior Consultant Architect (inactive)</t>
  </si>
  <si>
    <t>4 | Senior Consultant Scientist (inactive)</t>
  </si>
  <si>
    <t>4 | Senior Consultant Strategist (inactive)</t>
  </si>
  <si>
    <t>5 | Director (inactive)</t>
  </si>
  <si>
    <t>5 | Managing Consultant (inactive)</t>
  </si>
  <si>
    <t>5 | Senior Director (inactive)</t>
  </si>
  <si>
    <t>5 | Senior Managing Consultant (inactive)</t>
  </si>
  <si>
    <t>6 | Vice President (inactive)</t>
  </si>
  <si>
    <t>6 | Senior Vice President (inactive)</t>
  </si>
  <si>
    <t>6 | Executive Vice President (inactive)</t>
  </si>
  <si>
    <t>6 | C-Suite (inactive)</t>
  </si>
  <si>
    <t>0 | Contractor (inactive)</t>
  </si>
  <si>
    <t>X - TA Digital Digital (inactive)</t>
  </si>
  <si>
    <t>TA Digital Resource (inactive)</t>
  </si>
  <si>
    <t>3 | Principal Software Engineer (inactive)</t>
  </si>
  <si>
    <t>X - TA Digital Role Rates (inactive)</t>
  </si>
  <si>
    <t>Onshore | Associate Developer (inactive)</t>
  </si>
  <si>
    <t>Offshore | Associate Developer (inactive)</t>
  </si>
  <si>
    <t>Onshore | Developer (inactive)</t>
  </si>
  <si>
    <t>Offshore | Developer (inactive)</t>
  </si>
  <si>
    <t>Onshore | Sr. Developer (inactive)</t>
  </si>
  <si>
    <t>Offshore | Sr. Developer (inactive)</t>
  </si>
  <si>
    <t>Onshore | Technical Lead (inactive)</t>
  </si>
  <si>
    <t>Offshore | Technical Lead (inactive)</t>
  </si>
  <si>
    <t>Onshore | Technical Architect (inactive)</t>
  </si>
  <si>
    <t>Offshore | Multi-Solution Architect (inactive)</t>
  </si>
  <si>
    <t>Onshore | Multi-Solution Architect (inactive)</t>
  </si>
  <si>
    <t>Offshore | Technical Architect (inactive)</t>
  </si>
  <si>
    <t>Onshore | Business Analyst (inactive)</t>
  </si>
  <si>
    <t>Offshore | Business Analyst (inactive)</t>
  </si>
  <si>
    <t>Onshore | Sr. Business Analyst (inactive)</t>
  </si>
  <si>
    <t>Offshore | Sr. Business Analyst (inactive)</t>
  </si>
  <si>
    <t>Onshore | BA Lead (inactive)</t>
  </si>
  <si>
    <t>Offshore | BA Lead (inactive)</t>
  </si>
  <si>
    <t>Onshore | Associate QA Engineer (inactive)</t>
  </si>
  <si>
    <t>Offshore | Associate QA Engineer (inactive)</t>
  </si>
  <si>
    <t>Onshore | QA Engineer (inactive)</t>
  </si>
  <si>
    <t>Offshore | QA Engineer (inactive)</t>
  </si>
  <si>
    <t>Onshore | Sr. QA Engineer (inactive)</t>
  </si>
  <si>
    <t>Offshore | Sr. QA Engineer (inactive)</t>
  </si>
  <si>
    <t>Onshore | QA Lead (inactive)</t>
  </si>
  <si>
    <t>Offshore | QA Lead (inactive)</t>
  </si>
  <si>
    <t>Onshore | Associate DevOps Engineer (inactive)</t>
  </si>
  <si>
    <t>Offshore | Associate DevOps Engineer (inactive)</t>
  </si>
  <si>
    <t>Onshore | DevOps Engineer (inactive)</t>
  </si>
  <si>
    <t>Offshore | DevOps Engineer (inactive)</t>
  </si>
  <si>
    <t>Onshore | Sr. DevOps Engineer (inactive)</t>
  </si>
  <si>
    <t>Offshore | Sr. DevOps Engineer (inactive)</t>
  </si>
  <si>
    <t>Onshore | DevOps Lead (inactive)</t>
  </si>
  <si>
    <t>Offshore | DevOps Lead (inactive)</t>
  </si>
  <si>
    <t>Onshore | DevOps Architect (inactive)</t>
  </si>
  <si>
    <t>Offshore | DevOps Architect (inactive)</t>
  </si>
  <si>
    <t>Onshore | Enterprise DevOps Architect (inactive)</t>
  </si>
  <si>
    <t>Offshore | Enterprise DevOps Architect (inactive)</t>
  </si>
  <si>
    <t>Onshore | Associate Marketing Analyst (inactive)</t>
  </si>
  <si>
    <t>Offshore | Associate Marketing Analyst (inactive)</t>
  </si>
  <si>
    <t>Onshore | Marketing Analyst (inactive)</t>
  </si>
  <si>
    <t>Offshore | Marketing Analyst (inactive)</t>
  </si>
  <si>
    <t>Onshore | Sr. Marketing Analyst (inactive)</t>
  </si>
  <si>
    <t>Offshore | Sr. Marketing Analyst (inactive)</t>
  </si>
  <si>
    <t>Onshore | Marketing Lead (inactive)</t>
  </si>
  <si>
    <t>Offshore | Marketing Lead (inactive)</t>
  </si>
  <si>
    <t>Onshore | Marketing Architect (inactive)</t>
  </si>
  <si>
    <t>Offshore | Marketing Architect (inactive)</t>
  </si>
  <si>
    <t>Onshore | Associate Digital Analyst (inactive)</t>
  </si>
  <si>
    <t>Offshore | Associate Digital Analyst (inactive)</t>
  </si>
  <si>
    <t>Onshore | Digital Analyst (inactive)</t>
  </si>
  <si>
    <t>Offshore | Digital Analyst (inactive)</t>
  </si>
  <si>
    <t>Onshore | Sr. Digital Analyst (inactive)</t>
  </si>
  <si>
    <t>Offshore | Sr. Digital Analyst (inactive)</t>
  </si>
  <si>
    <t>Onshore | Personalization Lead (inactive)</t>
  </si>
  <si>
    <t>Offshore | Personalization Lead (inactive)</t>
  </si>
  <si>
    <t>Onshore | Analytics Architect (inactive)</t>
  </si>
  <si>
    <t>Offshore | Analytics Architect (inactive)</t>
  </si>
  <si>
    <t>Onshore | Project Manager (inactive)</t>
  </si>
  <si>
    <t>Offshore | Project Manager (inactive)</t>
  </si>
  <si>
    <t>Onshore | Sr. Project Manager (inactive)</t>
  </si>
  <si>
    <t>Offshore | Sr. Project Manager (inactive)</t>
  </si>
  <si>
    <t>Onshore | Delivery Manager (inactive)</t>
  </si>
  <si>
    <t>Offshore | Delivery Manager (inactive)</t>
  </si>
  <si>
    <t>Offshore | CXO (inactive)</t>
  </si>
  <si>
    <t>Onshore | CXO (inactive)</t>
  </si>
  <si>
    <t>Offshore | Practice VP/Delivery VP (inactive)</t>
  </si>
  <si>
    <t>Onshore | Practice VP/Delivery VP (inactive)</t>
  </si>
  <si>
    <t>Offshore | Sr. Practice Director/Sr. Delivery Drtr (inactive)</t>
  </si>
  <si>
    <t>Onshore | Sr. Practice Director/Sr. Delivery Drtr (inactive)</t>
  </si>
  <si>
    <t>Offshore | Practice Director/Delivery Director (inactive)</t>
  </si>
  <si>
    <t>Onshore | Practice Director / Delivery Director (inactive)</t>
  </si>
  <si>
    <t>Offshore | Associate Practice Drtr/Sr.Practice Mgr (inactive)</t>
  </si>
  <si>
    <t>Onshore | Associate Practice Drtr/Sr. Practice Mgr (inactive)</t>
  </si>
  <si>
    <t>Offshore | Practice Manager (inactive)</t>
  </si>
  <si>
    <t>Onshore | Practice Manager (inactive)</t>
  </si>
  <si>
    <t>Onshore | Analyst (inactive)</t>
  </si>
  <si>
    <t>Offshore | Analyst (inactive)</t>
  </si>
  <si>
    <t>Onshore | DS Associate Strategist (inactive)</t>
  </si>
  <si>
    <t>Offshore | DS Associate Strategist (inactive)</t>
  </si>
  <si>
    <t>Onshore | DS Strategist (inactive)</t>
  </si>
  <si>
    <t>Offshore | DS Strategist (inactive)</t>
  </si>
  <si>
    <t>Onshore | DS Sr. Strategist (inactive)</t>
  </si>
  <si>
    <t>Offshore | DS Sr. Strategist (inactive)</t>
  </si>
  <si>
    <t>Onshore | Content Analyst (inactive)</t>
  </si>
  <si>
    <t>Offshore | Content Analyst (inactive)</t>
  </si>
  <si>
    <t>Onshore | CS Associate Strategist (inactive)</t>
  </si>
  <si>
    <t>Offshore | CS Associate Strategist (inactive)</t>
  </si>
  <si>
    <t>Onshore | CS Strategist (inactive)</t>
  </si>
  <si>
    <t>Offshore | CS Strategist (inactive)</t>
  </si>
  <si>
    <t>Onshore | CS Sr. Strategist (inactive)</t>
  </si>
  <si>
    <t>Offshore | CS Sr. Strategist (inactive)</t>
  </si>
  <si>
    <t>Onshore | Content Strategy Lead (inactive)</t>
  </si>
  <si>
    <t>Offshore | Content Strategy Lead (inactive)</t>
  </si>
  <si>
    <t>Onshore | CS Associate Manager (inactive)</t>
  </si>
  <si>
    <t>Offshore | CS Associate Manager (inactive)</t>
  </si>
  <si>
    <t>Onshore | Associate Copy Analyst (inactive)</t>
  </si>
  <si>
    <t>Offshore | Associate Copy Analyst (inactive)</t>
  </si>
  <si>
    <t>Onshore | Copywriter (inactive)</t>
  </si>
  <si>
    <t>Offshore | Copywriter (inactive)</t>
  </si>
  <si>
    <t>Onshore | Sr. Copywriter (inactive)</t>
  </si>
  <si>
    <t>Offshore | Sr. Copywriter (inactive)</t>
  </si>
  <si>
    <t>Onshore | Sr. Copy Editor (inactive)</t>
  </si>
  <si>
    <t>Offshore | Sr. Copy Editor (inactive)</t>
  </si>
  <si>
    <t>Onshore | Editorial Content Lead (inactive)</t>
  </si>
  <si>
    <t>Offshore | Editorial Content Lead (inactive)</t>
  </si>
  <si>
    <t>Onshore | Copywriting Associate Manager (inactive)</t>
  </si>
  <si>
    <t>Offshore | Copywriting Associate Manager (inactive)</t>
  </si>
  <si>
    <t>Onshore | Associate Web Content Analyst (inactive)</t>
  </si>
  <si>
    <t>Offshore | Associate Web Content Analyst (inactive)</t>
  </si>
  <si>
    <t>Onshore | Web Content Analyst (inactive)</t>
  </si>
  <si>
    <t>Offshore | Web Content Analyst (inactive)</t>
  </si>
  <si>
    <t>Onshore | Sr. Web Content Analyst (inactive)</t>
  </si>
  <si>
    <t>Offshore | Sr. Web Content Analyst (inactive)</t>
  </si>
  <si>
    <t>Onshore | Principal Web Content Analyst (inactive)</t>
  </si>
  <si>
    <t>Offshore | Principal Web Content Analyst (inactive)</t>
  </si>
  <si>
    <t>Onshore | Sr. Content Engineer (inactive)</t>
  </si>
  <si>
    <t>Offshore | Sr. Content Engineer (inactive)</t>
  </si>
  <si>
    <t>Onshore | Lead Web Content Engineer (inactive)</t>
  </si>
  <si>
    <t>Offshore | Lead Web Content Engineer (inactive)</t>
  </si>
  <si>
    <t>Onshore | CE Associate Manager (inactive)</t>
  </si>
  <si>
    <t>Offshore | CE Associate Manager (inactive)</t>
  </si>
  <si>
    <t>Onshore | Associate SEO Analyst (inactive)</t>
  </si>
  <si>
    <t>Offshore | Associate SEO Analyst (inactive)</t>
  </si>
  <si>
    <t>Onshore | SEO Analyst (inactive)</t>
  </si>
  <si>
    <t>Offshore | SEO Analyst (inactive)</t>
  </si>
  <si>
    <t>Onshore | SEO Strategist (inactive)</t>
  </si>
  <si>
    <t>Offshore | SEO Strategist (inactive)</t>
  </si>
  <si>
    <t>Onshore | Sr. SEO Strategist (inactive)</t>
  </si>
  <si>
    <t>Offshore | Sr. SEO Strategist (inactive)</t>
  </si>
  <si>
    <t>Onshore | SEO Lead (inactive)</t>
  </si>
  <si>
    <t>Offshore | SEO Lead (inactive)</t>
  </si>
  <si>
    <t>Onshore | SEO Associate Manager (inactive)</t>
  </si>
  <si>
    <t>Offshore | SEO Associate Manager (inactive)</t>
  </si>
  <si>
    <t>Onshore | Usability Analyst (inactive)</t>
  </si>
  <si>
    <t>Offshore | Usability Analyst (inactive)</t>
  </si>
  <si>
    <t>Onshore | Associate UX Designer (inactive)</t>
  </si>
  <si>
    <t>Offshore | Associate UX Designer (inactive)</t>
  </si>
  <si>
    <t>Onshore | UX Designer (inactive)</t>
  </si>
  <si>
    <t>Offshore | UX Designer (inactive)</t>
  </si>
  <si>
    <t>Onshore | Sr. UX Designer (inactive)</t>
  </si>
  <si>
    <t>Offshore | Sr. UX Designer (inactive)</t>
  </si>
  <si>
    <t>Onshore | Information Architect (inactive)</t>
  </si>
  <si>
    <t>Offshore | Information Architect (inactive)</t>
  </si>
  <si>
    <t>Onshore | UX Associate Manager (inactive)</t>
  </si>
  <si>
    <t>Offshore | UX Associate Manager (inactive)</t>
  </si>
  <si>
    <t>Onshore | Production Designer (inactive)</t>
  </si>
  <si>
    <t>Offshore | Production Designer (inactive)</t>
  </si>
  <si>
    <t>Onshore | Associate Visual Designer (inactive)</t>
  </si>
  <si>
    <t>Offshore | Associate Visual Designer (inactive)</t>
  </si>
  <si>
    <t>Onshore | Visual Designer (inactive)</t>
  </si>
  <si>
    <t>Offshore | Visual Designer (inactive)</t>
  </si>
  <si>
    <t>Onshore | Sr. Visual Designer (inactive)</t>
  </si>
  <si>
    <t>Offshore | Sr. Visual Designer (inactive)</t>
  </si>
  <si>
    <t>Onshore | Art Director (inactive)</t>
  </si>
  <si>
    <t>Offshore | Art Director (inactive)</t>
  </si>
  <si>
    <t>Onshore | Sr. Art Director (inactive)</t>
  </si>
  <si>
    <t>Offshore | Sr. Art Director (inactive)</t>
  </si>
  <si>
    <t>WCM  Practice wise definitions</t>
  </si>
  <si>
    <t>E-Commerce Practice wise definitions</t>
  </si>
  <si>
    <t>UI Practice Wise Definitions</t>
  </si>
  <si>
    <t>UX Practice Wise Definitions</t>
  </si>
  <si>
    <t>Difficulty Level</t>
  </si>
  <si>
    <t xml:space="preserve">UX </t>
  </si>
  <si>
    <t>A simple static template having existing components……………………            A simple component with authoring
Example: 
1. Text component.
2. Logo Component.</t>
  </si>
  <si>
    <t xml:space="preserve">Creating content with default content types, Show and Hide regions, Blocks,  Taxonomy Terms, Clean URLs, enabling Database Logs, Adding New Menu Items or change existing Menu names, 
Example: 
1. Text component.
2. Logo Component. </t>
  </si>
  <si>
    <t>• Creating data template with simple data structure with validations, help text, insert options, standard values etc.
• Sub layout that reads data from single item and renders without any manipulations with data
Example: 
Title Rendering, Image Rendering, Rich Text Rendering</t>
  </si>
  <si>
    <t>• Creating simple static JSPs content slots Ex: Marketing a Product on Homepage</t>
  </si>
  <si>
    <t>•Adding CMS component Ex: Make a text component such as "Welcome back XXXX" on homepage login (only data changes)</t>
  </si>
  <si>
    <t xml:space="preserve">HTML, CSS
Ex: Writing HTML and CSS for a simple component with couple of elements </t>
  </si>
  <si>
    <t>Creating a basic single screen (either wireframe or visual design) for desktop only, with a header, banner, horizontal card with images &amp; text, and footer.</t>
  </si>
  <si>
    <t>A component with rich UI integration
Example:
1. Title Text &amp; Image Component.
2. Table component, with alternate colors.</t>
  </si>
  <si>
    <t>Installing Modules, Install Theme, Create User Roles, Permissions, Menus
Example: 
1. Title Text &amp; Image Component.
2. Table component, with alternate colors.</t>
  </si>
  <si>
    <t>• Creating data template with complex data structure 
• Sub layout that reads content from single item and processes content before rendering 
• Sub layout that requires creation of edit frames.
Example: 
Slides, Image with text and button callouts</t>
  </si>
  <si>
    <t>• Creating Page Layout using existing or custom JSPs Ex: Creating Custom Home Pages for different clients in B2B .</t>
  </si>
  <si>
    <t>•  Extending product models • Modify Solar search and indexing• Creating cron jobs • Creating custom CMS component Ex:Adding a new product attributes such as "availableInStoreOnly"</t>
  </si>
  <si>
    <t>HTML, CSS, Interactive, Self-Contained
Ex: Components with HTML, CSS and Javascript</t>
  </si>
  <si>
    <t>Creating a basic single screen (either wireframe or visual design) for desktop, tablet &amp; mobile only, with a header, banner, horizontal card with images &amp; text, and footer.</t>
  </si>
  <si>
    <t>A component with simple back end integration
Example:
1. Video component. (integration with YouTube, BrightCrove)
2. Accordion Component</t>
  </si>
  <si>
    <t>Content Types using CCK, Simple Forms, Form Validations, Form States, Cron Jobs, Ajax/jQuery Forms, 
Example:
1. Video component. (integration with YouTube, BrightCrove)
2. Accordion Component</t>
  </si>
  <si>
    <t>• Sub layout that reads data from multiple items and perform simple processing on data before rendering
• Sub layout that read/write to external sources without processing of data
• Sub layout with personalization using default rules
• Sub layout that require creation of custom edit buttons.
Example: 
Latest News and Latest Events using search indexes</t>
  </si>
  <si>
    <t>•  Creating Custom Commands/Controllers for new flows •  Creating Email Send component Ex:Adding new business flow such as Bulk orders</t>
  </si>
  <si>
    <t>Workflow components creation, Working with Variant models, Promotions, Creating new pages</t>
  </si>
  <si>
    <t>HTML, CSS, Interactive, Animations, Self-Contained, Partially Data-Oriented
Ex : Accordion, sliders, video components etc which has major javascript functionality with html and CSS</t>
  </si>
  <si>
    <t>Creating a rich screen (either wireframe or visual design) for desktop only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</si>
  <si>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simple back and forth flow
Example:
1. PDF generation with dynamic data.
2. Product summary component with a REST call.</t>
  </si>
  <si>
    <t xml:space="preserve">SEO, Responsiveness, Complex Views, Features and Deployment Strategies with Drush, , Entities, Multistep Forms, Batch Processing, 
Example:
1. PDF generation with dynamic data.
2. Product summary component with a REST call. </t>
  </si>
  <si>
    <t>• Sub layout that reads data from multiple items and perform complex processing on data before rendering
• Sub layout that require custom rules for personalization.
• Sub layout that requires processing of data before reading or writing  to external sources
• Creation of custom Sitecore events, pipelines, fields etc.
Example: 
Creation of news items from different RSS feeds and displaying the listing with filters using search indexes
 Generating sitemap xml file on publishing</t>
  </si>
  <si>
    <t>• Shopping Cart changes • Checkout Changes • Business Rules for promotions •  Management  Center Changes Ex:  Adding new payment method on checkout, integration with  promotion rules engine.</t>
  </si>
  <si>
    <t>Integration with Adobe UX , User Experience Modules, Custom Business Rules for Promotions,  Back office  widgets creation and business logic Ex: Providing Product details to Adobe UX</t>
  </si>
  <si>
    <t>HTML, CSS, Interactive, Animations, Self-Contained, AJAX, Data-Oriented
Ex: Components and API integration and UI rendering</t>
  </si>
  <si>
    <t>Creating a rich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</si>
  <si>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multiple flows defined
Example:
1. Search implementation with results.
2. User journey with multiple forms and integration at each level. (like Readiness Centre form)</t>
  </si>
  <si>
    <t xml:space="preserve">3rd Party Integrations
Example:
1. Search implementation with results.
2. User journey with multiple forms and integration at each level. (like Readiness Centre form) </t>
  </si>
  <si>
    <t>• Tasks involving integration with third part tools
• Tasks involving integration with web services
Example: 
Connectors like Eloqua or Pardot Form connector, YouTube connector, Integration with SSO services, Search Engine, Shipping Service etc</t>
  </si>
  <si>
    <t>•  Service Integration Layer changes • WebServices creations Ex:Tax calculation service, Fraud check services</t>
  </si>
  <si>
    <t>Custom component creation for pricing rules, SSO integration etc Ex: Creating complex pricing rules engine for B2B shoppers</t>
  </si>
  <si>
    <t>HTML, CSS, Interactive, Animations, Self-Contained, AJAX, Highly Data-Oriented , Partial MVC
Ex: Calendar components with api integration. Custom JS library, interaction with the server, rendering the response using templating engines</t>
  </si>
  <si>
    <t>Creating a high-def screen (either wireframe or visual design) for desktop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</si>
  <si>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A component with rich ui, many dialogues for authoring and third party integration with multiple flows defined
Example:
1. Advanced search component with filters.
2. Login module, IDM integration. (User Credentials Validation, Login Attempt Failed Info, Update Password,  Update User Communication Skills and User Profile Information)</t>
  </si>
  <si>
    <t xml:space="preserve">Theme, Module Development, Migration from different CMS to Drupal, Drupal 6 to 7 Upgrade
Example:
1. Advanced search component with filters.
2. Login module, IDM integration. (User Credentials Validation, Login Attempt Failed Info, Update Password,  Update User Communication Skills and User Profile Information) </t>
  </si>
  <si>
    <t>• Tasks involving customization of Sitecore or Sitecore modules
Example: 
Customizing Link Provider, Customizing WFFM</t>
  </si>
  <si>
    <t>• Custom Changes to the business rules, promotions,  pricing rules etc. Ex: Creating new custom rules for complex pricing for B2B customers</t>
  </si>
  <si>
    <t>Cloud development, ERP integrations and Real time Warehouse/Inventory Integrations Ex: Creating micro services for Cloud Instance, Integration with Pricing on ERP side.</t>
  </si>
  <si>
    <t>HTML, CSS, Interactive, Animations, Self-Contained, AJAX, Highly Data-Oriented , MVC, SPA
Ex: Single page application using MVC frameworks along with HTML and CSS development</t>
  </si>
  <si>
    <t>Creating a high-def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</si>
  <si>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Organization</t>
  </si>
  <si>
    <t>Resource Group Projector</t>
  </si>
  <si>
    <t>Resource Practice or Squad</t>
  </si>
  <si>
    <t>Specialization</t>
  </si>
  <si>
    <t xml:space="preserve">Work Bucket Practice Choices </t>
  </si>
  <si>
    <t>NA (CUS)</t>
  </si>
  <si>
    <t>Consulting Practices | NA (CUS)</t>
  </si>
  <si>
    <t xml:space="preserve">Management Core  </t>
  </si>
  <si>
    <t>WCM</t>
  </si>
  <si>
    <t>Organization &amp; Change</t>
  </si>
  <si>
    <t>Program Leadership</t>
  </si>
  <si>
    <t>Strategy &amp; Innovation</t>
  </si>
  <si>
    <t>E-commerce</t>
  </si>
  <si>
    <t>Content</t>
  </si>
  <si>
    <t>UI Development</t>
  </si>
  <si>
    <t>Design</t>
  </si>
  <si>
    <t>UX Development</t>
  </si>
  <si>
    <t>Front-End Engineering</t>
  </si>
  <si>
    <t>CMS Development</t>
  </si>
  <si>
    <t>Insights &amp; Strategy</t>
  </si>
  <si>
    <t>Web Integration</t>
  </si>
  <si>
    <t>Cloud</t>
  </si>
  <si>
    <t>QA</t>
  </si>
  <si>
    <t>Data</t>
  </si>
  <si>
    <t>UAT</t>
  </si>
  <si>
    <t>Mobile</t>
  </si>
  <si>
    <t>Data Migration</t>
  </si>
  <si>
    <t>Security &amp; Privacy</t>
  </si>
  <si>
    <t>UI Testing</t>
  </si>
  <si>
    <t>Software Engineering</t>
  </si>
  <si>
    <t>WCM Testing</t>
  </si>
  <si>
    <t>Digital Practices | NA (CUS)</t>
  </si>
  <si>
    <t>Requirements, Architecture &amp; Design</t>
  </si>
  <si>
    <t>India</t>
  </si>
  <si>
    <t>Digital Practices (GDC)</t>
  </si>
  <si>
    <t>MarTech India (GDC)</t>
  </si>
  <si>
    <t>Golive &amp; Warranty</t>
  </si>
  <si>
    <t>MarTech India (TAD)</t>
  </si>
  <si>
    <t>Integration</t>
  </si>
  <si>
    <t>Services Integration</t>
  </si>
  <si>
    <t>Premium MarTech India (GDC)</t>
  </si>
  <si>
    <t>CMS Unit Testing</t>
  </si>
  <si>
    <t>Premium MarTech India (TAD)</t>
  </si>
  <si>
    <t>Services Ingregration Unit Testing Effort</t>
  </si>
  <si>
    <t>Adobe_BA</t>
  </si>
  <si>
    <t>E-Commerce Unit Testing Effort</t>
  </si>
  <si>
    <t>Adobe Commerce</t>
  </si>
  <si>
    <t>E-Commerce Development</t>
  </si>
  <si>
    <t>Adobe DevOps</t>
  </si>
  <si>
    <t>Adobe QA</t>
  </si>
  <si>
    <t>Adobe UI</t>
  </si>
  <si>
    <t>Data &amp; Analytics</t>
  </si>
  <si>
    <t>Experience Management</t>
  </si>
  <si>
    <t>Marketing Automation</t>
  </si>
  <si>
    <t>Work Management</t>
  </si>
  <si>
    <t>Acquia_BA</t>
  </si>
  <si>
    <t>Aquia DevOps</t>
  </si>
  <si>
    <t>Acquia QA</t>
  </si>
  <si>
    <t>Acquia UI</t>
  </si>
  <si>
    <t>Acquia CDP</t>
  </si>
  <si>
    <t>Personalization</t>
  </si>
  <si>
    <t>WordPress</t>
  </si>
  <si>
    <t>Digital Practices | NA (TAD)</t>
  </si>
  <si>
    <t>Consulting Practices | NA (TAD)</t>
  </si>
  <si>
    <t>Frontend Development</t>
  </si>
  <si>
    <t>MACH_BA</t>
  </si>
  <si>
    <t>MACH DevOps</t>
  </si>
  <si>
    <t>MACH QA</t>
  </si>
  <si>
    <t>MACH UI</t>
  </si>
  <si>
    <t>MACH Content</t>
  </si>
  <si>
    <t>MACH Commerce</t>
  </si>
  <si>
    <t>Middleware</t>
  </si>
  <si>
    <t>Product &amp; Innovation</t>
  </si>
  <si>
    <t>Salesforce BA</t>
  </si>
  <si>
    <t>Salesforce DevOps</t>
  </si>
  <si>
    <t>SalesforceQA</t>
  </si>
  <si>
    <t>Salesforce UI</t>
  </si>
  <si>
    <t>Commerce Cloud</t>
  </si>
  <si>
    <t>Data Cloud</t>
  </si>
  <si>
    <t>Marketing Cloud</t>
  </si>
  <si>
    <t>Sales Cloud</t>
  </si>
  <si>
    <t>Service Cloud</t>
  </si>
  <si>
    <t xml:space="preserve">Data &amp; AI </t>
  </si>
  <si>
    <t xml:space="preserve">Cloud </t>
  </si>
  <si>
    <t xml:space="preserve">NA (CUS), (GDC), NA (TAD) </t>
  </si>
  <si>
    <t xml:space="preserve">Business Enablement </t>
  </si>
  <si>
    <t>Corporate (GDC)</t>
  </si>
  <si>
    <t>Corporate India (GDC)</t>
  </si>
  <si>
    <t>Corporate India (TAD)</t>
  </si>
  <si>
    <t>Corporate LATAM</t>
  </si>
  <si>
    <t>Corporate I  NA (CUS)</t>
  </si>
  <si>
    <t>Corporate I  NA (TAD)</t>
  </si>
  <si>
    <t>Partner (CUS)</t>
  </si>
  <si>
    <t>NA (TAD)</t>
  </si>
  <si>
    <t xml:space="preserve">Content </t>
  </si>
  <si>
    <t>Consulting Practices  (GDC)</t>
  </si>
  <si>
    <t>Cloud &amp; Engineering I India (GDC)</t>
  </si>
  <si>
    <t>Cloud &amp; Engineering I India LATAM</t>
  </si>
  <si>
    <t>Cloud &amp; Engineering I India (TAD)</t>
  </si>
  <si>
    <t>Content I India (GDC)</t>
  </si>
  <si>
    <t>Content I India (TAD)</t>
  </si>
  <si>
    <t>Data &amp; AI I India (GDC)</t>
  </si>
  <si>
    <t>Data &amp; AI I India (TAD)</t>
  </si>
  <si>
    <t>Data &amp; AI I India LATAM</t>
  </si>
  <si>
    <t>Experience Design I India (GDC)</t>
  </si>
  <si>
    <t>Experience Design I India (TAD)</t>
  </si>
  <si>
    <t>Management Consulting I India (GDC)</t>
  </si>
  <si>
    <t>Management Consulting I India (TAD)</t>
  </si>
  <si>
    <t>Management Consulting I India LATAM</t>
  </si>
  <si>
    <t>Quality Assurance I India (GDC)</t>
  </si>
  <si>
    <t>Quality Assurance I India (TAD)</t>
  </si>
  <si>
    <t>Quality Assurance I India (LATAM)</t>
  </si>
  <si>
    <t>Estimation Variables &amp; Complexity Levels</t>
  </si>
  <si>
    <t>Project Information and Buckets</t>
  </si>
  <si>
    <t xml:space="preserve">Complexity and Difficulty Levels </t>
  </si>
  <si>
    <t>TAD Other Factors</t>
  </si>
  <si>
    <t>Integrations points</t>
  </si>
  <si>
    <t>Generic Dependency Risk Factors</t>
  </si>
  <si>
    <t>Recommended Risk Factor Increases</t>
  </si>
  <si>
    <t>QA Intensity by Project Type</t>
  </si>
  <si>
    <t>QA Intensity (Scale of 1-5)</t>
  </si>
  <si>
    <t>Base QA Effort as % of Dev Effort</t>
  </si>
  <si>
    <t>TAD Specific</t>
  </si>
  <si>
    <t>Multiplication Factor Number of Days</t>
  </si>
  <si>
    <t>Multiplication Factor</t>
  </si>
  <si>
    <t>Unity Testing Effort by Project Type</t>
  </si>
  <si>
    <t>Unit Testing Effort</t>
  </si>
  <si>
    <t>Base Unit effort as % of dev effort</t>
  </si>
  <si>
    <r>
      <t xml:space="preserve">Integration Difficulty Level </t>
    </r>
    <r>
      <rPr>
        <sz val="11"/>
        <color theme="1"/>
        <rFont val="Lato Regular"/>
      </rPr>
      <t>(Definitions for Project Types found on Definitions Page)</t>
    </r>
  </si>
  <si>
    <t>Integration Difficulty Level</t>
  </si>
  <si>
    <t>Not Applicable</t>
  </si>
  <si>
    <t>QA Effort</t>
  </si>
  <si>
    <t>QA Intensity (scale of 1-5)</t>
  </si>
  <si>
    <t>Definition</t>
  </si>
  <si>
    <t>Base QA effort as % of dev effort (WCM + UI+E-Commerce)</t>
  </si>
  <si>
    <t>WCM testing only</t>
  </si>
  <si>
    <t>UI &amp; WCM testing without responsive testing, only 3 browsers</t>
  </si>
  <si>
    <t>UI &amp; WCM testing with responsive testing, with 3 devices and 3 browsers</t>
  </si>
  <si>
    <t>UI &amp; WCM testing with responsive testing, more than 9 devices and 6 browsers</t>
  </si>
  <si>
    <t>Data Migration and UI &amp; WCM testing with responsive testing, more than 9 devices and 6 browsers</t>
  </si>
  <si>
    <t>Client Rate Cards</t>
  </si>
  <si>
    <t>To update a rate card, someone will need to filter to the [client name, delete the old data in colb-E, paste in new data from Projector Export or Excel File, Update named range area using Name Manager, remove spaces from Rate Card Name, Confirm Client Named Range</t>
  </si>
  <si>
    <t>OMC Rates Placeholder</t>
  </si>
  <si>
    <t>Global Rates Credera Entities - EMEA</t>
  </si>
  <si>
    <t>Global Rates Credera Entities - Areteans (Hrly Rate / Cost in USD)</t>
  </si>
  <si>
    <t>Client</t>
  </si>
  <si>
    <t>Client Rate Card Name</t>
  </si>
  <si>
    <t>Rate</t>
  </si>
  <si>
    <t xml:space="preserve">OMC Role Type </t>
  </si>
  <si>
    <t>OMC Title -Placeholder</t>
  </si>
  <si>
    <t>Org</t>
  </si>
  <si>
    <t>Role?</t>
  </si>
  <si>
    <t>Hourly BR</t>
  </si>
  <si>
    <t>Hourly CR</t>
  </si>
  <si>
    <t>BR in USD</t>
  </si>
  <si>
    <t>CR in USD</t>
  </si>
  <si>
    <t>Australia</t>
  </si>
  <si>
    <t>UK</t>
  </si>
  <si>
    <t>New Zealand</t>
  </si>
  <si>
    <t>USA</t>
  </si>
  <si>
    <t>All Star Auto Parts</t>
  </si>
  <si>
    <t>_2023_AllStar_Auto_Parts_Rate_Card</t>
  </si>
  <si>
    <t>Exec Dir</t>
  </si>
  <si>
    <t>Exec Director</t>
  </si>
  <si>
    <t>Another Role Title?</t>
  </si>
  <si>
    <t>Role</t>
  </si>
  <si>
    <t>D3</t>
  </si>
  <si>
    <t>Managing Director</t>
  </si>
  <si>
    <t>Associate Con.  - BA , Consultant - BA</t>
  </si>
  <si>
    <t>Business Architect</t>
  </si>
  <si>
    <t>D2</t>
  </si>
  <si>
    <t>Senior Decision Architect, Associate Architect - Decisioning</t>
  </si>
  <si>
    <t>Decisioning Architect</t>
  </si>
  <si>
    <t>D1</t>
  </si>
  <si>
    <t>Director</t>
  </si>
  <si>
    <t>Lead Consultant - Business Architect</t>
  </si>
  <si>
    <t>Lead Business Architect</t>
  </si>
  <si>
    <t>Principal</t>
  </si>
  <si>
    <t>Lead Decision Architect</t>
  </si>
  <si>
    <t>Lead Decisioning Architect</t>
  </si>
  <si>
    <t>MC5</t>
  </si>
  <si>
    <t>Management Consultant 5</t>
  </si>
  <si>
    <t>Lead Consultant - QA, Associate Manager - QA</t>
  </si>
  <si>
    <t>Lead consultant- QA</t>
  </si>
  <si>
    <t>MC4</t>
  </si>
  <si>
    <t>Management Consultant 4</t>
  </si>
  <si>
    <t>Architect, Associate Architect,Lead Consultant</t>
  </si>
  <si>
    <t>Lead System Architect</t>
  </si>
  <si>
    <t>MC3</t>
  </si>
  <si>
    <t>Management Consultant 3</t>
  </si>
  <si>
    <t>Lead System Architect- Marketing</t>
  </si>
  <si>
    <t>C2</t>
  </si>
  <si>
    <t>Senior Consultant</t>
  </si>
  <si>
    <t>Principal Business Architect</t>
  </si>
  <si>
    <t>C1</t>
  </si>
  <si>
    <t>Consultant</t>
  </si>
  <si>
    <t>Principal Decision Architect</t>
  </si>
  <si>
    <t>Principal Decisioning Architect</t>
  </si>
  <si>
    <t>C0</t>
  </si>
  <si>
    <t>Analyst (Grad)</t>
  </si>
  <si>
    <t>Principal Decision Architect ,Lead Decision Architect</t>
  </si>
  <si>
    <t>Principal Decisioning Specialist</t>
  </si>
  <si>
    <t>E5</t>
  </si>
  <si>
    <t>Principal Engineer</t>
  </si>
  <si>
    <t>Manager, Project Manager, Senior Manager, Senior Project Manager</t>
  </si>
  <si>
    <t>Project Manager</t>
  </si>
  <si>
    <t>E4</t>
  </si>
  <si>
    <t>Engineer 4</t>
  </si>
  <si>
    <t xml:space="preserve">Principal Architect/ Program Director </t>
  </si>
  <si>
    <t>Principal System Architect</t>
  </si>
  <si>
    <t>E3</t>
  </si>
  <si>
    <t>Engineer 3</t>
  </si>
  <si>
    <t>Principal System Architect- Marketing</t>
  </si>
  <si>
    <t>E2</t>
  </si>
  <si>
    <t>Engineer 2</t>
  </si>
  <si>
    <t>Associate Consultant - QA, Consultant - QA</t>
  </si>
  <si>
    <t>Tester- QA</t>
  </si>
  <si>
    <t>E1</t>
  </si>
  <si>
    <t>Engineer 1</t>
  </si>
  <si>
    <t>Senior Consultant - Decisioning</t>
  </si>
  <si>
    <t>Robotic Process Automation Consultant</t>
  </si>
  <si>
    <t>E0</t>
  </si>
  <si>
    <t>Graduate / Apprentice Engineer</t>
  </si>
  <si>
    <t>Sr. Consultant , Lead Consultant</t>
  </si>
  <si>
    <t>System Architect</t>
  </si>
  <si>
    <t>S0</t>
  </si>
  <si>
    <t>Senior Consultant - Business Architect</t>
  </si>
  <si>
    <t>Senior Business Architect</t>
  </si>
  <si>
    <t>S1</t>
  </si>
  <si>
    <t>Senior Decisioning Architect</t>
  </si>
  <si>
    <t>S2</t>
  </si>
  <si>
    <t>Sr. Consultant</t>
  </si>
  <si>
    <t>Sr. Consultant - QA</t>
  </si>
  <si>
    <t>Senior tester- QA</t>
  </si>
  <si>
    <t>S3</t>
  </si>
  <si>
    <t>Senior System Architect</t>
  </si>
  <si>
    <t>S4</t>
  </si>
  <si>
    <t>Manager</t>
  </si>
  <si>
    <t>Associate Architect - Decisioning ,Senior Decision Architect</t>
  </si>
  <si>
    <t>Senior System Architect- Marketing</t>
  </si>
  <si>
    <t>S5</t>
  </si>
  <si>
    <t>Sr. Manager</t>
  </si>
  <si>
    <t>Lead Consultant</t>
  </si>
  <si>
    <t>Army</t>
  </si>
  <si>
    <t>_2023_Army_Rate_Card</t>
  </si>
  <si>
    <t>S6</t>
  </si>
  <si>
    <t>Lead Consultant - Decisioning</t>
  </si>
  <si>
    <t>Technical Lead- Marketing</t>
  </si>
  <si>
    <t>S7</t>
  </si>
  <si>
    <t>Sr. Principal</t>
  </si>
  <si>
    <t>Associate Consultant-XD, Consultant - XD,Associate Architect - XD, Architect - XD</t>
  </si>
  <si>
    <t xml:space="preserve">User Interface consultant/ Architect </t>
  </si>
  <si>
    <t>S8</t>
  </si>
  <si>
    <t>Head of Dept</t>
  </si>
  <si>
    <t>Associate Architect - XD, Architect - XD</t>
  </si>
  <si>
    <t>User Interface Architect</t>
  </si>
  <si>
    <t>S9</t>
  </si>
  <si>
    <t>Director / VP</t>
  </si>
  <si>
    <t>Associate Consultant-XD, Consultant - XD</t>
  </si>
  <si>
    <t>User Experience consultant</t>
  </si>
  <si>
    <t>L9</t>
  </si>
  <si>
    <t>Intern</t>
  </si>
  <si>
    <t>L8</t>
  </si>
  <si>
    <t>Senior manager</t>
  </si>
  <si>
    <t>_2023_Army_Strategy_Rate_Card</t>
  </si>
  <si>
    <t>Partner</t>
  </si>
  <si>
    <t>Becton Dickinson</t>
  </si>
  <si>
    <t>_2023_Becton_Dickinson_Rate_Card</t>
  </si>
  <si>
    <t>BGSF</t>
  </si>
  <si>
    <t>_2023_BGSF_Rate_Card</t>
  </si>
  <si>
    <t>Brinker</t>
  </si>
  <si>
    <t>_2023_Brinker_Rate_Card</t>
  </si>
  <si>
    <t>C Spire</t>
  </si>
  <si>
    <t>_2023_C_Spire_Rate_Card</t>
  </si>
  <si>
    <t>EmployBridge</t>
  </si>
  <si>
    <t>_2023_EmployBridge_Rate_Card</t>
  </si>
  <si>
    <t>Hilton Worldwide</t>
  </si>
  <si>
    <t>_2023_Hilton_Worldwide_Rate_Card</t>
  </si>
  <si>
    <t>_2023_MBUSA_team_X_Rate_Card</t>
  </si>
  <si>
    <t>Motion Recruitment Partners</t>
  </si>
  <si>
    <t>_2023_Motion_Recruitment_Partners_Rate_Card</t>
  </si>
  <si>
    <t>Novartis</t>
  </si>
  <si>
    <t>_2023_Novartis_Rate_Card</t>
  </si>
  <si>
    <t>NRG</t>
  </si>
  <si>
    <t>_2023_NRG_Rate_Card</t>
  </si>
  <si>
    <t>Path-Tec</t>
  </si>
  <si>
    <t>_2023_Path-Tec_Rate_Card</t>
  </si>
  <si>
    <t>Pro Frac</t>
  </si>
  <si>
    <t>_2023_Pro_Frac_Rate_Card</t>
  </si>
  <si>
    <t>Red Lobster</t>
  </si>
  <si>
    <t>_2023_Red_Lobster_Rate_Card</t>
  </si>
  <si>
    <t>Stuller</t>
  </si>
  <si>
    <t>_2023_Stuller_Rate_Card</t>
  </si>
  <si>
    <t>Triumph</t>
  </si>
  <si>
    <t>_2023_Triumph_Factoring_Division_Rate_Card</t>
  </si>
  <si>
    <t>Valvoline</t>
  </si>
  <si>
    <t>_2023_Valvoline_Retail_Services_Rate_Card</t>
  </si>
  <si>
    <t>Windows USA</t>
  </si>
  <si>
    <t>_2023_Windows_USA_Rate_Card</t>
  </si>
  <si>
    <t>Eli Lilly</t>
  </si>
  <si>
    <t>_2024_Eli_Lilly_Rate_Card</t>
  </si>
  <si>
    <t>Intuit</t>
  </si>
  <si>
    <t>_2024_Intuit_Rate_Card</t>
  </si>
  <si>
    <t>McDonald's</t>
  </si>
  <si>
    <t>_2024_McDonald's_Rate_Card</t>
  </si>
  <si>
    <t>Southwest Airlines</t>
  </si>
  <si>
    <t>_2024_Southwest_Airlines_Rate_Card</t>
  </si>
  <si>
    <t>Discount %</t>
  </si>
  <si>
    <t>Discount $</t>
  </si>
  <si>
    <t>Client Discount</t>
  </si>
  <si>
    <t>Cloud &amp; Engineering - 2 | Associate Engineer</t>
  </si>
  <si>
    <t>Cloud &amp; Engineering - 2 | Engineer</t>
  </si>
  <si>
    <t>Data &amp; AI - 2 | Associate Engineer</t>
  </si>
  <si>
    <t>Data &amp; AI - 2 | Engineer</t>
  </si>
  <si>
    <t>Management Consulting - 2 | Business Analyst</t>
  </si>
  <si>
    <t>Quality Assurance - 2 | Associate QA Engineer</t>
  </si>
  <si>
    <t>Quality Assurance - 2 | QA Engineer</t>
  </si>
  <si>
    <t>Content - 2 | Associate Content Engineer</t>
  </si>
  <si>
    <t>Content - 2 | Content Engineer</t>
  </si>
  <si>
    <t>Experience Design - 2 | Strategist</t>
  </si>
  <si>
    <t>Experience Design - 2 | Designer</t>
  </si>
  <si>
    <t>Management Consulting - 2 | Consultant</t>
  </si>
  <si>
    <t>MarTech - 2 | Associate Engineer</t>
  </si>
  <si>
    <t>MarTech - 2 | Engineer</t>
  </si>
  <si>
    <t>Premium MarTech - 2 | Associate Engineer</t>
  </si>
  <si>
    <t>Premium MarTech - 2 | Engineer</t>
  </si>
  <si>
    <t>Credera LATAM Consulting | Cloud &amp; Engineering - L2 / B1-B3 | Associate Engineer</t>
  </si>
  <si>
    <t>Credera LATAM Consulting | Cloud &amp; Engineering - L2 / B1-B3 | Engineer</t>
  </si>
  <si>
    <t>Credera LATAM Consulting | Data &amp; AI - L2 / B1-B3 | Associate Engineer</t>
  </si>
  <si>
    <t>Credera LATAM Consulting | Data &amp; AI - L2 / B1-B3 | Engineer</t>
  </si>
  <si>
    <t>Credera LATAM Consulting | Management Consulting - L2 / B1-B3 | Business Analyst</t>
  </si>
  <si>
    <t>Credera LATAM Consulting | Quality Assurance - L2 / B1-B3 | Associate QA Engineer</t>
  </si>
  <si>
    <t>Credera LATAM Consulting | Quality Assurance - L2 / B1-B3 | QA Engineer</t>
  </si>
  <si>
    <t>Credera India Consulting | Cloud &amp; Engineering - L2 / B1-B3 | Associate Engineer</t>
  </si>
  <si>
    <t>Credera India Consulting | Cloud &amp; Engineering - L2 / B1-B3 | Engineer</t>
  </si>
  <si>
    <t>Credera India Consulting | Content - L2 / B1-B3 | Associate Content Engineer</t>
  </si>
  <si>
    <t>Credera India Consulting | Content - L2 / B1-B3 | Content Engineer</t>
  </si>
  <si>
    <t>Credera India Consulting | Data &amp; AI - L2 / B1-B3 | Associate Engineer</t>
  </si>
  <si>
    <t>Credera India Consulting | Data &amp; AI - L2 / B1-B3 | Engineer</t>
  </si>
  <si>
    <t>Credera India Consulting | Experience Design - L2 / B1-B3 | Strategist</t>
  </si>
  <si>
    <t>Credera India Consulting | Experience Design - L2 / B1-B3 | Designer</t>
  </si>
  <si>
    <t>Credera India Consulting | Management Consulting - L2 / B1-B3 | Consultant</t>
  </si>
  <si>
    <t>Credera India Consulting | Quality Assurance - L2 / B1-B3 | Associate QA Engineer</t>
  </si>
  <si>
    <t>Credera India Consulting | Quality Assurance - L2 / B1-B3 | QA Engineer</t>
  </si>
  <si>
    <t>Credera India Digital | MarTech - L2 / B1-B3 | Associate Engineer</t>
  </si>
  <si>
    <t>Credera India Digital | MarTech - L2 / B1-B3 | Engineer</t>
  </si>
  <si>
    <t>Credera India Digital | Premium MarTech - L2 / B1-B3 | Associate Engineer</t>
  </si>
  <si>
    <t>Credera India Digital | Premium MarTech - L2 / B1-B3 | Engineer</t>
  </si>
  <si>
    <t>TADigital India Consulting | Cloud &amp; Engineering - L2 / B1-B3 | Associate Engineer</t>
  </si>
  <si>
    <t>TADigital India Consulting | Cloud &amp; Engineering - L2 / B1-B3 | Engineer</t>
  </si>
  <si>
    <t>TADigital India Consulting | Content - L2 / B1-B3 | Associate Content Engineer</t>
  </si>
  <si>
    <t>TADigital India Consulting | Content - L2 / B1-B3 | Content Engineer</t>
  </si>
  <si>
    <t>TADigital India Consulting | Data &amp; AI - L2 / B1-B3 | Associate Engineer</t>
  </si>
  <si>
    <t>TADigital India Consulting | Data &amp; AI - L2 / B1-B3 | Engineer</t>
  </si>
  <si>
    <t>TADigital India Consulting | Experience Design - L2 / B1-B3 | Strategist</t>
  </si>
  <si>
    <t>TADigital India Consulting | Experience Design - L2 / B1-B3 | Designer</t>
  </si>
  <si>
    <t>TADigital India Consulting | Management Consulting - L2 / B1-B3 | Consultant</t>
  </si>
  <si>
    <t>TADigital India Consulting | Quality Assurance - L2 / B1-B3 | Associate QA Engineer</t>
  </si>
  <si>
    <t>TADigital India Consulting | Quality Assurance - L2 / B1-B3 | QA Engineer</t>
  </si>
  <si>
    <t>TADigital India Digital | MarTech - L2 / B1-B3 | Associate Engineer</t>
  </si>
  <si>
    <t>TADigital India Digital | MarTech - L2 / B1-B3 | Engineer</t>
  </si>
  <si>
    <t>TADigital India Digital | Premium MarTech - L2 / B1-B3 | Associate Engineer</t>
  </si>
  <si>
    <t>TADigital India Digital | Premium MarTech - L2 / B1-B3 | Engineer</t>
  </si>
  <si>
    <t>Cloud &amp; Engineering - 3 | Senior Engineer</t>
  </si>
  <si>
    <t>Cloud &amp; Engineering - 3 | Lead Engineer</t>
  </si>
  <si>
    <t>Data &amp; AI - 3 | Senior Engineer</t>
  </si>
  <si>
    <t>Data &amp; AI - 3 | Lead Engineer</t>
  </si>
  <si>
    <t>Management Consulting - 3 | Sr Business Analyst</t>
  </si>
  <si>
    <t>Management Consulting - 3 | Scrum Master</t>
  </si>
  <si>
    <t>Quality Assurance - 3 | Senior QA Engineer</t>
  </si>
  <si>
    <t>Quality Assurance - 3 | Lead QA Engineer</t>
  </si>
  <si>
    <t>Content - 3 | Senior Content Engineer</t>
  </si>
  <si>
    <t>Content - 3 | Lead Content Engineer</t>
  </si>
  <si>
    <t>Experience Design - 3 | Senior Strategist</t>
  </si>
  <si>
    <t>Experience Design - 3 | Senior Designer</t>
  </si>
  <si>
    <t>Management Consulting - 3 | Senior Consultant</t>
  </si>
  <si>
    <t>MarTech - 3 | Senior Engineer</t>
  </si>
  <si>
    <t>MarTech - 3 | Lead Engineer</t>
  </si>
  <si>
    <t>Premium MarTech - 3 | Senior Engineer</t>
  </si>
  <si>
    <t>Premium MarTech - 3 | Lead Engineer</t>
  </si>
  <si>
    <t>Credera LATAM Consulting | Cloud &amp; Engineering - L3 / C1-C2 | Senior Engineer</t>
  </si>
  <si>
    <t>Credera LATAM Consulting | Cloud &amp; Engineering - L3 / C1-C2 | Lead Engineer</t>
  </si>
  <si>
    <t>Credera LATAM Consulting | Data &amp; AI - L3 / C1-C2 | Senior Engineer</t>
  </si>
  <si>
    <t>Credera LATAM Consulting | Data &amp; AI - L3 / C1-C2 | Lead Engineer</t>
  </si>
  <si>
    <t>Credera LATAM Consulting | Management Consulting - L3 / C1-C2 | Sr Business Analyst</t>
  </si>
  <si>
    <t>Credera LATAM Consulting | Management Consulting - L3 / C1-C2 | Scrum Master</t>
  </si>
  <si>
    <t>Credera LATAM Consulting | Management Consulting - L3 / C1-C2 | Project Manager</t>
  </si>
  <si>
    <t>Credera LATAM Consulting | Quality Assurance - L3 / C1-C2 | Senior QA Engineer</t>
  </si>
  <si>
    <t>Credera LATAM Consulting | Quality Assurance - L3 / C1-C2 | Lead QA Engineer</t>
  </si>
  <si>
    <t>Credera India Consulting | Cloud &amp; Engineering - L3 / C1-C2 | Senior Engineer</t>
  </si>
  <si>
    <t>Credera India Consulting | Cloud &amp; Engineering - L3 / C1-C2 | Lead Engineer</t>
  </si>
  <si>
    <t>Credera India Consulting | Content - L3 / C1-C2 | Senior Content Engineer</t>
  </si>
  <si>
    <t>Credera India Consulting | Content - L3 / C1-C2 | Lead Content Engineer</t>
  </si>
  <si>
    <t>Credera India Consulting | Data &amp; AI - L3 / C1-C2 | Senior Engineer</t>
  </si>
  <si>
    <t>Credera India Consulting | Data &amp; AI - L3 / C1-C2 | Lead Engineer</t>
  </si>
  <si>
    <t>Credera India Consulting | Experience Design - L3 / C1-C2 | Senior Strategist</t>
  </si>
  <si>
    <t>Credera India Consulting | Experience Design - L3 / C1-C2 | Senior Designer</t>
  </si>
  <si>
    <t>Credera India Consulting | Management Consulting - L3 / C1-C2 | Scrum Master</t>
  </si>
  <si>
    <t>Credera India Consulting | Management Consulting - L3 / C1-C2 | Senior Consultant</t>
  </si>
  <si>
    <t>Credera India Consulting | Quality Assurance - L3 / C1-C2 | Senior QA Engineer</t>
  </si>
  <si>
    <t>Credera India Consulting | Quality Assurance - L3 / C1-C2 | Lead QA Engineer</t>
  </si>
  <si>
    <t>Credera India Digital | MarTech - L3 / C1-C2 | Senior Engineer</t>
  </si>
  <si>
    <t>Credera India Digital | MarTech - L3 / C1-C2 | Lead Engineer</t>
  </si>
  <si>
    <t>Credera India Digital | Premium MarTech - L3 / C1-C2 | Senior Engineer</t>
  </si>
  <si>
    <t>Credera India Digital | Premium MarTech - L3 / C1-C2 | Lead Engineer</t>
  </si>
  <si>
    <t>TADigital India Consulting | Cloud &amp; Engineering - L3 / C1-C2 | Senior Engineer</t>
  </si>
  <si>
    <t>TADigital India Consulting | Cloud &amp; Engineering - L3 / C1-C2 | Lead Engineer</t>
  </si>
  <si>
    <t>TADigital India Consulting | Content - L3 / C1-C2 | Senior Content Engineer</t>
  </si>
  <si>
    <t>TADigital India Consulting | Content - L3 / C1-C2 | Lead Content Engineer</t>
  </si>
  <si>
    <t>TADigital India Consulting | Data &amp; AI - L3 / C1-C2 | Senior Engineer</t>
  </si>
  <si>
    <t>TADigital India Consulting | Data &amp; AI - L3 / C1-C2 | Lead Engineer</t>
  </si>
  <si>
    <t>TADigital India Consulting | Experience Design - L3 / C1-C2 | Senior Strategist</t>
  </si>
  <si>
    <t>TADigital India Consulting | Experience Design - L3 / C1-C2 | Senior Designer</t>
  </si>
  <si>
    <t>TADigital India Consulting | Management Consulting - L3 / C1-C2 | Scrum Master</t>
  </si>
  <si>
    <t>TADigital India Consulting | Management Consulting - L3 / C1-C2 | Senior Consultant</t>
  </si>
  <si>
    <t>TADigital India Consulting | Quality Assurance - L3 / C1-C2 | Senior QA Engineer</t>
  </si>
  <si>
    <t>TADigital India Consulting | Quality Assurance - L3 / C1-C2 | Lead QA Engineer</t>
  </si>
  <si>
    <t>TADigital India Digital | MarTech - L3 / C1-C2 | Senior Engineer</t>
  </si>
  <si>
    <t>TADigital India Digital | MarTech - L3 / C1-C2 | Lead Engineer</t>
  </si>
  <si>
    <t>TADigital India Digital | Premium MarTech - L3 / C1-C2 | Senior Engineer</t>
  </si>
  <si>
    <t>TADigital India Digital | Premium MarTech - L3 / C1-C2 | Lead Engineer</t>
  </si>
  <si>
    <t>Credera LATAM Consulting | Cloud &amp; Engineering - L4 / D1 | Architect</t>
  </si>
  <si>
    <t>Credera LATAM Consulting | Data &amp; AI - L4 / D1 | Architect</t>
  </si>
  <si>
    <t>Credera LATAM Consulting | Management Consulting - L4 / D1 | Senior Scrum Master</t>
  </si>
  <si>
    <t>Credera LATAM Consulting | Management Consulting - L4 / D1 | Senior Project Manager</t>
  </si>
  <si>
    <t>Credera LATAM Consulting | Quality Assurance - L4 / D1 | QA Architect</t>
  </si>
  <si>
    <t>Credera India Consulting | Cloud &amp; Engineering - L4 / D1 | Architect</t>
  </si>
  <si>
    <t>Credera India Consulting | Data &amp; AI - L4 / D1 | Architect</t>
  </si>
  <si>
    <t>Credera India Consulting | Experience Design - L4 / D1 | Strategy Manager</t>
  </si>
  <si>
    <t>Credera India Consulting | Experience Design - L4 / D1 | Associate Design Director</t>
  </si>
  <si>
    <t>Credera India Consulting | Management Consulting - L4 / D1 | Project Manager</t>
  </si>
  <si>
    <t>Credera India Consulting | Management Consulting - L4 / D1 | Manager</t>
  </si>
  <si>
    <t>Credera India Consulting | Quality Assurance - L4 / D1 | QA Architect</t>
  </si>
  <si>
    <t>Credera India Digital | MarTech - L4 / D1 | Architect</t>
  </si>
  <si>
    <t>Credera India Digital | Premium MarTech - L4 / D1 | Architect</t>
  </si>
  <si>
    <t>TADigital India Consulting | Cloud &amp; Engineering - L4 / D1 | Architect</t>
  </si>
  <si>
    <t>TADigital India Consulting | Data &amp; AI - L4 / D1 | Architect</t>
  </si>
  <si>
    <t>TADigital India Consulting | Experience Design - L4 / D1 | Strategy Manager</t>
  </si>
  <si>
    <t>TADigital India Consulting | Experience Design - L4 / D1 | Associate Design Director</t>
  </si>
  <si>
    <t>TADigital India Consulting | Management Consulting - L4 / D1 | Project Manager</t>
  </si>
  <si>
    <t>TADigital India Consulting | Management Consulting - L4 / D1 | Manager</t>
  </si>
  <si>
    <t>TADigital India Consulting | Quality Assurance - L4 / D1 | QA Architect</t>
  </si>
  <si>
    <t>TADigital India Digital | MarTech - L4 / D1 | Architect</t>
  </si>
  <si>
    <t>TADigital India Digital | Premium MarTech - L4 / D1 | Architect</t>
  </si>
  <si>
    <t>Cloud &amp; Engineering - 4 | Architect</t>
  </si>
  <si>
    <t>Data &amp; AI - 4 | Architect</t>
  </si>
  <si>
    <t>Quality Assurance - 4 | QA Architect</t>
  </si>
  <si>
    <t>Experience Design - 4 | Strategy Manager</t>
  </si>
  <si>
    <t>Experience Design - 4 | Associate Design Director</t>
  </si>
  <si>
    <t>Management Consulting - 4 | Project Manager</t>
  </si>
  <si>
    <t>Management Consulting - 4 | Manager</t>
  </si>
  <si>
    <t>MarTech - 4 | Architect</t>
  </si>
  <si>
    <t>Premium MarTech - 4 | Architect</t>
  </si>
  <si>
    <t>Cloud &amp; Engineering - 5 | Senior Architect</t>
  </si>
  <si>
    <t>Data &amp; AI - 5 | Senior Architect</t>
  </si>
  <si>
    <t>Quality Assurance - 5 | Senior QA Architect</t>
  </si>
  <si>
    <t>Experience Design - 5 | Lead Design Director</t>
  </si>
  <si>
    <t>Experience Design - 5 | Principal Design Director</t>
  </si>
  <si>
    <t>Management Consulting - 5 | Senior Scrum Master</t>
  </si>
  <si>
    <t>Management Consulting - 5 | Senior Project Manager</t>
  </si>
  <si>
    <t>Management Consulting - 5 | Senior Manager</t>
  </si>
  <si>
    <t>MarTech - 5 | Senior Architect</t>
  </si>
  <si>
    <t>Premium MarTech - 5 | Senior Architect</t>
  </si>
  <si>
    <t>Credera LATAM Consulting | Cloud &amp; Engineering - L5 / D2-E1 | Senior Architect</t>
  </si>
  <si>
    <t>Credera LATAM Consulting | Data &amp; AI - L5 / D2-E1 | Senior Architect</t>
  </si>
  <si>
    <t>Credera LATAM Consulting | Quality Assurance - L5 / D2-E1 | Senior QA Architect</t>
  </si>
  <si>
    <t>Credera India Consulting | Cloud &amp; Engineering - L5 / D2-E1 | Senior Architect</t>
  </si>
  <si>
    <t>Credera India Consulting | Data &amp; AI - L5 / D2-E1 | Senior Architect</t>
  </si>
  <si>
    <t>Credera India Consulting | Experience Design - L5 / D2-E1 | Lead Design Director</t>
  </si>
  <si>
    <t>Credera India Consulting | Experience Design - L5 / D2-E1 | Principal Design Director</t>
  </si>
  <si>
    <t>Credera India Consulting | Management Consulting - L5 / D2-E1 | Senior Scrum Master</t>
  </si>
  <si>
    <t>Credera India Consulting | Management Consulting - L5 / D2-E1 | Senior Project Manager</t>
  </si>
  <si>
    <t>Credera India Consulting | Management Consulting - L5 / D2-E1 | Senior Manager</t>
  </si>
  <si>
    <t>Credera India Consulting | Quality Assurance - L5 / D2-E1 | Senior QA Architect</t>
  </si>
  <si>
    <t>Credera India Digital | MarTech - L5 / D2-E1 | Senior Architect</t>
  </si>
  <si>
    <t>Credera India Digital | Premium MarTech - L5 / D2-E1 | Senior Architect</t>
  </si>
  <si>
    <t>TADigital India Consulting | Cloud &amp; Engineering - L5 / D2-E1 | Senior Architect</t>
  </si>
  <si>
    <t>TADigital India Consulting | Data &amp; AI - L5 / D2-E1 | Senior Architect</t>
  </si>
  <si>
    <t>TADigital India Consulting | Experience Design - L5 / D2-E1 | Lead Design Director</t>
  </si>
  <si>
    <t>TADigital India Consulting | Management Consulting - L5 / D2-E1 | Senior Scrum Master</t>
  </si>
  <si>
    <t>TADigital India Consulting | Management Consulting - L5 / D2-E1 | Senior Project Manager</t>
  </si>
  <si>
    <t>TADigital India Consulting | Management Consulting - L5 / D2-E1 | Senior Manager</t>
  </si>
  <si>
    <t>TADigital India Consulting | Quality Assurance - L5 / D2-E1 | Senior QA Architect</t>
  </si>
  <si>
    <t>TADigital India Digital | MarTech - L5 / D2-E1 | Senior Architect</t>
  </si>
  <si>
    <t>TADigital India Digital | Premium MarTech - L5 / D2-E1 | Senior Architect</t>
  </si>
  <si>
    <t>Credera LATAM Consulting | Cloud &amp; Engineering - L6 / E2-S1 | Principal Architect</t>
  </si>
  <si>
    <t>Credera LATAM Consulting | Data &amp; AI - L6 / E2-S1 | Principal Architect</t>
  </si>
  <si>
    <t>Credera LATAM Consulting | Quality Assurance - L6 / E2-S1 | Principal QA Architect</t>
  </si>
  <si>
    <t>Credera India Consulting | Cloud &amp; Engineering - L6 / E2-S1 | Principal Architect</t>
  </si>
  <si>
    <t>Credera India Consulting | Data &amp; AI - L6 / E2-S1 | Principal Architect</t>
  </si>
  <si>
    <t>Credera India Consulting | Experience Design - L6 / E2-S1 | Director</t>
  </si>
  <si>
    <t>Credera India Consulting | Management Consulting - L6 / E2-S1 | Delivery Manager</t>
  </si>
  <si>
    <t>Credera India Consulting | Management Consulting - L6 / E2-S1 | Principal</t>
  </si>
  <si>
    <t>Credera India Consulting | Quality Assurance - L6 / E2-S1 | Principal QA Architect</t>
  </si>
  <si>
    <t>Credera India Digital | MarTech - L6 / E2-S1 | Principal Architect</t>
  </si>
  <si>
    <t>TADigital India Consulting | Cloud &amp; Engineering - L6 / E2-S1 | Principal Architect</t>
  </si>
  <si>
    <t>TADigital India Consulting | Data &amp; AI - L6 / E2-S1 | Principal Architect</t>
  </si>
  <si>
    <t>TADigital India Consulting | Experience Design - L6 / E2-S1 | Director</t>
  </si>
  <si>
    <t>TADigital India Consulting | Management Consulting - L6 / E2-S1 | Delivery Manager</t>
  </si>
  <si>
    <t>TADigital India Consulting | Management Consulting - L6 / E2-S1 | Principal</t>
  </si>
  <si>
    <t>TADigital India Consulting | Quality Assurance - L6 / E2-S1 | Principal QA Architect</t>
  </si>
  <si>
    <t>TADigital India Digital | MarTech - L6 / E2-S1 | Principal Architect</t>
  </si>
  <si>
    <t>TADigital India Digital | Premium MarTech - L6 / E2-S1 | Principal Architect</t>
  </si>
  <si>
    <t>Cloud &amp; Engineering - 6 | Principal Architect</t>
  </si>
  <si>
    <t>Data &amp; AI - 6 | Principal Architect</t>
  </si>
  <si>
    <t>Quality Assurance - 6 | Principal QA Architect</t>
  </si>
  <si>
    <t>Experience Design - 6 | Director</t>
  </si>
  <si>
    <t>Management Consulting - 6 | Delivery Manager</t>
  </si>
  <si>
    <t>Management Consulting - 6 | Principal</t>
  </si>
  <si>
    <t>MarTech - 6 | Principal Architect</t>
  </si>
  <si>
    <t>Premium MarTech - 6 | Principal Architect</t>
  </si>
  <si>
    <t>TADigital NA | Management - L7 / S2-EX3 | CXO / CDO</t>
  </si>
  <si>
    <t>TADigital India Consulting | Experience Design - L5 / D2-E1 | Principal Design Director</t>
  </si>
  <si>
    <t>Credera India Digital | Premium MarTech - L6 / E2-S1 | Principal Architect</t>
  </si>
  <si>
    <t>Project Margin</t>
  </si>
  <si>
    <t>Added Accelerators</t>
  </si>
  <si>
    <t>Resource Cost:</t>
  </si>
  <si>
    <t>TOTAL Bid:</t>
  </si>
  <si>
    <t>If you need to review multiple different pricing options, expand using the "+" to view additional columns</t>
  </si>
  <si>
    <t>If you need to review multiple different scope aptions, please expand using the "+" above to view additional columns</t>
  </si>
  <si>
    <t>L2 / B1-B3 | Associate Engineer</t>
  </si>
  <si>
    <t>L2 / B1-B3 | Engineer</t>
  </si>
  <si>
    <t>L3 / C1-C2 | Senior Engineer</t>
  </si>
  <si>
    <t>L3 / C1-C2 | Lead Engineer</t>
  </si>
  <si>
    <t>L4 / D1 | Architect</t>
  </si>
  <si>
    <t>L5 / D2-E1 | Senior Architect</t>
  </si>
  <si>
    <t>L6 / E2-S1 | Principal Architect</t>
  </si>
  <si>
    <t>L2 / B1-B3 | Associate Content Engineer</t>
  </si>
  <si>
    <t>L2 / B1-B3 | Content Engineer</t>
  </si>
  <si>
    <t>L3 / C1-C2 | Senior Content Engineer</t>
  </si>
  <si>
    <t>L3 / C1-C2 | Lead Content Engineer</t>
  </si>
  <si>
    <t>L2 / B1-B3 | Strategist</t>
  </si>
  <si>
    <t>L3 / C1-C2 | Senior Strategist</t>
  </si>
  <si>
    <t>L4 / D1 | Strategy Manager</t>
  </si>
  <si>
    <t>L2 / B1-B3 | Designer</t>
  </si>
  <si>
    <t>L3 / C1-C2 | Senior Designer</t>
  </si>
  <si>
    <t>L4 / D1 | Associate Design Director</t>
  </si>
  <si>
    <t>L5 / D2-E1 | Lead Design Director</t>
  </si>
  <si>
    <t>L5 / D2-E1 | Principal Design Director</t>
  </si>
  <si>
    <t>L6 / E2-S1 | Director</t>
  </si>
  <si>
    <t>L3 / C1-C2 | Scrum Master</t>
  </si>
  <si>
    <t>L5 / D2-E1 | Senior Scrum Master</t>
  </si>
  <si>
    <t>L4 / D1 | Project Manager</t>
  </si>
  <si>
    <t>L5 / D2-E1 | Senior Project Manager</t>
  </si>
  <si>
    <t>L6 / E2-S1 | Delivery Manager</t>
  </si>
  <si>
    <t>L2 / B1-B3 | Consultant</t>
  </si>
  <si>
    <t>L3 / C1-C2 | Senior Consultant</t>
  </si>
  <si>
    <t>L4 / D1 | Manager</t>
  </si>
  <si>
    <t>L5 / D2-E1 | Senior Manager</t>
  </si>
  <si>
    <t>L6 / E2-S1 | Principal</t>
  </si>
  <si>
    <t>L3 / C1-C2 | Senior QA Engineer</t>
  </si>
  <si>
    <t>L3 / C1-C2 | Lead QA Engineer</t>
  </si>
  <si>
    <t>L4 / D1 | QA Architect</t>
  </si>
  <si>
    <t>L5 / D2-E1 | Senior QA Architect</t>
  </si>
  <si>
    <t>L6 / E2-S1 | Principal QA Architect</t>
  </si>
  <si>
    <t>L3 / C1-C2 | Sr Business Analyst</t>
  </si>
  <si>
    <t>L4 / D1 | Senior Scrum Master</t>
  </si>
  <si>
    <t>L3 / C1-C2 | Project Manager</t>
  </si>
  <si>
    <t>L4 / D1 | Senior Project Manager</t>
  </si>
  <si>
    <t>L0 / A1 | Intern</t>
  </si>
  <si>
    <t>L1 / A2-A3 | Analyst</t>
  </si>
  <si>
    <t>L7 / S2-EX3 | Partner</t>
  </si>
  <si>
    <t>L7 / S2-EX3 | Corporate Executive</t>
  </si>
  <si>
    <t>L7 / S2-EX3 | Partner &amp; Chief Data Scientist</t>
  </si>
  <si>
    <t>L7 / S2-EX3 | Partner &amp; Chief Diversity Officer</t>
  </si>
  <si>
    <t>L7 / S2-EX3 | Partner &amp; Chief Technology Officer</t>
  </si>
  <si>
    <t>L7 / S2-EX3 | Global COO</t>
  </si>
  <si>
    <t>L7 / S2-EX3 | Global Chief People Officer</t>
  </si>
  <si>
    <t>L7 / S2-EX3 | Global CFO</t>
  </si>
  <si>
    <t>L7 / S2-EX3 | US Chief Operations Officer</t>
  </si>
  <si>
    <t>L7 / S2-EX3 | President &amp; CEO</t>
  </si>
  <si>
    <t>L7 / S2-EX3 | Global Chief Growth Officer</t>
  </si>
  <si>
    <t>L7 / S2-EX3 | Partner &amp; Chief Innovation Officer</t>
  </si>
  <si>
    <t>L7 / S2-EX3 | Partner &amp; Chief Digital Officer</t>
  </si>
  <si>
    <t>L7 / S2-EX3 | CEO, Asia Pacific</t>
  </si>
  <si>
    <t>L7 / S2-EX3 | Partner &amp; Global Digital Lead</t>
  </si>
  <si>
    <t>Credera US Consulting - L0  / A1 | Intern</t>
  </si>
  <si>
    <t>L0 / A1</t>
  </si>
  <si>
    <t>Ford Motor Company</t>
  </si>
  <si>
    <t>Mercedes</t>
  </si>
  <si>
    <t>_2025_Ford_Rate_Card</t>
  </si>
  <si>
    <t>Credera US Digital - L2 / B1-B3 | Consultant</t>
  </si>
  <si>
    <t>Credera US Digital - L3 / C1-C2 | Senior Consultant</t>
  </si>
  <si>
    <t>Credera US Digital - L6 / E2-S1 | Principal</t>
  </si>
  <si>
    <t>Credera US Digital - L4 / D1 | Manager</t>
  </si>
  <si>
    <t>Credera US Digital - L5 / D2-E1 | Senior Manager</t>
  </si>
  <si>
    <t>Credera US Digital - L4 / D1 | Architect</t>
  </si>
  <si>
    <t>SubPlatform</t>
  </si>
  <si>
    <t>Optimizely_CMS</t>
  </si>
  <si>
    <t>MS_Dynamics</t>
  </si>
  <si>
    <t>Other_Platform</t>
  </si>
  <si>
    <t>Adobe_Commerce</t>
  </si>
  <si>
    <t>Work_Management</t>
  </si>
  <si>
    <t>AEM_Fullstack</t>
  </si>
  <si>
    <t>AEM_Backend</t>
  </si>
  <si>
    <t>Target</t>
  </si>
  <si>
    <t>AJO_Functional</t>
  </si>
  <si>
    <t>AJO_Technical</t>
  </si>
  <si>
    <t>Campaign_Functional</t>
  </si>
  <si>
    <t>Campaign_Technical</t>
  </si>
  <si>
    <t>Marketo_Functional</t>
  </si>
  <si>
    <t>Marketo_Technical</t>
  </si>
  <si>
    <t>Commerce_Backend</t>
  </si>
  <si>
    <t>Commerce_Fullstack</t>
  </si>
  <si>
    <t>Creative_Cloud</t>
  </si>
  <si>
    <t>Adobe_Analytics</t>
  </si>
  <si>
    <t>AEP</t>
  </si>
  <si>
    <t>CJA</t>
  </si>
  <si>
    <t>Google_Analytics</t>
  </si>
  <si>
    <t>RT_CDP</t>
  </si>
  <si>
    <t>AngularJS</t>
  </si>
  <si>
    <t>ReactJS</t>
  </si>
  <si>
    <t>UI_Development</t>
  </si>
  <si>
    <t>VueJS</t>
  </si>
  <si>
    <t>Automation</t>
  </si>
  <si>
    <t>Manual</t>
  </si>
  <si>
    <t>Performance_Testing</t>
  </si>
  <si>
    <t>Security_Testing</t>
  </si>
  <si>
    <t>AWS</t>
  </si>
  <si>
    <t>AEM_Cloud</t>
  </si>
  <si>
    <t>Azure</t>
  </si>
  <si>
    <t>GCP</t>
  </si>
  <si>
    <t>Java</t>
  </si>
  <si>
    <t>Analytics</t>
  </si>
  <si>
    <t>Campaign</t>
  </si>
  <si>
    <t>Commerce_Cloud</t>
  </si>
  <si>
    <t>Journey_Optimizer</t>
  </si>
  <si>
    <t>Marketo</t>
  </si>
  <si>
    <t>Adobe_Experience_Management</t>
  </si>
  <si>
    <t>Adobe_Marketing_Automation</t>
  </si>
  <si>
    <t>Adobe_Work_Management</t>
  </si>
  <si>
    <t>Adobe_Data_and_Analytics</t>
  </si>
  <si>
    <t>Adobe_Adobe_UI</t>
  </si>
  <si>
    <t>Adobe_Adobe_QA</t>
  </si>
  <si>
    <t>Adobe_Adobe_DevOps</t>
  </si>
  <si>
    <t>Adobe_Adobe_BA</t>
  </si>
  <si>
    <t>Acquia_Drupal</t>
  </si>
  <si>
    <t>Acquia_Wordpress</t>
  </si>
  <si>
    <t>Acquia_CDP</t>
  </si>
  <si>
    <t>CDP</t>
  </si>
  <si>
    <t>Acquia_Personalization</t>
  </si>
  <si>
    <t>Acquia_UI</t>
  </si>
  <si>
    <t>Acquia_QA</t>
  </si>
  <si>
    <t>Acquia_DevOps</t>
  </si>
  <si>
    <t>Salesforce_Marketing_Cloud</t>
  </si>
  <si>
    <t>Marketing_Cloud_Functional</t>
  </si>
  <si>
    <t>Marketing_Cloud_Technical</t>
  </si>
  <si>
    <t>Salesforce_Sales_Cloud</t>
  </si>
  <si>
    <t>Salesforce_Cloud_Functional</t>
  </si>
  <si>
    <t>Salesforce_Data_Cloud</t>
  </si>
  <si>
    <t>Einstein</t>
  </si>
  <si>
    <t>Mulesoft</t>
  </si>
  <si>
    <t>Salesforce_UI</t>
  </si>
  <si>
    <t>Lightning_UI</t>
  </si>
  <si>
    <t>Salesforce_QA</t>
  </si>
  <si>
    <t>Salesforce_BA</t>
  </si>
  <si>
    <t>Marketing_Cloud</t>
  </si>
  <si>
    <t>Sales_Cloud</t>
  </si>
  <si>
    <t>Service_Cloud</t>
  </si>
  <si>
    <t>CommerceTools</t>
  </si>
  <si>
    <t>Elasticpath</t>
  </si>
  <si>
    <t>SAP_Commerce_Cloud</t>
  </si>
  <si>
    <t>WebSphere</t>
  </si>
  <si>
    <t>Mach_Commerce</t>
  </si>
  <si>
    <t>Contentful</t>
  </si>
  <si>
    <t>Contentstack</t>
  </si>
  <si>
    <t>Mach_Content</t>
  </si>
  <si>
    <t>AudienceStream</t>
  </si>
  <si>
    <t>DataAccess</t>
  </si>
  <si>
    <t>EventStream</t>
  </si>
  <si>
    <t>iQ_Tag_Management</t>
  </si>
  <si>
    <t>Moments</t>
  </si>
  <si>
    <t>PredictML</t>
  </si>
  <si>
    <t>Mach_Tealium</t>
  </si>
  <si>
    <t>Others</t>
  </si>
  <si>
    <t>Springboot</t>
  </si>
  <si>
    <t>Microservices</t>
  </si>
  <si>
    <t>Mach_Middleware</t>
  </si>
  <si>
    <t>Vue_Storefront</t>
  </si>
  <si>
    <t>Mach_UI</t>
  </si>
  <si>
    <t>Mach_QA</t>
  </si>
  <si>
    <t>Mach_DevOps</t>
  </si>
  <si>
    <t>Mach_BA</t>
  </si>
  <si>
    <t>Sitecore_Backend</t>
  </si>
  <si>
    <t>Sitecore_Fullstack</t>
  </si>
  <si>
    <t>.NET_Sitecore</t>
  </si>
  <si>
    <t>DOTNET</t>
  </si>
  <si>
    <t>Helper Map</t>
  </si>
  <si>
    <t>Optimizely_Backend</t>
  </si>
  <si>
    <t>Optimizely_CMS_Fullstack</t>
  </si>
  <si>
    <t>Sitecore_Search</t>
  </si>
  <si>
    <t>.NET_MVC</t>
  </si>
  <si>
    <t>.NET_Core</t>
  </si>
  <si>
    <t>.NET_Fullstack</t>
  </si>
  <si>
    <t>.NET_Webforms</t>
  </si>
  <si>
    <t>JSS</t>
  </si>
  <si>
    <t>Optimizely</t>
  </si>
  <si>
    <t>DOTNET_BA</t>
  </si>
  <si>
    <t>DOTNET_DevOps</t>
  </si>
  <si>
    <t>DOTNET_QA</t>
  </si>
  <si>
    <t>DOTNET_UI</t>
  </si>
  <si>
    <t>DOTNET_DOTNET</t>
  </si>
  <si>
    <t>DOTNET_Sitecore_Search</t>
  </si>
  <si>
    <t>DOTNET_Coveo</t>
  </si>
  <si>
    <t>DOTNET_CDP</t>
  </si>
  <si>
    <t>DOTNET_MS_Dynamics</t>
  </si>
  <si>
    <t>DOTNET_Sitecore</t>
  </si>
  <si>
    <t>DOTNET_Optimizely_CMS</t>
  </si>
  <si>
    <t>.NET_Optimizely_CMS</t>
  </si>
  <si>
    <t>.NET_MS_Dynamics</t>
  </si>
  <si>
    <t>.NET_CDP</t>
  </si>
  <si>
    <t>.NET_Coveo</t>
  </si>
  <si>
    <t>.NET_Sitecore_Search</t>
  </si>
  <si>
    <t>.NET_.NET</t>
  </si>
  <si>
    <t>.NET_UI</t>
  </si>
  <si>
    <t>.NET_QA</t>
  </si>
  <si>
    <t>.NET_DevOps</t>
  </si>
  <si>
    <t>.NET_BA</t>
  </si>
  <si>
    <t>PlatHelpMap</t>
  </si>
  <si>
    <t>Credera US Consulting - L0 / A1|Intern</t>
  </si>
  <si>
    <t>Resolution</t>
  </si>
  <si>
    <t>Billing Entity</t>
  </si>
  <si>
    <t>TA Digital</t>
  </si>
  <si>
    <t>Select Entity</t>
  </si>
  <si>
    <t>T&amp;M NTE</t>
  </si>
  <si>
    <t>Value Based</t>
  </si>
  <si>
    <t>Project Header Information</t>
  </si>
  <si>
    <t>Client Lead</t>
  </si>
  <si>
    <t>Commerical Review Flag (Comment Required)</t>
  </si>
  <si>
    <t>Additional Credera Contacts</t>
  </si>
  <si>
    <t>Error (Populate required fields to clear error)</t>
  </si>
  <si>
    <t>Start Date</t>
  </si>
  <si>
    <t>Commercial Review Metrics</t>
  </si>
  <si>
    <t>VALUE</t>
  </si>
  <si>
    <t>COMMENT</t>
  </si>
  <si>
    <t>Financials</t>
  </si>
  <si>
    <t>Bill Rate</t>
  </si>
  <si>
    <t>Cost Rate</t>
  </si>
  <si>
    <t>Blended Rates</t>
  </si>
  <si>
    <t>Onshore Rates</t>
  </si>
  <si>
    <t>GDC Rates</t>
  </si>
  <si>
    <t>Deal Type &amp; Contingency</t>
  </si>
  <si>
    <t>Deal Type</t>
  </si>
  <si>
    <t>Contingency %</t>
  </si>
  <si>
    <t>Team Composition</t>
  </si>
  <si>
    <t>Team Size (# of roles)</t>
  </si>
  <si>
    <t>GDC Consultation</t>
  </si>
  <si>
    <t>GDC %</t>
  </si>
  <si>
    <t>Overall GDC %</t>
  </si>
  <si>
    <t>L7 %</t>
  </si>
  <si>
    <t>AI</t>
  </si>
  <si>
    <t>Has the client agreed to AI usage legal terms?</t>
  </si>
  <si>
    <t>AI usage plans for the project</t>
  </si>
  <si>
    <t>Miscellaneous</t>
  </si>
  <si>
    <t>Account Type (New/Existing)</t>
  </si>
  <si>
    <t>Euler Requested?</t>
  </si>
  <si>
    <t>MSA includes Rates?</t>
  </si>
  <si>
    <t>Volume Discount</t>
  </si>
  <si>
    <t>Commercial Review Summary</t>
  </si>
  <si>
    <t>RESULTS</t>
  </si>
  <si>
    <t>NEXT STEPS</t>
  </si>
  <si>
    <t>Financial Metric</t>
  </si>
  <si>
    <t>CRB Threshold</t>
  </si>
  <si>
    <t>Automatic CRB Review</t>
  </si>
  <si>
    <t>Minimum Contingency (CRB Threshold)</t>
  </si>
  <si>
    <t>Time &amp; Materials (no cap)</t>
  </si>
  <si>
    <t>Time &amp; Materials Not to Exceed</t>
  </si>
  <si>
    <t>CRB Review</t>
  </si>
  <si>
    <t>Fixed Fee (Standard Fixed)</t>
  </si>
  <si>
    <t>Value-Based</t>
  </si>
  <si>
    <t>GDC</t>
  </si>
  <si>
    <t>Yes - met with solution team</t>
  </si>
  <si>
    <t>No - have not met with GDC</t>
  </si>
  <si>
    <t>Team Structure</t>
  </si>
  <si>
    <t>L7%</t>
  </si>
  <si>
    <t>AI Legal Terms</t>
  </si>
  <si>
    <t>Yes, with Credera tools</t>
  </si>
  <si>
    <t>Yes, with client tools</t>
  </si>
  <si>
    <t>No, have not discussed or completed process with client</t>
  </si>
  <si>
    <t>No, client denies permission to use AI</t>
  </si>
  <si>
    <t>AI Usage</t>
  </si>
  <si>
    <t>Yes, AI materially changed the estimate or commercial structure</t>
  </si>
  <si>
    <t>Yes, ad hoc AI will be used, but no commercial impact</t>
  </si>
  <si>
    <t>No, client denied permission</t>
  </si>
  <si>
    <t>No, for “other” reason</t>
  </si>
  <si>
    <t>Account Details</t>
  </si>
  <si>
    <t>Existing</t>
  </si>
  <si>
    <t>New</t>
  </si>
  <si>
    <t>N/A - Existing Client</t>
  </si>
  <si>
    <t>Yes - Requested</t>
  </si>
  <si>
    <t>No - Not yet requested</t>
  </si>
  <si>
    <t>Yes - MSA includes rates</t>
  </si>
  <si>
    <t>No - MSA does not include rates</t>
  </si>
  <si>
    <t>Yes - Other</t>
  </si>
  <si>
    <t>Yes, there is a volume discount</t>
  </si>
  <si>
    <t>No volume discount</t>
  </si>
  <si>
    <t>Commercial Review Instructions</t>
  </si>
  <si>
    <t>Commercial Review Required</t>
  </si>
  <si>
    <t>Enter a comment next to each blue CRB flag above and then send this summary along with pricing details (i.e., RPE or RL) and any other relevant supporting information to XXX@credera.com</t>
  </si>
  <si>
    <t>Commercial Validations Passed</t>
  </si>
  <si>
    <t>All commercial review validations passed.  This proposal may be shared with a client.  If terms change during negotiations, be sure to update this summary to confirm if review is required for proposed changes.</t>
  </si>
  <si>
    <t>Missing Information</t>
  </si>
  <si>
    <t>Complete all required fields above to clear all "MISSING INFO" error messages.</t>
  </si>
  <si>
    <t>Client Origin</t>
  </si>
  <si>
    <t>Type</t>
  </si>
  <si>
    <t>CONFIDENTIAL - NOT TO BE SHARED OUTSIDE OF CREDERA</t>
  </si>
  <si>
    <t>Week Ends On (FRIDAY)</t>
  </si>
  <si>
    <t>2024 H1 Standard Rate Card</t>
  </si>
  <si>
    <t>Mandatory Selection</t>
  </si>
  <si>
    <t>Sprint-0</t>
  </si>
  <si>
    <t>Sprint-1</t>
  </si>
  <si>
    <t>Sprint-2</t>
  </si>
  <si>
    <t>Sprint-3</t>
  </si>
  <si>
    <t>Sprint-4</t>
  </si>
  <si>
    <t>Sprint-5</t>
  </si>
  <si>
    <t>Sprint-6</t>
  </si>
  <si>
    <t>Sprint-7</t>
  </si>
  <si>
    <t>Sprint-8</t>
  </si>
  <si>
    <t>Sprint-9</t>
  </si>
  <si>
    <t>Kickoff</t>
  </si>
  <si>
    <t>Design &amp; Discovery</t>
  </si>
  <si>
    <t>Dev &amp; QA</t>
  </si>
  <si>
    <t>UAT &amp; Launch</t>
  </si>
  <si>
    <t>Warranty</t>
  </si>
  <si>
    <t>Auto-calculated: DO NOT change these numbers</t>
  </si>
  <si>
    <t>#</t>
  </si>
  <si>
    <t>PMAP</t>
  </si>
  <si>
    <t>Prac__SubP</t>
  </si>
  <si>
    <t>Plat_SubP_Spec</t>
  </si>
  <si>
    <t>Rate Field 1</t>
  </si>
  <si>
    <t>Projected Resource Cost</t>
  </si>
  <si>
    <t>Subplatform</t>
  </si>
  <si>
    <t xml:space="preserve">Resource </t>
  </si>
  <si>
    <t>Phase</t>
  </si>
  <si>
    <t>Deliverable/ Activity OR Identified Name</t>
  </si>
  <si>
    <t>Week1</t>
  </si>
  <si>
    <t>Week2</t>
  </si>
  <si>
    <t>Week3</t>
  </si>
  <si>
    <t>Week4</t>
  </si>
  <si>
    <t>Week5</t>
  </si>
  <si>
    <t>Week6</t>
  </si>
  <si>
    <t>Week7</t>
  </si>
  <si>
    <t>Week8</t>
  </si>
  <si>
    <t>Week9</t>
  </si>
  <si>
    <t>Week10</t>
  </si>
  <si>
    <t>Week11</t>
  </si>
  <si>
    <t>Week12</t>
  </si>
  <si>
    <t>Week13</t>
  </si>
  <si>
    <t>Week14</t>
  </si>
  <si>
    <t>Week15</t>
  </si>
  <si>
    <t>Week16</t>
  </si>
  <si>
    <t>Week17</t>
  </si>
  <si>
    <t>Week18</t>
  </si>
  <si>
    <t>Week19</t>
  </si>
  <si>
    <t>Week20</t>
  </si>
  <si>
    <t>Total WK</t>
  </si>
  <si>
    <t>Total PD</t>
  </si>
  <si>
    <t>Revenue per STD. Rate</t>
  </si>
  <si>
    <t>Revenue per Custom Rate</t>
  </si>
  <si>
    <t>Total Person Hours</t>
  </si>
  <si>
    <t>Comments/ Guidelines</t>
  </si>
  <si>
    <t>Check Project Management % Allocation Guidelines Section under Instructions_Guidelines</t>
  </si>
  <si>
    <t>Discount</t>
  </si>
  <si>
    <t>Executive Discount</t>
  </si>
  <si>
    <t>Totals (T&amp;M)</t>
  </si>
  <si>
    <t>T&amp;M Cost (Minimun)</t>
  </si>
  <si>
    <t>T&amp;M Cost (Maximum)</t>
  </si>
  <si>
    <t>COST (T&amp;M)</t>
  </si>
  <si>
    <t>MARGIN (T&amp;M)</t>
  </si>
  <si>
    <t>BLENDED RATE</t>
  </si>
  <si>
    <t>Per Sprint</t>
  </si>
  <si>
    <t>Fixed Bid Cost (T&amp;M + 20%)</t>
  </si>
  <si>
    <t>STANDARD</t>
  </si>
  <si>
    <t>Per Month</t>
  </si>
  <si>
    <t>Fixed Bid Cost (T&amp;M + 30%)</t>
  </si>
  <si>
    <t>Client Specific</t>
  </si>
  <si>
    <t>Custom Margin</t>
  </si>
  <si>
    <t xml:space="preserve">Update Custom Margin cell for Custom Cost </t>
  </si>
  <si>
    <t>Totals (Fixed Bid @20%)</t>
  </si>
  <si>
    <t>Total Cost</t>
  </si>
  <si>
    <t>Copy the value from T&amp;M or FP Cost</t>
  </si>
  <si>
    <t>Travel and Logistics</t>
  </si>
  <si>
    <t>COST (FP)</t>
  </si>
  <si>
    <t>MARGIN (FP)</t>
  </si>
  <si>
    <t>At 20% Markup for FP</t>
  </si>
  <si>
    <t>Accelerators:</t>
  </si>
  <si>
    <t>Totals (Fixed Bid @30%)</t>
  </si>
  <si>
    <t>Check Instructions_Guidelines</t>
  </si>
  <si>
    <t>SOW Value</t>
  </si>
  <si>
    <t>Blended Rate/HR (T&amp;M)</t>
  </si>
  <si>
    <t>Blended Rate/HR (FP at 20%)</t>
  </si>
  <si>
    <t>Blended Rate/HR (FP at 30%)</t>
  </si>
  <si>
    <t>Margin (T&amp;M)</t>
  </si>
  <si>
    <t>Margin (FP at 20%)</t>
  </si>
  <si>
    <t>Margin (FP at 30%)</t>
  </si>
  <si>
    <t>External Assumptions</t>
  </si>
  <si>
    <t>(1) External Assumption 1</t>
  </si>
  <si>
    <t>(2) External Assumption 2</t>
  </si>
  <si>
    <t>(3) External Assumption 3</t>
  </si>
  <si>
    <t>(4) External Assumption 4</t>
  </si>
  <si>
    <t>Internal Assumptions</t>
  </si>
  <si>
    <t>(1) Internal Assumption 1</t>
  </si>
  <si>
    <t>(2) Internal Assumption 2</t>
  </si>
  <si>
    <t>(3) Internal Assumption 3</t>
  </si>
  <si>
    <t>(4) Internal Assumption 4</t>
  </si>
  <si>
    <t>Project Code</t>
  </si>
  <si>
    <t>Rate/Margin Class</t>
  </si>
  <si>
    <t>Duration</t>
  </si>
  <si>
    <t>Client Custom Rate Card</t>
  </si>
  <si>
    <t>Client Name</t>
  </si>
  <si>
    <t>Team Member Roles</t>
  </si>
  <si>
    <t>Team Member Hours</t>
  </si>
  <si>
    <t>Ensure Client Name matches the Client Name listed on the Client Custom Rate card</t>
  </si>
  <si>
    <t>HIDDEN PASS/FAIL Column</t>
  </si>
  <si>
    <t>In order to use a custom client rate card, you need to select Client Custom Class. The Commercial Review Board will look at your margin in accordance with the rate/margin class selected.</t>
  </si>
  <si>
    <t>Reason for Required Field</t>
  </si>
  <si>
    <t>Validation Flag</t>
  </si>
  <si>
    <t xml:space="preserve">You need at least one team member with hours to calculate revenue and cost for a project. 
</t>
  </si>
  <si>
    <t xml:space="preserve">You need at least one hour entered to calculate revenue and cost for a project. 
</t>
  </si>
  <si>
    <t>Total Resource Revenue</t>
  </si>
  <si>
    <t xml:space="preserve">Contingency % </t>
  </si>
  <si>
    <t>Total Bid</t>
  </si>
  <si>
    <t>TOTAL CLIENT BID</t>
  </si>
  <si>
    <t>_2025_McDonalds_COLA_Rate_Card</t>
  </si>
  <si>
    <t>Band</t>
  </si>
  <si>
    <t>Helper Concatenated Role Name</t>
  </si>
  <si>
    <t>Total Project Revenue</t>
  </si>
  <si>
    <t>Margin Target</t>
  </si>
  <si>
    <t>Total Revenue in System</t>
  </si>
  <si>
    <t>Team Size</t>
  </si>
  <si>
    <t>Partner Time (%)</t>
  </si>
  <si>
    <t>Non-Billable Expenses</t>
  </si>
  <si>
    <t>Billable Expenses</t>
  </si>
  <si>
    <t>TOTAL COSTS</t>
  </si>
  <si>
    <t>Calculated Resource Revenue</t>
  </si>
  <si>
    <t>MY PROJECT CONTINGENCY</t>
  </si>
  <si>
    <t>Holidays</t>
  </si>
  <si>
    <t>Location</t>
  </si>
  <si>
    <t>Holiday</t>
  </si>
  <si>
    <t>Date</t>
  </si>
  <si>
    <t>Holidays during project*</t>
  </si>
  <si>
    <t>Time Off</t>
  </si>
  <si>
    <t>Hours</t>
  </si>
  <si>
    <t>2025 New Year's Day</t>
  </si>
  <si>
    <t>Full Day</t>
  </si>
  <si>
    <t>2025 MLK Jr. Day</t>
  </si>
  <si>
    <t>2025 President's Day</t>
  </si>
  <si>
    <t>2025 Additional day for Memorial Day</t>
  </si>
  <si>
    <t>2025 Memorial Day</t>
  </si>
  <si>
    <t>2025 Juneteenth</t>
  </si>
  <si>
    <t>2025 Independence Day</t>
  </si>
  <si>
    <t>2025 Additional Day for Labor Day</t>
  </si>
  <si>
    <t>2025 Labor Day</t>
  </si>
  <si>
    <t>2025 Day before Thanksgiving (half day)</t>
  </si>
  <si>
    <t>2025 Thanksgiving</t>
  </si>
  <si>
    <t>2025 Day After Thanksgiving</t>
  </si>
  <si>
    <t>2025 Christmas Eve</t>
  </si>
  <si>
    <t>2025 Christmas Day</t>
  </si>
  <si>
    <t>2025 Day after Christmas</t>
  </si>
  <si>
    <t>2026 New Years Day</t>
  </si>
  <si>
    <t>2026 Winter Break</t>
  </si>
  <si>
    <t>Helper</t>
  </si>
  <si>
    <t>2025 Makar Sankranti/Magha Bihu/Pongal</t>
  </si>
  <si>
    <t>2025 May Day</t>
  </si>
  <si>
    <t>2025 Gandhi Jayanti</t>
  </si>
  <si>
    <t>2025 Diwali</t>
  </si>
  <si>
    <t>2025 New Years Day</t>
  </si>
  <si>
    <t>2025 Epiphany Holiday</t>
  </si>
  <si>
    <t>2025 Saint Joseph's Day</t>
  </si>
  <si>
    <t>2025 Maundy Thursday</t>
  </si>
  <si>
    <t>2025 Good Friday</t>
  </si>
  <si>
    <t>2025 Labour Day</t>
  </si>
  <si>
    <t>2025 Ascension Day</t>
  </si>
  <si>
    <t>2025 Corpus Christi</t>
  </si>
  <si>
    <t>2025 Sacred Heart Day</t>
  </si>
  <si>
    <t>2025 Battle of Boyacá</t>
  </si>
  <si>
    <t>2025 Assumption Day</t>
  </si>
  <si>
    <t>2025 National Day for Truth and Reconciliation</t>
  </si>
  <si>
    <t>2025 Colombus Day</t>
  </si>
  <si>
    <t>2025 All Saint's Day</t>
  </si>
  <si>
    <t>2025 Independence of Cartagena</t>
  </si>
  <si>
    <t>2025 Immaculate Conception</t>
  </si>
  <si>
    <t>2025 Family Day</t>
  </si>
  <si>
    <t>2025 Vicotria Day</t>
  </si>
  <si>
    <t>2025 Canada Day</t>
  </si>
  <si>
    <t>2025 Civic Day</t>
  </si>
  <si>
    <t>2025 Additional day for Labor Day</t>
  </si>
  <si>
    <t>2025 Thanksgiving Day</t>
  </si>
  <si>
    <t>2025 Day after Thanksgiving Day</t>
  </si>
  <si>
    <t>2025 Rememberencae Day</t>
  </si>
  <si>
    <t>2025 Boxing Day</t>
  </si>
  <si>
    <t>2025 Juan Santamaria</t>
  </si>
  <si>
    <t>2025 Annexation of Nicoya</t>
  </si>
  <si>
    <t>2025 Our Lady of Los Angeles</t>
  </si>
  <si>
    <t>2025 Mother's day</t>
  </si>
  <si>
    <t>2025 Day of the Black Person and Afro-Costa Rican</t>
  </si>
  <si>
    <t>2025 Abolition of the Army</t>
  </si>
  <si>
    <t>Organizatin</t>
  </si>
  <si>
    <t>Monday of Week</t>
  </si>
  <si>
    <t>1. PROJECT INPUTS</t>
  </si>
  <si>
    <t>Required Cell</t>
  </si>
  <si>
    <t>Week helper row</t>
  </si>
  <si>
    <t>Import Readiness Status</t>
  </si>
  <si>
    <t>5. Import Checklist</t>
  </si>
  <si>
    <t>Scope Options - OPTIONAL</t>
  </si>
  <si>
    <t>Enter Option 1 Name</t>
  </si>
  <si>
    <t>Enter Option 2 Name</t>
  </si>
  <si>
    <t>Enter Option 3 Name</t>
  </si>
  <si>
    <t>Project Details - REQUIRED</t>
  </si>
  <si>
    <t>STD. T&amp;M Rate ($/Hr)</t>
  </si>
  <si>
    <t>Enter Assumption</t>
  </si>
  <si>
    <t>Enter Discount $</t>
  </si>
  <si>
    <t>Enter $</t>
  </si>
  <si>
    <t>Enter Accelerator / Investment Name</t>
  </si>
  <si>
    <r>
      <rPr>
        <b/>
        <u/>
        <sz val="12"/>
        <color theme="1"/>
        <rFont val="Lato Regular"/>
      </rPr>
      <t>IMPORTANT NOTE:</t>
    </r>
    <r>
      <rPr>
        <b/>
        <sz val="12"/>
        <color theme="1"/>
        <rFont val="Lato Regular"/>
      </rPr>
      <t xml:space="preserve">
Unlock the spreadsheet before adding new rows and columns.
To add new rows or columns, </t>
    </r>
    <r>
      <rPr>
        <b/>
        <u/>
        <sz val="12"/>
        <color theme="1"/>
        <rFont val="Lato Regular"/>
      </rPr>
      <t>copy an existing row or column and insert in the middle</t>
    </r>
    <r>
      <rPr>
        <b/>
        <sz val="12"/>
        <color theme="1"/>
        <rFont val="Lato Regular"/>
      </rPr>
      <t xml:space="preserve"> (DO NOT insert blank rows or columns, and DO NOT add new rows or columns at the beginning or the end, for the Formulae and Macros to work accurately)</t>
    </r>
  </si>
  <si>
    <r>
      <t xml:space="preserve">Week Starts On </t>
    </r>
    <r>
      <rPr>
        <b/>
        <sz val="10"/>
        <color rgb="FFFF0000"/>
        <rFont val="Lato Regular"/>
      </rPr>
      <t>(ONLY UPDATE THE START DATE)</t>
    </r>
  </si>
  <si>
    <r>
      <t xml:space="preserve">Client Specific Rate Card </t>
    </r>
    <r>
      <rPr>
        <b/>
        <sz val="10"/>
        <color rgb="FFC00000"/>
        <rFont val="Lato Regular"/>
      </rPr>
      <t>(update "Custom Rate", if different from Standard Rate Card)</t>
    </r>
  </si>
  <si>
    <r>
      <t xml:space="preserve">Custom Rate </t>
    </r>
    <r>
      <rPr>
        <b/>
        <i/>
        <sz val="8"/>
        <rFont val="Lato Regular"/>
      </rPr>
      <t>($/Hr)</t>
    </r>
  </si>
  <si>
    <r>
      <t xml:space="preserve">SubPlatform wise Revenue Breakup </t>
    </r>
    <r>
      <rPr>
        <b/>
        <i/>
        <sz val="8"/>
        <rFont val="Lato Regular"/>
      </rPr>
      <t>($)</t>
    </r>
  </si>
  <si>
    <r>
      <t xml:space="preserve">Discount can be </t>
    </r>
    <r>
      <rPr>
        <b/>
        <sz val="10"/>
        <rFont val="Lato Regular"/>
      </rPr>
      <t>fixed $ number (for FP)</t>
    </r>
    <r>
      <rPr>
        <sz val="10"/>
        <rFont val="Lato Regular"/>
      </rPr>
      <t xml:space="preserve">, or </t>
    </r>
    <r>
      <rPr>
        <b/>
        <sz val="10"/>
        <rFont val="Lato Regular"/>
      </rPr>
      <t>% of Total Cost (for T&amp;M)</t>
    </r>
  </si>
  <si>
    <t>Bidding Guide &amp; Margins - OPTIONAL</t>
  </si>
  <si>
    <t>Margin Targets &amp; Deltas - REQUIRED</t>
  </si>
  <si>
    <t>Discount Calculator</t>
  </si>
  <si>
    <t>Import Readiness Details</t>
  </si>
  <si>
    <t>contractlinedata</t>
  </si>
  <si>
    <t>projectname</t>
  </si>
  <si>
    <t>projectestimatedstartdate</t>
  </si>
  <si>
    <t>billingmethod</t>
  </si>
  <si>
    <t>soworcr</t>
  </si>
  <si>
    <t>crtype</t>
  </si>
  <si>
    <t>sowcrstartdate</t>
  </si>
  <si>
    <t>CR Type</t>
  </si>
  <si>
    <t>CR</t>
  </si>
  <si>
    <t>Paid CR</t>
  </si>
  <si>
    <t>Fixed Price</t>
  </si>
  <si>
    <t>SOW</t>
  </si>
  <si>
    <t>Select CR Type</t>
  </si>
  <si>
    <t>Select SOW or CR</t>
  </si>
  <si>
    <t>TOTAL</t>
  </si>
  <si>
    <t>Use this tab to enter project information</t>
  </si>
  <si>
    <t>Project Details (READ ONLY)</t>
  </si>
  <si>
    <t>days</t>
  </si>
  <si>
    <t>week</t>
  </si>
  <si>
    <t>Project Estimation Buckets (READ ONLY)</t>
  </si>
  <si>
    <t>Week21</t>
  </si>
  <si>
    <t>Week22</t>
  </si>
  <si>
    <t>Week23</t>
  </si>
  <si>
    <t>Week24</t>
  </si>
  <si>
    <t>Week25</t>
  </si>
  <si>
    <t>Week26</t>
  </si>
  <si>
    <t>Week27</t>
  </si>
  <si>
    <t>Week28</t>
  </si>
  <si>
    <t>Week29</t>
  </si>
  <si>
    <t>Week30</t>
  </si>
  <si>
    <t>Week31</t>
  </si>
  <si>
    <t>Week32</t>
  </si>
  <si>
    <t>Week33</t>
  </si>
  <si>
    <t>Week34</t>
  </si>
  <si>
    <t>Week35</t>
  </si>
  <si>
    <t>Week36</t>
  </si>
  <si>
    <t>Week37</t>
  </si>
  <si>
    <t>Week38</t>
  </si>
  <si>
    <t>Week39</t>
  </si>
  <si>
    <t>Week40</t>
  </si>
  <si>
    <t>Week41</t>
  </si>
  <si>
    <t>Week42</t>
  </si>
  <si>
    <t>Week43</t>
  </si>
  <si>
    <t>Week44</t>
  </si>
  <si>
    <t>Week45</t>
  </si>
  <si>
    <t>Week46</t>
  </si>
  <si>
    <t>Week47</t>
  </si>
  <si>
    <t>Week48</t>
  </si>
  <si>
    <t>Week49</t>
  </si>
  <si>
    <t>Week50</t>
  </si>
  <si>
    <t>Week51</t>
  </si>
  <si>
    <t>Week52</t>
  </si>
  <si>
    <t>&lt;------</t>
  </si>
  <si>
    <t>Select Project Type</t>
  </si>
  <si>
    <t>Custom Rate Card - Client Name Match</t>
  </si>
  <si>
    <t>Click "+" to add additional rows</t>
  </si>
  <si>
    <t>Automatic Cell</t>
  </si>
  <si>
    <t>Select QA Intensity (Scale of 1-5)</t>
  </si>
  <si>
    <t>IMPORT READINESS STATUS</t>
  </si>
  <si>
    <t>[Enter Estimated Bucket 7]</t>
  </si>
  <si>
    <t>[Enter Estimated Bucket 8]</t>
  </si>
  <si>
    <t>[Enter Estimated Bucket 9]</t>
  </si>
  <si>
    <t>[Enter Estimated Bucket 10]</t>
  </si>
  <si>
    <t>[Enter Estimated Bucket 11]</t>
  </si>
  <si>
    <t>[Enter Estimated Bucket 12]</t>
  </si>
  <si>
    <t>[Enter Estimated Bucket 13]</t>
  </si>
  <si>
    <t>[Enter Estimated Bucket 14]</t>
  </si>
  <si>
    <t>[Enter Estimated Bucket 15]</t>
  </si>
  <si>
    <t>[Enter Estimated Bucket 16]</t>
  </si>
  <si>
    <t>[Enter Estimated Bucket 17]</t>
  </si>
  <si>
    <t>[Enter Estimated Bucket 18]</t>
  </si>
  <si>
    <t>[Enter Estimated Bucket 19]</t>
  </si>
  <si>
    <t>[Enter Estimated Bucket 20]</t>
  </si>
  <si>
    <t>Select Office</t>
  </si>
  <si>
    <t>Platforms</t>
  </si>
  <si>
    <t>Capability</t>
  </si>
  <si>
    <t>Hrs/Wk Allocation</t>
  </si>
  <si>
    <t>Data Entry</t>
  </si>
  <si>
    <t>Required field 
(Please populate)</t>
  </si>
  <si>
    <t>5. IMPORT CHECKLIST</t>
  </si>
  <si>
    <t>6. Commercial Business Review</t>
  </si>
  <si>
    <t>Total Weeks</t>
  </si>
  <si>
    <t>% Method</t>
  </si>
  <si>
    <t>Revenue Method</t>
  </si>
  <si>
    <t>4. Repeat process as needed.</t>
  </si>
  <si>
    <t>Commercial Review Board- Missing Info</t>
  </si>
  <si>
    <t>Additional Project Details - REQUIRED
Digital Staff Augmentation, Systems, and UX projects</t>
  </si>
  <si>
    <t>this calc assumes contingency added. How do we reflect that before people add contingency.</t>
  </si>
  <si>
    <t>Enter Hrs/Wk</t>
  </si>
  <si>
    <t>Total Estimated Hours</t>
  </si>
  <si>
    <t>Unscheduled Hours</t>
  </si>
  <si>
    <t>- Parent and Child are generic groupings but this could be Epic and Activity, or User Story and Task, whatever is needed</t>
  </si>
  <si>
    <t xml:space="preserve">- Effort Days is the amount of 8 hours days it would take 1 person to complete the line item. Assumptions are VERY important for these so please document in the column provided
</t>
  </si>
  <si>
    <t>Currency</t>
  </si>
  <si>
    <t>Currency Options</t>
  </si>
  <si>
    <t>Select Currency</t>
  </si>
  <si>
    <t>USD</t>
  </si>
  <si>
    <t>GBP</t>
  </si>
  <si>
    <t>EUR</t>
  </si>
  <si>
    <t>INR</t>
  </si>
  <si>
    <t>currency converter</t>
  </si>
  <si>
    <t>6. COMMERCIAL REVIEW SUMMARY</t>
  </si>
  <si>
    <t>Enter %</t>
  </si>
  <si>
    <r>
      <t xml:space="preserve">Duration </t>
    </r>
    <r>
      <rPr>
        <i/>
        <sz val="11"/>
        <color rgb="FF000000"/>
        <rFont val="Lato Regular"/>
      </rPr>
      <t>(Weeks)</t>
    </r>
  </si>
  <si>
    <t>A tool for Role, Pricing, and Estimation of Projects</t>
  </si>
  <si>
    <t>Project Information</t>
  </si>
  <si>
    <t>Workstream Financial Summary</t>
  </si>
  <si>
    <t>Expenses</t>
  </si>
  <si>
    <t>CRB Status</t>
  </si>
  <si>
    <t>Will make font hidden and cells locked for edit</t>
  </si>
  <si>
    <t>3. Complexity Information &amp; Totals</t>
  </si>
  <si>
    <t>1. Pricing Scenario Analysis (If Applicable)</t>
  </si>
  <si>
    <t>1. Purpose of the Tool</t>
  </si>
  <si>
    <t>Select Euler Status</t>
  </si>
  <si>
    <t>Select Account Type</t>
  </si>
  <si>
    <t>Select MSA Rate Card Y/N</t>
  </si>
  <si>
    <t>Select Discount Answer</t>
  </si>
  <si>
    <t>Select OMC Involvement</t>
  </si>
  <si>
    <t>Welcome to The ROPE!</t>
  </si>
  <si>
    <t xml:space="preserve">Project Type impacts how you interact with the ROPE. Digital project types have pre-set complexities for estimation. </t>
  </si>
  <si>
    <r>
      <t xml:space="preserve">Next, move to tab </t>
    </r>
    <r>
      <rPr>
        <b/>
        <sz val="11"/>
        <rFont val="Lato Regular"/>
      </rPr>
      <t>"Optional - Scope Options Review"</t>
    </r>
    <r>
      <rPr>
        <sz val="11"/>
        <rFont val="Lato Regular"/>
      </rPr>
      <t xml:space="preserve"> if evaluating different scope options to see option durations by your "yes/no" selections on Scope Estimation</t>
    </r>
  </si>
  <si>
    <t>Use this tab to confirm your spreadsheet is ready for import to your destination system (Projector or Dynamics), and use it to troubleshoot errors</t>
  </si>
  <si>
    <t>Use this tab to review project metrics and enter additional information to prepare for Commerical Business Review (if applicable)</t>
  </si>
  <si>
    <t>Use this tab to plan your work by bucket of work or phase and estimate level of effort with tasks, select tasks for various scope options</t>
  </si>
  <si>
    <r>
      <t xml:space="preserve">Use this tab to evaluate your scope options based on selections from the tab </t>
    </r>
    <r>
      <rPr>
        <b/>
        <sz val="11"/>
        <color theme="0"/>
        <rFont val="Lato Regular"/>
      </rPr>
      <t xml:space="preserve">"Optional - Scope Estimation" </t>
    </r>
  </si>
  <si>
    <r>
      <t xml:space="preserve">Use this tab to review the pricing totals for each pricing scenario based on inclusion of specific resources/roles within tab </t>
    </r>
    <r>
      <rPr>
        <b/>
        <sz val="11"/>
        <color theme="0"/>
        <rFont val="Lato Regular"/>
      </rPr>
      <t>"2. Pricing &amp; Import"</t>
    </r>
  </si>
  <si>
    <t>Note: Client discounts will be reviewed during Financial Eval</t>
  </si>
  <si>
    <t xml:space="preserve">OPTIONAL:  If you need to estimate work/scope tasks, </t>
  </si>
  <si>
    <r>
      <t xml:space="preserve">Client Rate Card </t>
    </r>
    <r>
      <rPr>
        <b/>
        <sz val="8"/>
        <color theme="1"/>
        <rFont val="Lato Regular"/>
      </rPr>
      <t xml:space="preserve">
</t>
    </r>
    <r>
      <rPr>
        <i/>
        <sz val="8"/>
        <color theme="1"/>
        <rFont val="Lato Regular"/>
      </rPr>
      <t>(only required if 'Custom Rates' was selected above for "Rate/ Margin Class")</t>
    </r>
  </si>
  <si>
    <t>1. Project Information</t>
  </si>
  <si>
    <t>Project Estimation Buckets</t>
  </si>
  <si>
    <t>On/Offshore 
(hidden)</t>
  </si>
  <si>
    <t xml:space="preserve">REQUIRED: </t>
  </si>
  <si>
    <t>2. Roles and Pricing Details</t>
  </si>
  <si>
    <t xml:space="preserve">OPTIONAL:   </t>
  </si>
  <si>
    <t>Manually enter any adjustments to the Start or End Dates for every Role that ramps up or down over the project's lifetime.</t>
  </si>
  <si>
    <t>Manually enter any adjustments to the Hours for any weeks that a Role will be ramping up or down during their time on the project.</t>
  </si>
  <si>
    <t>3. Schedule Chart</t>
  </si>
  <si>
    <t>Number of Holidays in that Week</t>
  </si>
  <si>
    <t>4. Resource Revenue</t>
  </si>
  <si>
    <t xml:space="preserve">REQUIRED:  </t>
  </si>
  <si>
    <t xml:space="preserve">Custom Override 
Rate ($/Hr) </t>
  </si>
  <si>
    <t>1. Contingency</t>
  </si>
  <si>
    <t>OPTIONAL: If Resource Margin does not match the target %</t>
  </si>
  <si>
    <t>2. Margin Confirmation</t>
  </si>
  <si>
    <t>1.1 Contingency Calculators</t>
  </si>
  <si>
    <r>
      <rPr>
        <b/>
        <sz val="14"/>
        <color rgb="FF496A86"/>
        <rFont val="Lato Regular"/>
      </rPr>
      <t>3. Client Discount Calculator</t>
    </r>
    <r>
      <rPr>
        <b/>
        <sz val="14"/>
        <color theme="4"/>
        <rFont val="Lato Regular"/>
      </rPr>
      <t xml:space="preserve"> </t>
    </r>
  </si>
  <si>
    <t>Enter either a Discount % or a Discount $ (but not both) in the table below.</t>
  </si>
  <si>
    <t>OPTIONAL: Use the tables below to explore the different margin targets' impact on the total bid and the different revenue options on the margin.</t>
  </si>
  <si>
    <t xml:space="preserve">4. Estimated Project Expenses </t>
  </si>
  <si>
    <t>6. Project-Level Assumptions</t>
  </si>
  <si>
    <t>These texts fields will not be used in financial calculations.</t>
  </si>
  <si>
    <t>OPTIONAL: If you want to provide any additional context or information to the Commercial Business Review, enter the Assumptions or information in the Project-Level Assumptions table below.</t>
  </si>
  <si>
    <t>Use this tab to review the summary of the project's financials and totals (READ ONLY)</t>
  </si>
  <si>
    <t>The Total Bid listed below is what should go into the SOW for the project.</t>
  </si>
  <si>
    <t>2. Final Review</t>
  </si>
  <si>
    <t>2.1 SOW Figures</t>
  </si>
  <si>
    <t>1. Project Readiness Status</t>
  </si>
  <si>
    <t>2. Import Readiness Details</t>
  </si>
  <si>
    <t>2. Scoping and Estimation</t>
  </si>
  <si>
    <t xml:space="preserve">Estimate your project work by bucket, workstream, and task with or without adding complexities to get to total days </t>
  </si>
  <si>
    <t>Include each line item in scope options if you need to review various scopes</t>
  </si>
  <si>
    <t>Column6</t>
  </si>
  <si>
    <t>Column7</t>
  </si>
  <si>
    <t>Column8</t>
  </si>
  <si>
    <t>Enter the Bucket/Phase and the workstreams/parent/epic for each of the child/activity/tasks you will be estimating</t>
  </si>
  <si>
    <t xml:space="preserve">2. Estimation Buckets </t>
  </si>
  <si>
    <t xml:space="preserve">3. Scope Option Names </t>
  </si>
  <si>
    <r>
      <t xml:space="preserve">Subplatform 
</t>
    </r>
    <r>
      <rPr>
        <b/>
        <sz val="10"/>
        <color theme="1"/>
        <rFont val="Lato Regular"/>
      </rPr>
      <t>(Digital Only)</t>
    </r>
  </si>
  <si>
    <t>The ROPE enables precise project pricing, streamlines data entry, and equips leadership to exercise greater control over profit margins.</t>
  </si>
  <si>
    <t>2. Key Functions of the Tool</t>
  </si>
  <si>
    <t>To document assumptions</t>
  </si>
  <si>
    <t>Review this Read-Only page for the summary of the calculated  financials and totals.</t>
  </si>
  <si>
    <t xml:space="preserve">To define and itemize work to estimate </t>
  </si>
  <si>
    <t>add a sheet of KPIs to explain difference between finance targets and tool targets</t>
  </si>
  <si>
    <t>VERSION 2025.07</t>
  </si>
  <si>
    <r>
      <t xml:space="preserve">To plan hours across unnamed roles and role durations at a high-level to </t>
    </r>
    <r>
      <rPr>
        <sz val="11"/>
        <color rgb="FFFF0000"/>
        <rFont val="Lato Regular"/>
      </rPr>
      <t>consume</t>
    </r>
    <r>
      <rPr>
        <sz val="11"/>
        <rFont val="Lato Regular"/>
      </rPr>
      <t xml:space="preserve"> estimates</t>
    </r>
  </si>
  <si>
    <t>Project Managers across Credera should use The ROPE to consistently and reliably scope, estimate, price and plan projects to be set up for successful delivery. Completed ROPEs will be used by leaders to make more informed decisions, improve margin management, and proactively reduce risk across all engagements as part of the Commercial Business Review and Risk Management processes.</t>
  </si>
  <si>
    <t>3. When to use the Tool</t>
  </si>
  <si>
    <t>Create a ROPE in these situations:</t>
  </si>
  <si>
    <t>Group work into buckets or phases, estimate level of effort with tasks, and select tasks for various scope options.</t>
  </si>
  <si>
    <t>Evaluate your scope options based on selections from the Scope Estimation tab.</t>
  </si>
  <si>
    <t>Before using this tool, it is assumed that you have done enough requirements gathering and approach/solution design to be able to create an estimate.</t>
  </si>
  <si>
    <t>SOW or CR</t>
  </si>
  <si>
    <t>Select Organization</t>
  </si>
  <si>
    <t>Helper Organization Column</t>
  </si>
  <si>
    <t>Level
(hidden)</t>
  </si>
  <si>
    <t>METRIC</t>
  </si>
  <si>
    <t>Enter Test Margin %</t>
  </si>
  <si>
    <t>2. Roles &amp; Pricing</t>
  </si>
  <si>
    <t>3. Financial Inputs</t>
  </si>
  <si>
    <t>4. Summary &amp; Totals</t>
  </si>
  <si>
    <t>OPTIONAL:  This table is needed only for MarTech Consulting/Strategy Project Types (Consulting and/or Digital) that need to estimate the work or scope tasks, but not to just price out team and estimate duration. Skip to tab "2. Roles &amp; Pricing" if beyond your needs.</t>
  </si>
  <si>
    <t>2. ROLES &amp; PRICING</t>
  </si>
  <si>
    <t>The margin for each Resource is calculated purely off rates and costs as entered in tab "2. Roles &amp; Pricing", but does not include any contingency.  Each project should meet the Margin Targets, as defined by Global Finance.</t>
  </si>
  <si>
    <t>OPTIONAL:  If known, enter the estimated value of the expenses for the Project and if they will be Billable to the client. Anything added here WILL update the project's financial summaries on tab "4. Summary &amp; Totals"</t>
  </si>
  <si>
    <t>This information is copied from tab "1. Project Inputs"</t>
  </si>
  <si>
    <r>
      <t>Select Billing Entity from Drop Down on tab</t>
    </r>
    <r>
      <rPr>
        <b/>
        <sz val="11"/>
        <color theme="1"/>
        <rFont val="Lato Regular"/>
      </rPr>
      <t xml:space="preserve"> </t>
    </r>
    <r>
      <rPr>
        <sz val="11"/>
        <color theme="1"/>
        <rFont val="Lato Regular"/>
      </rPr>
      <t>"1. Project Inputs"</t>
    </r>
  </si>
  <si>
    <t>Enter Project Code from Project or Dynamics on tab "1. Project Inputs"</t>
  </si>
  <si>
    <t>Select type from drop down list on tab "1. Project Inputs". Please see QRG on RPE Portal Page for explanation on Project Types</t>
  </si>
  <si>
    <t>Please enter estimated Project Start Date on tab "1. Project Inputs"</t>
  </si>
  <si>
    <t>Select Billing Type from drop down on tab "1. Project Inputs"</t>
  </si>
  <si>
    <r>
      <t>Please enter duration in Weeks in cell C27 on tab</t>
    </r>
    <r>
      <rPr>
        <b/>
        <sz val="11"/>
        <color theme="1"/>
        <rFont val="Lato Regular"/>
      </rPr>
      <t xml:space="preserve"> </t>
    </r>
    <r>
      <rPr>
        <sz val="11"/>
        <color theme="1"/>
        <rFont val="Lato Regular"/>
      </rPr>
      <t>"1. Project Inputs"</t>
    </r>
  </si>
  <si>
    <t>If you selected Client Custom Rates, you need to select which Client Rate card you are using on tab "1. Project Inputs". If you do not have a client custom rate card yet, please use the Custom Rate Override feature in the ROPE. If you need to add your client rate card to Projector, please email Operations Enablement.</t>
  </si>
  <si>
    <t>Enter the client name in cell C16 on tab "1. Project Inputs"</t>
  </si>
  <si>
    <t>Please enter at least one role into the schedule on tab "2. Roles &amp; Pricing"</t>
  </si>
  <si>
    <r>
      <t>Please enter weekly hours for team members on tab</t>
    </r>
    <r>
      <rPr>
        <b/>
        <sz val="11"/>
        <color theme="1"/>
        <rFont val="Lato Regular"/>
      </rPr>
      <t xml:space="preserve"> </t>
    </r>
    <r>
      <rPr>
        <sz val="11"/>
        <color theme="1"/>
        <rFont val="Lato Regular"/>
      </rPr>
      <t>"2. Roles and Pricing"</t>
    </r>
  </si>
  <si>
    <t>Duration is needed to determine total cost and revenue of the project. Duration is also needed to accurately staff your team members once it is uploaded to the appropriate PSA (Projector or Dynamics).</t>
  </si>
  <si>
    <t xml:space="preserve">Project start date is required to schedule your roles in the appropriate PSA (Projector or Dynamics) once the ROPE is uploaded. </t>
  </si>
  <si>
    <t xml:space="preserve">The ROPE will not let you select a custom client title for a role unless you select Client Custom Rate Card. If you have chosen Client Custom rates as your margin class, you need to select a custom rate card. If you are not using a pre-set client custom rate card, please change your Rate/Margin class and utilize custom rate overrides in column CK in tab "2. Roles &amp; Pricing" if you want to customize rates. 
</t>
  </si>
  <si>
    <t xml:space="preserve">The ROPE checks to make sure you don't use an incorrect client rate card by matching the name on the client rate card to the name inputted in tab "1. Project Inputs".
</t>
  </si>
  <si>
    <t>Note: There are cell notes indicated with a red triangle for each Metric below that provide standard calculations and additional instructions.</t>
  </si>
  <si>
    <t>- RFP/RFI</t>
  </si>
  <si>
    <t>- New Projects</t>
  </si>
  <si>
    <t>- New SOW/CLIP required on an Existing Project</t>
  </si>
  <si>
    <t>- New contract terms/CLIP is required on an existing project</t>
  </si>
  <si>
    <t>Confirm The ROPE is ready for import to your PSA system (Projector or Dynamics) by using the flags to troubleshoot errors.</t>
  </si>
  <si>
    <t>Enter project information like Client Name, Project Type, Billing Type, etc. that will flow through the other tabs and will be used to set up project details in your PSA system (Projector/Dynamics).
OPTIONAL: Define Scope estimation buckets and Scope option names.</t>
  </si>
  <si>
    <t>Enter details of the Roles, Skills, and Schedule for each resource needed on the project to calculate the costs and pricing estimates.  This information is also imported into your PSA system (Projector/Dynamics).</t>
  </si>
  <si>
    <t>Review the pricing totals for each pricing scenario based on inclusion of specific resources/roles within "2. Roles &amp; Pricing" tab.</t>
  </si>
  <si>
    <t>Use this tab to enter your roles &amp; resources and define a project schedule to inform project pricing estimates</t>
  </si>
  <si>
    <r>
      <t>If you are NOT evaluating various scope options, skip to tab "</t>
    </r>
    <r>
      <rPr>
        <b/>
        <i/>
        <sz val="11"/>
        <color theme="1"/>
        <rFont val="Lato Regular"/>
      </rPr>
      <t>2. Roles &amp; Pricing</t>
    </r>
    <r>
      <rPr>
        <i/>
        <sz val="11"/>
        <color theme="1"/>
        <rFont val="Lato Regular"/>
      </rPr>
      <t>"</t>
    </r>
  </si>
  <si>
    <t>Role Location</t>
  </si>
  <si>
    <r>
      <t xml:space="preserve">Level Override </t>
    </r>
    <r>
      <rPr>
        <b/>
        <sz val="10"/>
        <color theme="1"/>
        <rFont val="Lato Regular"/>
      </rPr>
      <t xml:space="preserve">
(Credera US Only)</t>
    </r>
  </si>
  <si>
    <t>Role Type  |  Total Hours by Week</t>
  </si>
  <si>
    <t>Employee #</t>
  </si>
  <si>
    <t>Last name, First name</t>
  </si>
  <si>
    <t>Hire Date</t>
  </si>
  <si>
    <t>Employment Status: Date</t>
  </si>
  <si>
    <t>Employment Status</t>
  </si>
  <si>
    <t>Job Title</t>
  </si>
  <si>
    <t>Division</t>
  </si>
  <si>
    <t>Job Band</t>
  </si>
  <si>
    <t>New Level</t>
  </si>
  <si>
    <t>Akkem, Reddy Pavani</t>
  </si>
  <si>
    <t>Full-Time</t>
  </si>
  <si>
    <t>Hyderabad, India</t>
  </si>
  <si>
    <t>.NET UI</t>
  </si>
  <si>
    <t>Senior Specialist - II</t>
  </si>
  <si>
    <t>Asia-Pacific</t>
  </si>
  <si>
    <t>Annabathula, Satyanarayana</t>
  </si>
  <si>
    <t>.NET QA</t>
  </si>
  <si>
    <t>Senior Lead</t>
  </si>
  <si>
    <t>Balakrishna, Polu</t>
  </si>
  <si>
    <t>Senior Specialist - III</t>
  </si>
  <si>
    <t>Bodhankar, Mohith</t>
  </si>
  <si>
    <t>MS Dynamics</t>
  </si>
  <si>
    <t>Boore, Jaswanth</t>
  </si>
  <si>
    <t>Senior Specialist</t>
  </si>
  <si>
    <t>B2</t>
  </si>
  <si>
    <t>Choudhary, Deepak</t>
  </si>
  <si>
    <t>Gurugram, India</t>
  </si>
  <si>
    <t>Eerappagari, Jaya Sree</t>
  </si>
  <si>
    <t>Erapatnam, Shiva</t>
  </si>
  <si>
    <t>Lead</t>
  </si>
  <si>
    <t>Gupta, Rajesh</t>
  </si>
  <si>
    <t>.NET BA</t>
  </si>
  <si>
    <t>Jani, Kishan</t>
  </si>
  <si>
    <t>Kapoor, Anant</t>
  </si>
  <si>
    <t>Kar, Diptimayee</t>
  </si>
  <si>
    <t>Kari, Naga Sathish Reddy</t>
  </si>
  <si>
    <t>Katta, Sunny</t>
  </si>
  <si>
    <t>Khandagale, Shreyas</t>
  </si>
  <si>
    <t>Specialist</t>
  </si>
  <si>
    <t>B1</t>
  </si>
  <si>
    <t>Khare, Aniket</t>
  </si>
  <si>
    <t>Senior Associate</t>
  </si>
  <si>
    <t>A3</t>
  </si>
  <si>
    <t>L1 / A1-A3 | Associate Engineer</t>
  </si>
  <si>
    <t>L1</t>
  </si>
  <si>
    <t>Kumar, Rajeev</t>
  </si>
  <si>
    <t>Kumar, Saurav</t>
  </si>
  <si>
    <t>Kuppa, Sai Varun</t>
  </si>
  <si>
    <t>Kuruba, Manjunath</t>
  </si>
  <si>
    <t>Kentucky, US</t>
  </si>
  <si>
    <t>.Net</t>
  </si>
  <si>
    <t>United States</t>
  </si>
  <si>
    <t>Loya, Pratibha</t>
  </si>
  <si>
    <t>.NET DevOps</t>
  </si>
  <si>
    <t>Machineni, Kishore</t>
  </si>
  <si>
    <t>Md, Yasmeen</t>
  </si>
  <si>
    <t>Mudgal, Ashish</t>
  </si>
  <si>
    <t>Pabathu, Pavan</t>
  </si>
  <si>
    <t>Pattanaik, Debabrata</t>
  </si>
  <si>
    <t>Perumalsamy, Ganesan</t>
  </si>
  <si>
    <t>Prasad Mohapatra, Pinaki</t>
  </si>
  <si>
    <t>Prem, Srikanth</t>
  </si>
  <si>
    <t>Sekhar, Chandra</t>
  </si>
  <si>
    <t>Sharma, Kirty</t>
  </si>
  <si>
    <t>Sharma, Vivek</t>
  </si>
  <si>
    <t>Singh, Navatarika</t>
  </si>
  <si>
    <t>L2 / B1-B2 | QA Engineer</t>
  </si>
  <si>
    <t>Suman, Ritu</t>
  </si>
  <si>
    <t>Kolkata, India</t>
  </si>
  <si>
    <t>Sunny, Darvi</t>
  </si>
  <si>
    <t>Tabassum, Syeda</t>
  </si>
  <si>
    <t>Thumu, Kalyan</t>
  </si>
  <si>
    <t>Vaid, Rahul</t>
  </si>
  <si>
    <t>Vangala, Srinivas Reddy</t>
  </si>
  <si>
    <t>North Carolina, US</t>
  </si>
  <si>
    <t>Vemana, Vinodh Kumar</t>
  </si>
  <si>
    <t>Vennamalla, Srinivas</t>
  </si>
  <si>
    <t>Verma, Amit Kumar</t>
  </si>
  <si>
    <t>Akhila, Sambari</t>
  </si>
  <si>
    <t>Alasandalapalli, Vamsikrishna</t>
  </si>
  <si>
    <t>Allumallu, Kumari Lalitha</t>
  </si>
  <si>
    <t>Arora, Pawan</t>
  </si>
  <si>
    <t>Beernelly, Nikhilesh Gupta</t>
  </si>
  <si>
    <t>Dhanuka, Chanchal</t>
  </si>
  <si>
    <t>G, Hruthik</t>
  </si>
  <si>
    <t>Gathala, Mohan</t>
  </si>
  <si>
    <t>Gilbert, Patrick</t>
  </si>
  <si>
    <t>British Columbia, Canada</t>
  </si>
  <si>
    <t>Senior Director</t>
  </si>
  <si>
    <t>Gupta, Gaurav</t>
  </si>
  <si>
    <t>Hale, Jonathan</t>
  </si>
  <si>
    <t>Massachusetts, US</t>
  </si>
  <si>
    <t>Joel Masa, Anand Krupa Prabhu</t>
  </si>
  <si>
    <t>Khurana, Himani</t>
  </si>
  <si>
    <t>Kumar Kuppili, Yerni Gowtham</t>
  </si>
  <si>
    <t>Kumar, Aniket</t>
  </si>
  <si>
    <t>Kumar, Divesh</t>
  </si>
  <si>
    <t>Kumar, Rohit</t>
  </si>
  <si>
    <t>Lanke, Sushma</t>
  </si>
  <si>
    <t>M P, Syam Mohan</t>
  </si>
  <si>
    <t>Bangalore, India</t>
  </si>
  <si>
    <t>Narayan Vaidya, Nitesh</t>
  </si>
  <si>
    <t>Nehul, Gajanan</t>
  </si>
  <si>
    <t>Nirosha, Athmakuru</t>
  </si>
  <si>
    <t>Acquia DevOps</t>
  </si>
  <si>
    <t>Pati, Biswaranjan</t>
  </si>
  <si>
    <t>Bhubaneswar, India</t>
  </si>
  <si>
    <t>Pati, Thandava Krishna</t>
  </si>
  <si>
    <t>Pattanayak, Akash</t>
  </si>
  <si>
    <t>Poshala, Veekshan</t>
  </si>
  <si>
    <t>Reddy, Baggireddy Tirumala</t>
  </si>
  <si>
    <t>Sahu, Hithik</t>
  </si>
  <si>
    <t>Saraswat, Monika</t>
  </si>
  <si>
    <t>Selvaraj, Vignesh</t>
  </si>
  <si>
    <t>Chennai, India</t>
  </si>
  <si>
    <t>Sumanth, Kasha</t>
  </si>
  <si>
    <t>Tadakalkar, Onkar</t>
  </si>
  <si>
    <t>Thakur, Sujit Kumar</t>
  </si>
  <si>
    <t>Wasnik, Gajanan</t>
  </si>
  <si>
    <t>Yadav, Shivalaya</t>
  </si>
  <si>
    <t>., Tushar</t>
  </si>
  <si>
    <t>A P, Akhil</t>
  </si>
  <si>
    <t>Aavula, Pradeep Kumar</t>
  </si>
  <si>
    <t>Texas, US</t>
  </si>
  <si>
    <t>TADigital NA | Quality Assurance</t>
  </si>
  <si>
    <t>Abraham G, Michelle</t>
  </si>
  <si>
    <t>Afrin, Shaik</t>
  </si>
  <si>
    <t>Agalawe, Yogesh</t>
  </si>
  <si>
    <t>Data and Analytics</t>
  </si>
  <si>
    <t>Agarwal, Ankit</t>
  </si>
  <si>
    <t>Toronto, Ontario, Canada</t>
  </si>
  <si>
    <t>Akella, RamaRao</t>
  </si>
  <si>
    <t>Ali Hashmi, Mir Saadat</t>
  </si>
  <si>
    <t>Amanchi, Sunil</t>
  </si>
  <si>
    <t>Anand, Sanjay</t>
  </si>
  <si>
    <t>Adobe BA</t>
  </si>
  <si>
    <t>Anil Kumar, Panuganti</t>
  </si>
  <si>
    <t>Annamalaisamy, Manisha</t>
  </si>
  <si>
    <t>anne, Ravichandra</t>
  </si>
  <si>
    <t>Arora, Pariksha</t>
  </si>
  <si>
    <t>Arvind, Keerthy</t>
  </si>
  <si>
    <t>L1 / A1-A2 | Associate QA Engineer</t>
  </si>
  <si>
    <t>Aryan, Manish</t>
  </si>
  <si>
    <t>B N, Vamshik</t>
  </si>
  <si>
    <t>B, Dileep Kumar</t>
  </si>
  <si>
    <t>Senior Manager</t>
  </si>
  <si>
    <t>B.S, Bharath</t>
  </si>
  <si>
    <t>Bachu, Jagadeeswara</t>
  </si>
  <si>
    <t>Dallas, TX, US</t>
  </si>
  <si>
    <t>Bahadur, Nikash</t>
  </si>
  <si>
    <t>Bajaj, Amit</t>
  </si>
  <si>
    <t>Baluswamy, Gowthami</t>
  </si>
  <si>
    <t>Bandla, Sreeveer</t>
  </si>
  <si>
    <t>Banerjee, Suvo</t>
  </si>
  <si>
    <t>Bansal, Ankit</t>
  </si>
  <si>
    <t>Barnhouse, Stetson</t>
  </si>
  <si>
    <t>Michigan, US</t>
  </si>
  <si>
    <t>Bhagat, Shubham N</t>
  </si>
  <si>
    <t>Bhardwaj, Abhishek</t>
  </si>
  <si>
    <t>Bhardwaj, Anmol</t>
  </si>
  <si>
    <t>Bhardwaj, Manav</t>
  </si>
  <si>
    <t>Bhardwaj, Nischal</t>
  </si>
  <si>
    <t>Bhardwaj, Vipin</t>
  </si>
  <si>
    <t>Bharti, Nutan</t>
  </si>
  <si>
    <t>Bhatia, Kartik</t>
  </si>
  <si>
    <t>Bhatia, Richa</t>
  </si>
  <si>
    <t>Bhatia, Rowvill</t>
  </si>
  <si>
    <t>Bhattacharjee, Ankit</t>
  </si>
  <si>
    <t>Bhetanabotla, Nipuna</t>
  </si>
  <si>
    <t>Bhupati Raju, Prithvi Raju</t>
  </si>
  <si>
    <t>Bineni, Prashanthi</t>
  </si>
  <si>
    <t>Bollampally, Bharath Reddy</t>
  </si>
  <si>
    <t>Canjapalli Shivakumar, Balaji</t>
  </si>
  <si>
    <t>CH, Jaya Krishna</t>
  </si>
  <si>
    <t>Chada, Sai Prasad</t>
  </si>
  <si>
    <t>Chakali, Mallikarjuna</t>
  </si>
  <si>
    <t>Chakraborty, Jayanta Kumar</t>
  </si>
  <si>
    <t>Challa, Mounika</t>
  </si>
  <si>
    <t>Chandana, Kavuri</t>
  </si>
  <si>
    <t>Chandra, Abhishek</t>
  </si>
  <si>
    <t>Chandran, Ganeshbabu</t>
  </si>
  <si>
    <t>Chaturvedi, Abhishek</t>
  </si>
  <si>
    <t>Chaubey, Nidhi</t>
  </si>
  <si>
    <t>Chaudhary, Swati</t>
  </si>
  <si>
    <t>Chaudhuri, Upama Ray</t>
  </si>
  <si>
    <t>Chauhan, Dushyant</t>
  </si>
  <si>
    <t>Cheruku, Niharika</t>
  </si>
  <si>
    <t>Chirra, Naveen</t>
  </si>
  <si>
    <t>Choudhary, Mukesh</t>
  </si>
  <si>
    <t>Chowdary Simhadri, N</t>
  </si>
  <si>
    <t>Cooley, Daniel</t>
  </si>
  <si>
    <t>Wisconsin, US</t>
  </si>
  <si>
    <t>Cutsinger, David</t>
  </si>
  <si>
    <t>Managing Consultant</t>
  </si>
  <si>
    <t>Daniel, Arun Paul</t>
  </si>
  <si>
    <t>Darapu, Sravani</t>
  </si>
  <si>
    <t>Das Gupta, Kaustav</t>
  </si>
  <si>
    <t>Das, Shailesh Kumar</t>
  </si>
  <si>
    <t>Das, Shivaji</t>
  </si>
  <si>
    <t>Dasari, Vinuthna</t>
  </si>
  <si>
    <t>Desai, Dishant</t>
  </si>
  <si>
    <t>Devakathe, Vinay</t>
  </si>
  <si>
    <t>Dhiman, Vivek</t>
  </si>
  <si>
    <t>Alberta, Canada</t>
  </si>
  <si>
    <t>Dhingra, Shruti</t>
  </si>
  <si>
    <t>Dhoble, Pranay</t>
  </si>
  <si>
    <t>Dipta Kundu, Soham</t>
  </si>
  <si>
    <t>Dubey, Sarita</t>
  </si>
  <si>
    <t>Duggineni, Lokesh</t>
  </si>
  <si>
    <t>Durgampudi, Chandra Shekar Reddy</t>
  </si>
  <si>
    <t>Dwarampudi, Anu</t>
  </si>
  <si>
    <t>Dwivedi, Shikha</t>
  </si>
  <si>
    <t>Elasagaram, Sharath Kumar</t>
  </si>
  <si>
    <t>Ennam, Shiva Kumar</t>
  </si>
  <si>
    <t>EP, Muhammad Salih</t>
  </si>
  <si>
    <t>Espino, Paul</t>
  </si>
  <si>
    <t>Florida, US</t>
  </si>
  <si>
    <t>Felix, Stephane</t>
  </si>
  <si>
    <t>Quebec, Canada</t>
  </si>
  <si>
    <t>Senior Managing Consultant</t>
  </si>
  <si>
    <t>Gajarla, Krishna Jeevan</t>
  </si>
  <si>
    <t>Gangwar, Mohit Kumar</t>
  </si>
  <si>
    <t>Garg, Akshay</t>
  </si>
  <si>
    <t>Garg, Vishul</t>
  </si>
  <si>
    <t>Gavvala, Sumanth Prasad</t>
  </si>
  <si>
    <t>Gera, Prince</t>
  </si>
  <si>
    <t>Gobburi, Vishwanath Yashaswi</t>
  </si>
  <si>
    <t>Godwani, Pawan</t>
  </si>
  <si>
    <t>Goli, Madhusudhanarao</t>
  </si>
  <si>
    <t>Golla, Alekhya</t>
  </si>
  <si>
    <t>Gondlyala, Rahul</t>
  </si>
  <si>
    <t>Gopinath, C</t>
  </si>
  <si>
    <t>Goswami, Pratyoosh</t>
  </si>
  <si>
    <t>Gouni, Srujana</t>
  </si>
  <si>
    <t>Guda, Karthik</t>
  </si>
  <si>
    <t>Gujalapati, Yogeeswara</t>
  </si>
  <si>
    <t>Gummadi, Mounika</t>
  </si>
  <si>
    <t>Gupta, Ambar</t>
  </si>
  <si>
    <t>Gupta, Avantika</t>
  </si>
  <si>
    <t>Gupta, Karan</t>
  </si>
  <si>
    <t>Gupta, Sourabh</t>
  </si>
  <si>
    <t>Gupta, Vaibhav</t>
  </si>
  <si>
    <t>Hadagali, Somanath</t>
  </si>
  <si>
    <t>Harkhani, Kevin Rameshbhai</t>
  </si>
  <si>
    <t>Harshini, Gunda J S L K Amrutha</t>
  </si>
  <si>
    <t>Hindustani, Chandan</t>
  </si>
  <si>
    <t>Islam, Rakibul</t>
  </si>
  <si>
    <t>Iyengar, Radhika</t>
  </si>
  <si>
    <t>J, Vaibhavi</t>
  </si>
  <si>
    <t>Jadhav, Ganesh Arjun</t>
  </si>
  <si>
    <t>Jagtap, Aarya</t>
  </si>
  <si>
    <t>Jain, Chetanya</t>
  </si>
  <si>
    <t>Jain, Jayant</t>
  </si>
  <si>
    <t>Jain, Manil</t>
  </si>
  <si>
    <t>Jain, Nehansh</t>
  </si>
  <si>
    <t>Jain, Sakshi</t>
  </si>
  <si>
    <t>Jakkula, Vamshi Krishna</t>
  </si>
  <si>
    <t>Javvaji, Revathi</t>
  </si>
  <si>
    <t>Javvaji, Saikiran</t>
  </si>
  <si>
    <t>Jelloji, Vikram</t>
  </si>
  <si>
    <t>Jindamwar, Avinash</t>
  </si>
  <si>
    <t>Joorigala, Niharika</t>
  </si>
  <si>
    <t>Joy, Justin</t>
  </si>
  <si>
    <t>K, Karthikeyan</t>
  </si>
  <si>
    <t>Kachroo, Saneesh</t>
  </si>
  <si>
    <t>Kadambari, Rama Kiran</t>
  </si>
  <si>
    <t>Kaivalya, Uppaluri</t>
  </si>
  <si>
    <t>Kakarla, Durga Subrahmanyam</t>
  </si>
  <si>
    <t>Kalavala, Krishna Kumar</t>
  </si>
  <si>
    <t>Kale, Venkateswara Rao</t>
  </si>
  <si>
    <t>Kalita, Nipjyoti</t>
  </si>
  <si>
    <t>Kalluri, Mukesh</t>
  </si>
  <si>
    <t>Karri, Praveen</t>
  </si>
  <si>
    <t>Karumuri, Sadhana</t>
  </si>
  <si>
    <t>Katam, Narsimlu</t>
  </si>
  <si>
    <t>Kaur Bhatia, Gurpreet</t>
  </si>
  <si>
    <t>Kaur, Jasmine</t>
  </si>
  <si>
    <t>Kaushik, Nitul</t>
  </si>
  <si>
    <t>Kawade, Piyush</t>
  </si>
  <si>
    <t>Kawatra, Deepika</t>
  </si>
  <si>
    <t>Kennedy, Kishore</t>
  </si>
  <si>
    <t>Keshwani, Rupali</t>
  </si>
  <si>
    <t>Kharche, Mrunali</t>
  </si>
  <si>
    <t>Khatri, Bhavin</t>
  </si>
  <si>
    <t>Kisanji Ramteke, Yugesh</t>
  </si>
  <si>
    <t>Kohli, Avneesh</t>
  </si>
  <si>
    <t>Kohli, Nikit</t>
  </si>
  <si>
    <t>Kola, Keerthi</t>
  </si>
  <si>
    <t>Koppula, Haritha</t>
  </si>
  <si>
    <t>Korukonda, Sailesh</t>
  </si>
  <si>
    <t>Kotha, Venkatasainath</t>
  </si>
  <si>
    <t>Krishna, Kathika Ramya</t>
  </si>
  <si>
    <t>Kuhar, Brent</t>
  </si>
  <si>
    <t>Kulkarni, Apoorva</t>
  </si>
  <si>
    <t>Kumar Reddy, Pogula Naveen</t>
  </si>
  <si>
    <t>Kumar Singh, Akshay</t>
  </si>
  <si>
    <t>Kumar, Abhishek</t>
  </si>
  <si>
    <t>Kumar, Dheeraj</t>
  </si>
  <si>
    <t>Kumar, Ishan</t>
  </si>
  <si>
    <t>Kumar, Jitender</t>
  </si>
  <si>
    <t>Kumar, Kola Suman</t>
  </si>
  <si>
    <t>Kumar, Mohit</t>
  </si>
  <si>
    <t>Kumar, Pavan Kumar Kushal</t>
  </si>
  <si>
    <t>Kumar, Pratul</t>
  </si>
  <si>
    <t>Kumar, Rakesh</t>
  </si>
  <si>
    <t>Kumar, Ranveer</t>
  </si>
  <si>
    <t>Kumar, Sandip</t>
  </si>
  <si>
    <t>Kumar, Shivam</t>
  </si>
  <si>
    <t>Kumari, Sonam</t>
  </si>
  <si>
    <t>Kumawat, Akshay</t>
  </si>
  <si>
    <t>Kummalakunta, Gangamai</t>
  </si>
  <si>
    <t>Kunta, Anil</t>
  </si>
  <si>
    <t>Kusugall, Basavaraj</t>
  </si>
  <si>
    <t>L, Himanshi</t>
  </si>
  <si>
    <t>Lagishetti, Sowmya Sree</t>
  </si>
  <si>
    <t>Lakshmana, Smitha</t>
  </si>
  <si>
    <t>Lakshmi Deepika Reddy, Karri</t>
  </si>
  <si>
    <t>Lalotra, Sahil</t>
  </si>
  <si>
    <t>Larche, Jeffrey</t>
  </si>
  <si>
    <t>Chicago, IL, US</t>
  </si>
  <si>
    <t>Product and Innovation</t>
  </si>
  <si>
    <t>M, Diana</t>
  </si>
  <si>
    <t>M, Muthuprasanth</t>
  </si>
  <si>
    <t>M, Rajalakshmi</t>
  </si>
  <si>
    <t>Maduri, Abhilash</t>
  </si>
  <si>
    <t>Mahmood, Mahammad Aamir</t>
  </si>
  <si>
    <t>Majety, Preeti</t>
  </si>
  <si>
    <t>Malegama, Navaneetha</t>
  </si>
  <si>
    <t>Malhotra, Pavni</t>
  </si>
  <si>
    <t>Malhotra, Rajat</t>
  </si>
  <si>
    <t>Manchala, Sheshagiri</t>
  </si>
  <si>
    <t>Mandaloju, Rakesh</t>
  </si>
  <si>
    <t>Mangalampalli, Siva Krishna</t>
  </si>
  <si>
    <t>Maniyar, Nikihat</t>
  </si>
  <si>
    <t>Maryadha, Hari Kumar</t>
  </si>
  <si>
    <t>Mathur, Shreya</t>
  </si>
  <si>
    <t>MdPatel, Shoheb</t>
  </si>
  <si>
    <t>Medisetty, Gauravnag</t>
  </si>
  <si>
    <t>Meegada, Raja Sekhar</t>
  </si>
  <si>
    <t>Meesala, Prathibha</t>
  </si>
  <si>
    <t>Mekala, Ravi Kiran</t>
  </si>
  <si>
    <t>Mishra, Prabhupada</t>
  </si>
  <si>
    <t>Mishra, Rituparna</t>
  </si>
  <si>
    <t>Mishra, Soumya</t>
  </si>
  <si>
    <t>Mittal, Ashish</t>
  </si>
  <si>
    <t>Mohammed, Afreen</t>
  </si>
  <si>
    <t>Mohapatra, Mitali</t>
  </si>
  <si>
    <t>Mohd, Sabahath</t>
  </si>
  <si>
    <t>Mojjada, Santosh Kumar</t>
  </si>
  <si>
    <t>Mucharla, Rowmith</t>
  </si>
  <si>
    <t>Mukherjee, Ashutosh</t>
  </si>
  <si>
    <t>Mukherjee, Subharun</t>
  </si>
  <si>
    <t>N, Srihari</t>
  </si>
  <si>
    <t>Naib, Mahejabeen</t>
  </si>
  <si>
    <t>Nair, Prashant</t>
  </si>
  <si>
    <t>Nair, Vinay</t>
  </si>
  <si>
    <t>Namaji, Priyanka</t>
  </si>
  <si>
    <t>Narendruni, Laxman Kumar</t>
  </si>
  <si>
    <t>Ohio, US</t>
  </si>
  <si>
    <t>Nathaniel, Neethi Priya</t>
  </si>
  <si>
    <t>Nausheed, Mohammed</t>
  </si>
  <si>
    <t>Nayak, Sangram</t>
  </si>
  <si>
    <t>Nayak, Sankalp</t>
  </si>
  <si>
    <t>NC, Preeti</t>
  </si>
  <si>
    <t>Neeli, Chaitanya</t>
  </si>
  <si>
    <t>Nemalikonda, Aditya</t>
  </si>
  <si>
    <t>Nidumukkala, Tejaswini</t>
  </si>
  <si>
    <t>Palani, Ilangovan</t>
  </si>
  <si>
    <t>Palanisamy, Sankar  Raman</t>
  </si>
  <si>
    <t>Pandey, Aniket</t>
  </si>
  <si>
    <t>Pandey, Jagriti</t>
  </si>
  <si>
    <t>Pandey, Navdeep</t>
  </si>
  <si>
    <t>Pandey, Shraddha</t>
  </si>
  <si>
    <t>Pandit, Roli</t>
  </si>
  <si>
    <t>Panthangi, Koteswara Rao</t>
  </si>
  <si>
    <t>Paradarami, Bhano</t>
  </si>
  <si>
    <t>Parimi, Sandhya</t>
  </si>
  <si>
    <t>Pasam, VenkataRamana</t>
  </si>
  <si>
    <t>Pasbola, Mandeep</t>
  </si>
  <si>
    <t>Passi, Hema</t>
  </si>
  <si>
    <t>Pasumarthi, Tejoram</t>
  </si>
  <si>
    <t>Pasupuleti, Indira Priyadarshini</t>
  </si>
  <si>
    <t>Patil, Nikhil</t>
  </si>
  <si>
    <t>Patil, Sonal</t>
  </si>
  <si>
    <t>Patiyal, Mohit</t>
  </si>
  <si>
    <t>Paul, Anusha</t>
  </si>
  <si>
    <t>Paul, Biswajit</t>
  </si>
  <si>
    <t>Pavan Katta, Ram Sai</t>
  </si>
  <si>
    <t>Pawar, Pranil</t>
  </si>
  <si>
    <t>Penmetsa, Sruthi</t>
  </si>
  <si>
    <t>Peteti, Sudeepthi</t>
  </si>
  <si>
    <t>Phadnis, Shreyas</t>
  </si>
  <si>
    <t>Pinjala, Sowmya</t>
  </si>
  <si>
    <t>Pinninti, Hari Prasad</t>
  </si>
  <si>
    <t>Pinto, Ryan</t>
  </si>
  <si>
    <t>Pippiri, Rahul</t>
  </si>
  <si>
    <t>Pokala, Shivaji Appa</t>
  </si>
  <si>
    <t>Missouri, US</t>
  </si>
  <si>
    <t>Polagani, Anusha</t>
  </si>
  <si>
    <t>Polisetty, Mahesh</t>
  </si>
  <si>
    <t>Pooja, Salugu</t>
  </si>
  <si>
    <t>Popli, Gaurav</t>
  </si>
  <si>
    <t>Potnuru, Priyanka</t>
  </si>
  <si>
    <t>Pottom, Ashlesha</t>
  </si>
  <si>
    <t>Pradhan, Avishek</t>
  </si>
  <si>
    <t>Prasad, Tripti</t>
  </si>
  <si>
    <t>Proulx, Jason</t>
  </si>
  <si>
    <t>Ontario, Canada</t>
  </si>
  <si>
    <t>Vice President</t>
  </si>
  <si>
    <t>Pruthi, Yashita</t>
  </si>
  <si>
    <t>PS, Ramesh</t>
  </si>
  <si>
    <t>Pullakandam, Saikrishna</t>
  </si>
  <si>
    <t>Pulluru, Vineeth</t>
  </si>
  <si>
    <t>Purbey, Rahul</t>
  </si>
  <si>
    <t>Pushpala, Maruthi</t>
  </si>
  <si>
    <t>R, Aishwarya</t>
  </si>
  <si>
    <t>Raj K A, Jeevan</t>
  </si>
  <si>
    <t>Raj, B Nikhil</t>
  </si>
  <si>
    <t>Rajasekhar, Namduri Naga</t>
  </si>
  <si>
    <t>Rajendran, Anjana</t>
  </si>
  <si>
    <t>Rani, Bandaru Usha</t>
  </si>
  <si>
    <t>Rani, Monika</t>
  </si>
  <si>
    <t>Rao Vanama, Sai Venu Gopala</t>
  </si>
  <si>
    <t>Rathi, Divya</t>
  </si>
  <si>
    <t>Rauthan, Gautam</t>
  </si>
  <si>
    <t>Rayaprolu, Sai Anil Kumar</t>
  </si>
  <si>
    <t>Reddy M, Srujan Kumar</t>
  </si>
  <si>
    <t>Reddy R, Yogesh</t>
  </si>
  <si>
    <t>Reddy, S D Pavan Kumar</t>
  </si>
  <si>
    <t>Richards, Brian</t>
  </si>
  <si>
    <t>Washington, US</t>
  </si>
  <si>
    <t>Rola, Sarthak</t>
  </si>
  <si>
    <t>Roy, Pratibha</t>
  </si>
  <si>
    <t>Rukmini, Chabuku Deepika</t>
  </si>
  <si>
    <t>S P, Rajasekar</t>
  </si>
  <si>
    <t>Sachdeva, Jatin</t>
  </si>
  <si>
    <t>Sahni, Shilpa</t>
  </si>
  <si>
    <t>Sai Daitha, Ram</t>
  </si>
  <si>
    <t>Sai Priya, Dontham</t>
  </si>
  <si>
    <t>Associate</t>
  </si>
  <si>
    <t>A2</t>
  </si>
  <si>
    <t>Saimanikanta Bhanu Prakash, Dodda</t>
  </si>
  <si>
    <t>Sakkari, Kelvin</t>
  </si>
  <si>
    <t>Salam, Swapnil</t>
  </si>
  <si>
    <t>Salugu, Manoj</t>
  </si>
  <si>
    <t>Saluja, Gagandeep</t>
  </si>
  <si>
    <t>Sangubotla, Ravi</t>
  </si>
  <si>
    <t>Sanivarapu, Nithish Kumar</t>
  </si>
  <si>
    <t>Sanjay Munot, Siddharth</t>
  </si>
  <si>
    <t>Sarkar, Somen</t>
  </si>
  <si>
    <t>Satyalu, Naveen</t>
  </si>
  <si>
    <t>Seth, Rachit</t>
  </si>
  <si>
    <t>Shahi, Rashmi</t>
  </si>
  <si>
    <t>Shaikh, Zoheb Naseeruddin</t>
  </si>
  <si>
    <t>Shankar, Lakshmi</t>
  </si>
  <si>
    <t>Shankar, Rishi</t>
  </si>
  <si>
    <t>Sharma, Aditya</t>
  </si>
  <si>
    <t>Sharma, Gopal</t>
  </si>
  <si>
    <t>Sharma, Jatin</t>
  </si>
  <si>
    <t>Sharma, Sunil</t>
  </si>
  <si>
    <t>Sharma, Vivek Kumar</t>
  </si>
  <si>
    <t>Shetty, Akash</t>
  </si>
  <si>
    <t>Shivannagari, Venu</t>
  </si>
  <si>
    <t>Shivaramegowda, Sunil Kumar</t>
  </si>
  <si>
    <t>New Jersey, US</t>
  </si>
  <si>
    <t>Shrivastava, Rohit</t>
  </si>
  <si>
    <t>Shukla, Shashank</t>
  </si>
  <si>
    <t>Sidagam, Chaitanya</t>
  </si>
  <si>
    <t>Singh, Ankit</t>
  </si>
  <si>
    <t>Singh, Gourav</t>
  </si>
  <si>
    <t>Singh, Jaspreet</t>
  </si>
  <si>
    <t>Singh, Keshav</t>
  </si>
  <si>
    <t>Singh, Mukesh Kumar</t>
  </si>
  <si>
    <t>Singh, Niharika</t>
  </si>
  <si>
    <t>Singh, Raghvendra</t>
  </si>
  <si>
    <t>Singh, Sanvedna</t>
  </si>
  <si>
    <t>Singh, Susheel</t>
  </si>
  <si>
    <t>Singh, Tarun</t>
  </si>
  <si>
    <t>Singh, Tirath</t>
  </si>
  <si>
    <t>Singh, Varun</t>
  </si>
  <si>
    <t>Singh, Vikas</t>
  </si>
  <si>
    <t>Siripuram, Sreeja</t>
  </si>
  <si>
    <t>Somasundaram, Sriprithi</t>
  </si>
  <si>
    <t>Soni, Shikha</t>
  </si>
  <si>
    <t>Subburaman, Shobana</t>
  </si>
  <si>
    <t>Sutradhar, KunalKanti</t>
  </si>
  <si>
    <t>Sward, Courtney</t>
  </si>
  <si>
    <t>Part-Time</t>
  </si>
  <si>
    <t>Montana, US</t>
  </si>
  <si>
    <t>Szwerc, Matt</t>
  </si>
  <si>
    <t>Talluri, Ravali</t>
  </si>
  <si>
    <t>Tanniru, Malakondaiah</t>
  </si>
  <si>
    <t>Terry, Kevin</t>
  </si>
  <si>
    <t>Thakur, Shafali</t>
  </si>
  <si>
    <t>Thanaphal, Sridaran</t>
  </si>
  <si>
    <t>Thangaraj, ManishPrabhu</t>
  </si>
  <si>
    <t>Thatikonda, Harish</t>
  </si>
  <si>
    <t>Thirukkaman, Vijay</t>
  </si>
  <si>
    <t>Thomas George, Shajo</t>
  </si>
  <si>
    <t>Torrikonda, Sachin Krishna</t>
  </si>
  <si>
    <t>Tottimpudi, Muralikrishna</t>
  </si>
  <si>
    <t>Upreti, Nitin</t>
  </si>
  <si>
    <t>Ur Rahman, Najeeb</t>
  </si>
  <si>
    <t>V M, Praveen Kumar</t>
  </si>
  <si>
    <t>Vaidya, Ranjana Verma</t>
  </si>
  <si>
    <t>Vallabhaneni, Kavitha</t>
  </si>
  <si>
    <t>Vallepu, Swathi</t>
  </si>
  <si>
    <t>Vanapalli, Vamsi</t>
  </si>
  <si>
    <t>Vare, Nilam Anandrao</t>
  </si>
  <si>
    <t>Vedula, Nagshree Rao</t>
  </si>
  <si>
    <t>Vigrahala, Prasad Kumar</t>
  </si>
  <si>
    <t>Vinayreddy, Pabbathireddy</t>
  </si>
  <si>
    <t>Vishaal, Yuvan</t>
  </si>
  <si>
    <t>Vonteddu, Ramya</t>
  </si>
  <si>
    <t>Newark, CA, US</t>
  </si>
  <si>
    <t>Wategaonkar, Parul</t>
  </si>
  <si>
    <t>Y, Anuhya</t>
  </si>
  <si>
    <t>Y, Chandrakanth Reddy</t>
  </si>
  <si>
    <t>Yadav, Mahendra Kumar</t>
  </si>
  <si>
    <t>Yadav, Varun</t>
  </si>
  <si>
    <t>YC, Madan</t>
  </si>
  <si>
    <t>0, Job</t>
  </si>
  <si>
    <t>HR - India</t>
  </si>
  <si>
    <t>Corporate</t>
  </si>
  <si>
    <t>NA</t>
  </si>
  <si>
    <t>Abhinetri, Chilukuru</t>
  </si>
  <si>
    <t>Legal</t>
  </si>
  <si>
    <t>Legal Counsel</t>
  </si>
  <si>
    <t>Abrol, Shikha</t>
  </si>
  <si>
    <t>Talent Acquisition - IN</t>
  </si>
  <si>
    <t>Akhter, Talib</t>
  </si>
  <si>
    <t>Business Operations</t>
  </si>
  <si>
    <t>Boggula, Anil</t>
  </si>
  <si>
    <t>Finance</t>
  </si>
  <si>
    <t>Chetri, Manoj</t>
  </si>
  <si>
    <t>Sales</t>
  </si>
  <si>
    <t>Chintamaneni, Sai Charan Teja</t>
  </si>
  <si>
    <t>Presales</t>
  </si>
  <si>
    <t>Cooper, Jennifer</t>
  </si>
  <si>
    <t>Georgia, US</t>
  </si>
  <si>
    <t>Marketing</t>
  </si>
  <si>
    <t>Davis, Keith</t>
  </si>
  <si>
    <t>Customer Success Management</t>
  </si>
  <si>
    <t>Detloff, Jeffrey</t>
  </si>
  <si>
    <t>Dommati, Sai Srujan Kumar</t>
  </si>
  <si>
    <t>Management</t>
  </si>
  <si>
    <t>Grover, Piyush</t>
  </si>
  <si>
    <t>Guntupalli, Sai Kiran</t>
  </si>
  <si>
    <t>Gupta, Pankaj</t>
  </si>
  <si>
    <t>Guwada, Vinay Srikant</t>
  </si>
  <si>
    <t>Hariyappa, Manjuladevi</t>
  </si>
  <si>
    <t>Howarth, Andrew</t>
  </si>
  <si>
    <t>California, US</t>
  </si>
  <si>
    <t>Senior Director, Enterprise Accounts</t>
  </si>
  <si>
    <t>Imtiaz, Abood</t>
  </si>
  <si>
    <t>Inakurthi, Satyavathi</t>
  </si>
  <si>
    <t>Jain, Jainsee</t>
  </si>
  <si>
    <t>Jaketia, Arpit</t>
  </si>
  <si>
    <t>Jayashetty, Vaibhav</t>
  </si>
  <si>
    <t>Finance - NA</t>
  </si>
  <si>
    <t>K, Chandu</t>
  </si>
  <si>
    <t>K, Swetha</t>
  </si>
  <si>
    <t>Kabra, Kailash</t>
  </si>
  <si>
    <t>Kamatham, Swapna</t>
  </si>
  <si>
    <t>Talent Acquisition - NA</t>
  </si>
  <si>
    <t>Kide, Pankaj</t>
  </si>
  <si>
    <t>Kolli, Prasanth</t>
  </si>
  <si>
    <t>Komanduru, Krishna Kanth</t>
  </si>
  <si>
    <t>Kumar, Andrajula Uthez</t>
  </si>
  <si>
    <t>Kumar, Pankaj</t>
  </si>
  <si>
    <t>Kundu, Puspanjali</t>
  </si>
  <si>
    <t>Test</t>
  </si>
  <si>
    <t>HRBP</t>
  </si>
  <si>
    <t>Mandewalker, Shilpee</t>
  </si>
  <si>
    <t>Maqsood, Kasafa</t>
  </si>
  <si>
    <t>Martino, Daniel</t>
  </si>
  <si>
    <t>EX1</t>
  </si>
  <si>
    <t>Mehta, Paraag</t>
  </si>
  <si>
    <t>Minz, Deepshikha</t>
  </si>
  <si>
    <t>Muthamshetty Venkata, Srinivas Rao</t>
  </si>
  <si>
    <t>Nadaf, Sanya</t>
  </si>
  <si>
    <t>Nakka, Sanjeev</t>
  </si>
  <si>
    <t>Administration</t>
  </si>
  <si>
    <t>Olsen, Kara</t>
  </si>
  <si>
    <t>People Operations - NA</t>
  </si>
  <si>
    <t>Ortiz, Ana</t>
  </si>
  <si>
    <t>Padige, Vani</t>
  </si>
  <si>
    <t>Pattanaik, Pritam</t>
  </si>
  <si>
    <t>Pattnaik, Amrita</t>
  </si>
  <si>
    <t>Preethi, Neeli</t>
  </si>
  <si>
    <t>Pujari, Madhu</t>
  </si>
  <si>
    <t>Puli, Harika</t>
  </si>
  <si>
    <t>Rachakonda, Praveen</t>
  </si>
  <si>
    <t>Ramamoorthy, Poornima</t>
  </si>
  <si>
    <t>Reddy, Teja</t>
  </si>
  <si>
    <t>ReddyMallepalli, Raghavendar</t>
  </si>
  <si>
    <t>Rollert, Barton</t>
  </si>
  <si>
    <t>Director, Enterprise Accounts</t>
  </si>
  <si>
    <t>Sankari, Vittal</t>
  </si>
  <si>
    <t>Schmitt, Jeffrey</t>
  </si>
  <si>
    <t>Sen, Saurav</t>
  </si>
  <si>
    <t>COO</t>
  </si>
  <si>
    <t>Siddiqui, Ahmad Faraz</t>
  </si>
  <si>
    <t>Sinclair, Robert</t>
  </si>
  <si>
    <t>Swain, Supriya</t>
  </si>
  <si>
    <t>Sweeney, Matthew</t>
  </si>
  <si>
    <t>New York, US</t>
  </si>
  <si>
    <t>Talla, Gangasagar</t>
  </si>
  <si>
    <t>Vadlamudi, Shivananda</t>
  </si>
  <si>
    <t>Valluri, Vinay</t>
  </si>
  <si>
    <t>Venkatesh, Kalaboina </t>
  </si>
  <si>
    <t>Vere, Rajasekhar</t>
  </si>
  <si>
    <t>Verma, Manisha</t>
  </si>
  <si>
    <t>Wesley, Richard</t>
  </si>
  <si>
    <t>Abdinur, Katra</t>
  </si>
  <si>
    <t>Delivery Lead</t>
  </si>
  <si>
    <t>Abrol, Kanika</t>
  </si>
  <si>
    <t>TADigital India Consulting</t>
  </si>
  <si>
    <t>Akash, Abhinav</t>
  </si>
  <si>
    <t>Ayush, Aman Deep</t>
  </si>
  <si>
    <t>Banerjee, Shiv</t>
  </si>
  <si>
    <t>Bhati, Damini</t>
  </si>
  <si>
    <t>Binwade, Ajinkya</t>
  </si>
  <si>
    <t>Dasa, Harish Kumar</t>
  </si>
  <si>
    <t>Delivery Senior Manager</t>
  </si>
  <si>
    <t>De Bruin, Christina</t>
  </si>
  <si>
    <t>Gangwani, Sunny</t>
  </si>
  <si>
    <t>Gresham, Rebekah</t>
  </si>
  <si>
    <t>Jain, Anusha</t>
  </si>
  <si>
    <t>Joseph, Mathew Asbon Esra</t>
  </si>
  <si>
    <t>Joshi, Mahesh</t>
  </si>
  <si>
    <t>Katara, Chandrakant</t>
  </si>
  <si>
    <t>Katram, Swapna</t>
  </si>
  <si>
    <t>Kaushal, Aishwarya</t>
  </si>
  <si>
    <t>Manjrekar, Aniket</t>
  </si>
  <si>
    <t>Manudhane, Abhishek</t>
  </si>
  <si>
    <t>Nagarajan, Rajesh</t>
  </si>
  <si>
    <t>Narsupalli, Sridhar</t>
  </si>
  <si>
    <t>Nookala, Nagesh Kumar</t>
  </si>
  <si>
    <t>Panda, Deepak</t>
  </si>
  <si>
    <t>Pandey, Anirudh</t>
  </si>
  <si>
    <t>Parikh, Gaurav</t>
  </si>
  <si>
    <t>Paul, Saptarshi</t>
  </si>
  <si>
    <t>Pradhan, Sudhanshu</t>
  </si>
  <si>
    <t>Rai, Prateek</t>
  </si>
  <si>
    <t>Rajamannar, Prakash</t>
  </si>
  <si>
    <t>Rangnekar, Raj</t>
  </si>
  <si>
    <t>Rastogi, Rohit Kumar</t>
  </si>
  <si>
    <t>Robinette, Jessica</t>
  </si>
  <si>
    <t>Rout, Sanket</t>
  </si>
  <si>
    <t>Sawhney, Hardik</t>
  </si>
  <si>
    <t>Sehgal, Nova</t>
  </si>
  <si>
    <t>Sharma, Madhup</t>
  </si>
  <si>
    <t>Sharma, Rohit</t>
  </si>
  <si>
    <t>Sundar, Ganesh</t>
  </si>
  <si>
    <t>Tinaza, Michael</t>
  </si>
  <si>
    <t>Trotta, John</t>
  </si>
  <si>
    <t>South Carolina, US</t>
  </si>
  <si>
    <t>Turlapati, Naga Krishna Mohan</t>
  </si>
  <si>
    <t>V V R, Naga Prakash Rao</t>
  </si>
  <si>
    <t>VS Maddali, Krishna Harish</t>
  </si>
  <si>
    <t>Bommagani, Kalyan</t>
  </si>
  <si>
    <t>D, Anil Kumar</t>
  </si>
  <si>
    <t>Darbha, Venkata Sai Praneeth</t>
  </si>
  <si>
    <t>L2 / B1| Engineer</t>
  </si>
  <si>
    <t>Dave, Jiten</t>
  </si>
  <si>
    <t>Davies, Rachel</t>
  </si>
  <si>
    <t>Utah, US</t>
  </si>
  <si>
    <t>TADigital NA Consulting | Content</t>
  </si>
  <si>
    <t>Fahd, Mohamed</t>
  </si>
  <si>
    <t>Fox Rodriguez, Abby</t>
  </si>
  <si>
    <t>Jha, Deepali</t>
  </si>
  <si>
    <t>Joyce, R Pearly</t>
  </si>
  <si>
    <t>Kallakuri, Prudhiviraj</t>
  </si>
  <si>
    <t>Koneti, Kasinath</t>
  </si>
  <si>
    <t>L2 / B1-B3 | Senior Engineer</t>
  </si>
  <si>
    <t>Kotapati, Srilakshmi</t>
  </si>
  <si>
    <t>Kovvada, Veerabhadra Chary</t>
  </si>
  <si>
    <t>Mutchie, Shalyce</t>
  </si>
  <si>
    <t>Ohrt, Daryl</t>
  </si>
  <si>
    <t>Padhi, Nibedita</t>
  </si>
  <si>
    <t>L1 / A1-A3 | Associate Content Engineer</t>
  </si>
  <si>
    <t>Puri, Priya</t>
  </si>
  <si>
    <t>Raj, Antin Aquil</t>
  </si>
  <si>
    <t>Rajappan, Gokila</t>
  </si>
  <si>
    <t>S, Sridevi</t>
  </si>
  <si>
    <t>Saha, Dipayan</t>
  </si>
  <si>
    <t>Sardana, Hariom</t>
  </si>
  <si>
    <t>Saroj, Shyamlal</t>
  </si>
  <si>
    <t>Shakeel, Mohammad</t>
  </si>
  <si>
    <t>Shakir, Md</t>
  </si>
  <si>
    <t>Steckler, Melissa</t>
  </si>
  <si>
    <t>Louisiana, US</t>
  </si>
  <si>
    <t>Sypireddi, Ganesh</t>
  </si>
  <si>
    <t>L2 / B1-B2 | Designer</t>
  </si>
  <si>
    <t>Varghese, Juby</t>
  </si>
  <si>
    <t>Vutla, Sujatha</t>
  </si>
  <si>
    <t>Akula, Ravikiran</t>
  </si>
  <si>
    <t>B, Sanjay</t>
  </si>
  <si>
    <t>B, Sudha Suneetha</t>
  </si>
  <si>
    <t>Chandra Reddy, Seerapu V V S D H</t>
  </si>
  <si>
    <t>Chhabra, Romit</t>
  </si>
  <si>
    <t>Chilarapu, Vamshi Krishna</t>
  </si>
  <si>
    <t>D, Sateesh</t>
  </si>
  <si>
    <t>Das, Panna</t>
  </si>
  <si>
    <t>Datti, Lalitha</t>
  </si>
  <si>
    <t>Duddala, Sahithi</t>
  </si>
  <si>
    <t>Dwivedi, Neeraj Kumar</t>
  </si>
  <si>
    <t>Gorai, Chandrakant</t>
  </si>
  <si>
    <t>Gupta, Ramniwas</t>
  </si>
  <si>
    <t>Gupta, Samridhi</t>
  </si>
  <si>
    <t>Jain, Arushi</t>
  </si>
  <si>
    <t>Janaki Ramudu, Kagitha</t>
  </si>
  <si>
    <t>Kamboj, Akangsha</t>
  </si>
  <si>
    <t>Kumar, Rahul</t>
  </si>
  <si>
    <t>Mishra, Subhakanta</t>
  </si>
  <si>
    <t>Naguri, Sunil Karthik</t>
  </si>
  <si>
    <t>Negi, Kartik</t>
  </si>
  <si>
    <t>Niranjan Nagarare, Sachinkumar</t>
  </si>
  <si>
    <t>Niveditha, Gaddikopula</t>
  </si>
  <si>
    <t>Pantham, Aditya Naveen</t>
  </si>
  <si>
    <t>Parmar, Vishal Natwarlal</t>
  </si>
  <si>
    <t>R, Lijuraj</t>
  </si>
  <si>
    <t>Rahul, Jakkampudi Varun</t>
  </si>
  <si>
    <t>Sadanaveni, Srinivas</t>
  </si>
  <si>
    <t>Sharma, Hemant</t>
  </si>
  <si>
    <t>Sharma, Saumya</t>
  </si>
  <si>
    <t>Singh, Raghuvendra</t>
  </si>
  <si>
    <t>Srikonda, Ananthnag</t>
  </si>
  <si>
    <t>Sudarsaan, G</t>
  </si>
  <si>
    <t>Suresh, R</t>
  </si>
  <si>
    <t>T R, Reneesh</t>
  </si>
  <si>
    <t>Vempati, Sai Mrudula Vani</t>
  </si>
  <si>
    <t>Vohra, Shubham</t>
  </si>
  <si>
    <t>Yarramsetti, Sujatha</t>
  </si>
  <si>
    <t>Korastin, Alexandra</t>
  </si>
  <si>
    <t>TADigital NA Consulting | Management Consulting</t>
  </si>
  <si>
    <t>White, Hilary</t>
  </si>
  <si>
    <t>Maine, US</t>
  </si>
  <si>
    <t>Agarwal, Subham</t>
  </si>
  <si>
    <t>Asha Begum, Shaik</t>
  </si>
  <si>
    <t>Datta, Vaishali</t>
  </si>
  <si>
    <t>Salesforce QA</t>
  </si>
  <si>
    <t>Dutta, Debojyoti</t>
  </si>
  <si>
    <t>Gibbons III, Cletis</t>
  </si>
  <si>
    <t>Haindhavi, Kasthuri</t>
  </si>
  <si>
    <t>Hartman, Neal</t>
  </si>
  <si>
    <t>Illinois, US</t>
  </si>
  <si>
    <t>Karthik, Mergu</t>
  </si>
  <si>
    <t>Kunala, Veera Prathap Reddy</t>
  </si>
  <si>
    <t>Muniandi Kumaraiah, Amarnath</t>
  </si>
  <si>
    <t>Polapally, Sanjana</t>
  </si>
  <si>
    <t>Poola, Swapna</t>
  </si>
  <si>
    <t>Rajan, Athira</t>
  </si>
  <si>
    <t>Reddy Teluguntla, Dileep</t>
  </si>
  <si>
    <t>Tellakula, Nitish</t>
  </si>
  <si>
    <t>Wu, Jesse</t>
  </si>
  <si>
    <t>Bondarwad, Neha</t>
  </si>
  <si>
    <t>Data and AI</t>
  </si>
  <si>
    <t>Technology Solutions</t>
  </si>
  <si>
    <t>Department2</t>
  </si>
  <si>
    <t>Sub-Platform</t>
  </si>
  <si>
    <t>Ensure all information requested in the Commercial Business Review sheet is entered</t>
  </si>
  <si>
    <t>There are manual entry and drop down questions on the CRB page that require manual input. Not all data on that page is automatic entry.</t>
  </si>
  <si>
    <t>Project % Complete by Hours</t>
  </si>
  <si>
    <t>3. FINANCIAL INPUTS</t>
  </si>
  <si>
    <t>Review your total resource revenue and cost.</t>
  </si>
  <si>
    <t>Credentities</t>
  </si>
  <si>
    <t>Select Response</t>
  </si>
  <si>
    <t>OPTIONAL: If you are evaluating options for the project's scope enter a name for each option below.</t>
  </si>
  <si>
    <t>[Enter Estimated Bucket 1]</t>
  </si>
  <si>
    <t>[Enter Estimated Bucket 2]</t>
  </si>
  <si>
    <t>[Enter Estimated Bucket 3]</t>
  </si>
  <si>
    <t>[Enter Estimated Bucket 4]</t>
  </si>
  <si>
    <t>[Enter Estimated Bucket 5]</t>
  </si>
  <si>
    <t>[Enter Estimated Bucket 6]</t>
  </si>
  <si>
    <t>Please manually enter number of weeks in 1.Project Inputs in cell C26</t>
  </si>
  <si>
    <t>The tool requires an entry of weeks to accurately calculate pricing. The tool will not automatically know your duration if you used Scope Estimation. You still need to enter weeks in the Project Inputs tab.</t>
  </si>
  <si>
    <t>This table gives a quick snapshot of project data points.</t>
  </si>
  <si>
    <t>4. Overview of the Tool</t>
  </si>
  <si>
    <t>- Change in Project that is not within an allotted contingency</t>
  </si>
  <si>
    <t>Enter Contingency, review Margin, and include other financial impacts from Discounts, Expenses, Accelerators, and Investments. The Margin here will be reviewed to ensure the project is in line with global standards. 
OPTIONAL:  Add in assumptions or notes for the Commercial Review Board (CRB).</t>
  </si>
  <si>
    <t xml:space="preserve">OPTIONAL:  If you need to calculate a contingency based on a percentage of the expected revenue, use one of the methods below. </t>
  </si>
  <si>
    <t>REQUIRED:  Review your current margin against the Margin Target. Your Resource Margin is calculated only using resource revenue and resource cost.</t>
  </si>
  <si>
    <t>3. Come back to this tab "3. Financial Inputs" to check the new Resource Margin based on your adjustments to Custom Override Rate ($/Hr.).</t>
  </si>
  <si>
    <t>Use this tab to enter Contingency, review Margin, and add other financial impacts from  Discounts, Expenses, Accelerators, Investments.    Add assumptions or notes to the CRB.</t>
  </si>
  <si>
    <t xml:space="preserve"> At this point in the project lifecycle, the Holidays are estimates and cannot be confirmed until staffing is complete and the regional holidays are confirmed. For example: if you have a LATAM role, the holidays will differ between a Costa Rica or Colombia team member.  Over forecasting revenue due to unaccounted for PTO and Holidays impacts our ability to accurately forecast revenue.</t>
  </si>
  <si>
    <t>Note: This will auto populate, fill out expense information on tab "3. Financial Inputs"</t>
  </si>
  <si>
    <t>4. SUMMARY &amp; TOTALS</t>
  </si>
  <si>
    <t>2.2 Project Management At a Glance</t>
  </si>
  <si>
    <t>The ROPE will handle revenue for projects differently depending on what type of project you have. The ROPE integration will also send the revenue amount to a different field in Projector depending on if it is Fixed Fee or T&amp;M, for example.</t>
  </si>
  <si>
    <t>Prepare The ROPE for the Commercial Review Board process by reviewing the project's metrics and entering additional information for the Board. Not all projects will require review by the CRB, but all projects must complete all fields on this tab.  If the content requires review by the CRB, the ROPE will be automatically sent to them during the upload process.</t>
  </si>
  <si>
    <t>Manually enter a generalized grouping of the work effort to estimate at a line-item level. Enter as many lines as needed for your project. Examples of buckets include: Front-End Development, Mobile, Automation, User Interviews</t>
  </si>
  <si>
    <t xml:space="preserve">Review Section 3 (Schedule Chart)'s auto populated information based on hrs./wk. and project duration in Section 2 (Roles and Pricing Details).   </t>
  </si>
  <si>
    <t>The details of the Roles in this section will be used to calculate revenue and margin for this project. By entering a Role Type below, the tool will populate a default level for the resource with its corresponding rate.</t>
  </si>
  <si>
    <t>OPTIONAL:  To explore other pricing options, override the default level by manually entering the desired level in Column M. To revert back the default level, drag the formula back over your edited cell.</t>
  </si>
  <si>
    <t>To calculate the total bid to include a desired percentage contingency, enter that percentage in the "% Method" table below.</t>
  </si>
  <si>
    <t>2. To change the margin by manipulating the resources' rates, go back to tab "2. Roles &amp; Pricing" Custom Override Rate ($/Hr.) column in the Resource Summary table to reenter and adjust rates. You cannot manually override margin on this tab without adjusting your resource rates to create a new resource revenue number.</t>
  </si>
  <si>
    <t>Select from drop down on tab "1. Project Inputs". Please see QRG on RPE Portal Page for explanation on Margin Class</t>
  </si>
  <si>
    <t xml:space="preserve">Added Contingency % </t>
  </si>
  <si>
    <r>
      <t xml:space="preserve">Specialization 
</t>
    </r>
    <r>
      <rPr>
        <b/>
        <sz val="10"/>
        <color theme="1"/>
        <rFont val="Lato Regular"/>
      </rPr>
      <t>(Digital Only)</t>
    </r>
  </si>
  <si>
    <t>SOW Cheat Sheet (READ ONLY)</t>
  </si>
  <si>
    <t>Project Management (READ ONLY)</t>
  </si>
  <si>
    <t>Upload Destination</t>
  </si>
  <si>
    <t>Other Credera Entities Involved</t>
  </si>
  <si>
    <t>helper</t>
  </si>
  <si>
    <t>L2 / B1-B2 | Associate Engineer</t>
  </si>
  <si>
    <t>L2 / B1-B2 | Engineer</t>
  </si>
  <si>
    <t>L2 / B1-B2 | Associate Content Engineer</t>
  </si>
  <si>
    <t>L2 / B1-B2 | Content Engineer</t>
  </si>
  <si>
    <t>L2 / B1-B2 | Strategist</t>
  </si>
  <si>
    <t>L2 / B1-B2 | Consultant</t>
  </si>
  <si>
    <t>L2 / B1-B2 | Associate QA Engineer</t>
  </si>
  <si>
    <t>L2 / B1-B2 | Business Analyst</t>
  </si>
  <si>
    <t>Credera US Consulting - L2 / B1-B2 | Consultant</t>
  </si>
  <si>
    <t>Credera US Digital - L2 / B1-B2 | Consultant</t>
  </si>
  <si>
    <t>OPTIONAL: If you are using an approach with Bucket / Phase labels in the table below, select the Bucket/Phase drop down in the last column of table 2</t>
  </si>
  <si>
    <t xml:space="preserve">5. Additional Project Components (Revenue Generating) </t>
  </si>
  <si>
    <t>2.3 Basic Financial Summary</t>
  </si>
  <si>
    <t>Complete Project Margin</t>
  </si>
  <si>
    <t>Enter Workstream</t>
  </si>
  <si>
    <t>Enter Child/Task</t>
  </si>
  <si>
    <t xml:space="preserve">just make this be equal </t>
  </si>
  <si>
    <t>these need to always match the dynamics role set-</t>
  </si>
  <si>
    <t xml:space="preserve">how do we do this- is this actually ever an issue? How </t>
  </si>
  <si>
    <t xml:space="preserve">do we point people to intercompany </t>
  </si>
  <si>
    <r>
      <t xml:space="preserve">The Schedule entered here is also being used to calculate the project's revenue and margin. This table auto populates based on the selection in </t>
    </r>
    <r>
      <rPr>
        <b/>
        <sz val="11"/>
        <color theme="1"/>
        <rFont val="Lato Regular"/>
      </rPr>
      <t>Section 2</t>
    </r>
    <r>
      <rPr>
        <sz val="11"/>
        <color theme="1"/>
        <rFont val="Lato Regular"/>
      </rPr>
      <t xml:space="preserve"> Roles and Pricing Details </t>
    </r>
    <r>
      <rPr>
        <b/>
        <sz val="11"/>
        <color theme="1"/>
        <rFont val="Lato Regular"/>
      </rPr>
      <t>Column R</t>
    </r>
    <r>
      <rPr>
        <sz val="11"/>
        <color theme="1"/>
        <rFont val="Lato Regular"/>
      </rPr>
      <t xml:space="preserve"> "Hr./Wk Allocation" and tab "</t>
    </r>
    <r>
      <rPr>
        <b/>
        <sz val="11"/>
        <color theme="1"/>
        <rFont val="Lato Regular"/>
      </rPr>
      <t xml:space="preserve">1. Project Inputs', </t>
    </r>
    <r>
      <rPr>
        <sz val="11"/>
        <color theme="1"/>
        <rFont val="Lato Regular"/>
      </rPr>
      <t>Duration (Weeks)" in</t>
    </r>
    <r>
      <rPr>
        <b/>
        <sz val="11"/>
        <color theme="1"/>
        <rFont val="Lato Regular"/>
      </rPr>
      <t xml:space="preserve"> Line 28</t>
    </r>
  </si>
  <si>
    <r>
      <t xml:space="preserve">Select the Organization each Role will be staffed from in </t>
    </r>
    <r>
      <rPr>
        <b/>
        <sz val="11"/>
        <color theme="1"/>
        <rFont val="Lato Regular"/>
      </rPr>
      <t>Column C</t>
    </r>
    <r>
      <rPr>
        <sz val="11"/>
        <color theme="1"/>
        <rFont val="Lato Regular"/>
      </rPr>
      <t>.</t>
    </r>
  </si>
  <si>
    <r>
      <t xml:space="preserve">For Digital projects only, select the Subplatform and Specializations in </t>
    </r>
    <r>
      <rPr>
        <b/>
        <sz val="11"/>
        <color theme="1"/>
        <rFont val="Lato Regular"/>
      </rPr>
      <t xml:space="preserve">Columns F </t>
    </r>
    <r>
      <rPr>
        <sz val="11"/>
        <color theme="1"/>
        <rFont val="Lato Regular"/>
      </rPr>
      <t>and</t>
    </r>
    <r>
      <rPr>
        <b/>
        <sz val="11"/>
        <color theme="1"/>
        <rFont val="Lato Regular"/>
      </rPr>
      <t xml:space="preserve"> H</t>
    </r>
    <r>
      <rPr>
        <sz val="11"/>
        <color theme="1"/>
        <rFont val="Lato Regular"/>
      </rPr>
      <t>.</t>
    </r>
  </si>
  <si>
    <r>
      <t xml:space="preserve">Select a Role Type in </t>
    </r>
    <r>
      <rPr>
        <b/>
        <sz val="11"/>
        <rFont val="Lato Regular"/>
      </rPr>
      <t>Column J</t>
    </r>
    <r>
      <rPr>
        <sz val="11"/>
        <rFont val="Lato Regular"/>
      </rPr>
      <t xml:space="preserve"> for the automation to populate the standard level associated with that role in </t>
    </r>
    <r>
      <rPr>
        <b/>
        <sz val="11"/>
        <rFont val="Lato Regular"/>
      </rPr>
      <t>Column N'</t>
    </r>
    <r>
      <rPr>
        <sz val="11"/>
        <rFont val="Lato Regular"/>
      </rPr>
      <t>s Resource Title and the rates for that level. The full list of Role Types can be viewed on the Rate Cards tab.</t>
    </r>
  </si>
  <si>
    <r>
      <t xml:space="preserve">Review that default level assignment in </t>
    </r>
    <r>
      <rPr>
        <b/>
        <sz val="11"/>
        <color theme="1"/>
        <rFont val="Lato Regular"/>
      </rPr>
      <t>Column N</t>
    </r>
    <r>
      <rPr>
        <sz val="11"/>
        <color theme="1"/>
        <rFont val="Lato Regular"/>
      </rPr>
      <t>.</t>
    </r>
  </si>
  <si>
    <r>
      <t xml:space="preserve">if your client has a custom rate card, use </t>
    </r>
    <r>
      <rPr>
        <b/>
        <sz val="11"/>
        <color theme="1"/>
        <rFont val="Lato Regular"/>
      </rPr>
      <t xml:space="preserve">Column S </t>
    </r>
    <r>
      <rPr>
        <sz val="11"/>
        <color theme="1"/>
        <rFont val="Lato Regular"/>
      </rPr>
      <t>to update the Custom Client Title.</t>
    </r>
  </si>
  <si>
    <r>
      <t xml:space="preserve">Manually enter the Hrs./Wk. Allocation for each role in </t>
    </r>
    <r>
      <rPr>
        <b/>
        <sz val="11"/>
        <color theme="1"/>
        <rFont val="Lato Regular"/>
      </rPr>
      <t>Column W.</t>
    </r>
    <r>
      <rPr>
        <sz val="11"/>
        <color theme="1"/>
        <rFont val="Lato Regular"/>
      </rPr>
      <t xml:space="preserve">
</t>
    </r>
  </si>
  <si>
    <r>
      <t xml:space="preserve">OPTIONAL:  To evaluate different pricing scenarios, click on the "+" above </t>
    </r>
    <r>
      <rPr>
        <b/>
        <sz val="11"/>
        <color theme="1"/>
        <rFont val="Lato Regular"/>
      </rPr>
      <t>Column AE</t>
    </r>
    <r>
      <rPr>
        <sz val="11"/>
        <color theme="1"/>
        <rFont val="Lato Regular"/>
      </rPr>
      <t xml:space="preserve"> and indicate role inclusion in each pricing scenario by selecting "yes/no."</t>
    </r>
  </si>
  <si>
    <r>
      <t xml:space="preserve">Enter required information in </t>
    </r>
    <r>
      <rPr>
        <b/>
        <sz val="11"/>
        <rFont val="Lato"/>
        <family val="2"/>
      </rPr>
      <t>Section 2 (</t>
    </r>
    <r>
      <rPr>
        <sz val="11"/>
        <rFont val="Lato"/>
        <family val="2"/>
      </rPr>
      <t>Roles and Pricing Details) for each Role on the project.</t>
    </r>
  </si>
  <si>
    <r>
      <t xml:space="preserve">Edit </t>
    </r>
    <r>
      <rPr>
        <b/>
        <sz val="11"/>
        <rFont val="Lato"/>
        <family val="2"/>
      </rPr>
      <t>Section 3</t>
    </r>
    <r>
      <rPr>
        <sz val="11"/>
        <rFont val="Lato"/>
        <family val="2"/>
      </rPr>
      <t xml:space="preserve"> as needed to adjust when roles should start/end or to override hours for resources that will ramp up or ramp down.</t>
    </r>
  </si>
  <si>
    <r>
      <t>Review</t>
    </r>
    <r>
      <rPr>
        <b/>
        <sz val="11"/>
        <rFont val="Lato"/>
        <family val="2"/>
      </rPr>
      <t xml:space="preserve"> Section 4 (</t>
    </r>
    <r>
      <rPr>
        <sz val="11"/>
        <rFont val="Lato"/>
        <family val="2"/>
      </rPr>
      <t xml:space="preserve">Resource Revenue) table and enter Custom Override Rates, if needed. </t>
    </r>
  </si>
  <si>
    <r>
      <t xml:space="preserve">OPTIONAL:  Reference </t>
    </r>
    <r>
      <rPr>
        <b/>
        <sz val="11"/>
        <rFont val="Lato"/>
        <family val="2"/>
      </rPr>
      <t>Section 5</t>
    </r>
    <r>
      <rPr>
        <sz val="11"/>
        <rFont val="Lato"/>
        <family val="2"/>
      </rPr>
      <t xml:space="preserve"> (Scope Schedule Helper Table) to see how many Remaining Hours you have based on your (Optional) Scope Estimation, and return to </t>
    </r>
    <r>
      <rPr>
        <b/>
        <sz val="11"/>
        <rFont val="Lato"/>
        <family val="2"/>
      </rPr>
      <t>Section 3</t>
    </r>
    <r>
      <rPr>
        <sz val="11"/>
        <rFont val="Lato"/>
        <family val="2"/>
      </rPr>
      <t xml:space="preserve"> if needed to adjust scheduled hours. </t>
    </r>
  </si>
  <si>
    <r>
      <t>READ ONLY -  This information is copied from tab "</t>
    </r>
    <r>
      <rPr>
        <b/>
        <sz val="11"/>
        <color theme="1"/>
        <rFont val="Lato Regular"/>
      </rPr>
      <t>1. Project Inputs</t>
    </r>
    <r>
      <rPr>
        <sz val="11"/>
        <color theme="1"/>
        <rFont val="Lato Regular"/>
      </rPr>
      <t>"</t>
    </r>
  </si>
  <si>
    <r>
      <t xml:space="preserve">This table summarizes the revenue and cost for each resource before any client discount and/or contingency.  The only editable field in this table is Custom Override Rate ($/Hr.) in </t>
    </r>
    <r>
      <rPr>
        <b/>
        <sz val="11"/>
        <color theme="1"/>
        <rFont val="Lato Regular"/>
      </rPr>
      <t>Column L</t>
    </r>
    <r>
      <rPr>
        <sz val="11"/>
        <color theme="1"/>
        <rFont val="Lato Regular"/>
      </rPr>
      <t>.</t>
    </r>
  </si>
  <si>
    <r>
      <t xml:space="preserve">For any Investment Resources, enter 0 into </t>
    </r>
    <r>
      <rPr>
        <b/>
        <sz val="11"/>
        <color theme="1"/>
        <rFont val="Lato Regular"/>
      </rPr>
      <t>Column L.</t>
    </r>
  </si>
  <si>
    <r>
      <t xml:space="preserve">OPTIONAL:  To customize a resource's revenue in order to meet your desired margin target, enter a Custom Override Rate in </t>
    </r>
    <r>
      <rPr>
        <b/>
        <sz val="11"/>
        <color theme="1"/>
        <rFont val="Lato Regular"/>
      </rPr>
      <t>Column L</t>
    </r>
    <r>
      <rPr>
        <sz val="11"/>
        <color theme="1"/>
        <rFont val="Lato Regular"/>
      </rPr>
      <t>.</t>
    </r>
  </si>
  <si>
    <r>
      <t xml:space="preserve">REQUIRED:  Enter general information for the project into </t>
    </r>
    <r>
      <rPr>
        <b/>
        <sz val="11"/>
        <rFont val="Lato Regular"/>
      </rPr>
      <t xml:space="preserve">Section 1 </t>
    </r>
    <r>
      <rPr>
        <sz val="11"/>
        <rFont val="Lato Regular"/>
      </rPr>
      <t>(Project Information)'s Project Details table. Different tables will become visible on this Tab based on your selection of Billing Entity.</t>
    </r>
  </si>
  <si>
    <r>
      <t xml:space="preserve">use </t>
    </r>
    <r>
      <rPr>
        <b/>
        <sz val="11"/>
        <color theme="1"/>
        <rFont val="Lato Regular"/>
      </rPr>
      <t>Section 2</t>
    </r>
    <r>
      <rPr>
        <sz val="11"/>
        <color theme="1"/>
        <rFont val="Lato Regular"/>
      </rPr>
      <t xml:space="preserve"> (Estimation Buckets)'s Project Estimation Buckets (work/scope) table</t>
    </r>
  </si>
  <si>
    <r>
      <t>use</t>
    </r>
    <r>
      <rPr>
        <b/>
        <sz val="11"/>
        <rFont val="Lato Regular"/>
      </rPr>
      <t xml:space="preserve"> Section 3</t>
    </r>
    <r>
      <rPr>
        <sz val="11"/>
        <rFont val="Lato Regular"/>
      </rPr>
      <t xml:space="preserve"> (Scope Option Names)'s Scope Options table to define names for scope options </t>
    </r>
  </si>
  <si>
    <t>Op1 WD</t>
  </si>
  <si>
    <t>Op2 WD</t>
  </si>
  <si>
    <t>Op3 WD</t>
  </si>
  <si>
    <t>Client Qs</t>
  </si>
  <si>
    <t>Bucket</t>
  </si>
  <si>
    <t>Workstream</t>
  </si>
  <si>
    <t>Child</t>
  </si>
  <si>
    <t>ED</t>
  </si>
  <si>
    <t>WED</t>
  </si>
  <si>
    <t xml:space="preserve">Use the table below to scope your project. Scoping a project will inform your project duration and the roles you allocate for your project. Project Estimation Buckets and Approach Names are populated automatically from your entry on 1. Project Inputs. </t>
  </si>
  <si>
    <t>- Note: This data will be leveraged in the high-level options analysis tab, 2. Roles &amp; Pricing, and subsequent overviews</t>
  </si>
  <si>
    <t>- To compare Scope Options, Use the Yes/No drop down in the table below to indicate if the task in the row should be included in the Approach Option.</t>
  </si>
  <si>
    <r>
      <t xml:space="preserve">This information is copied from tab </t>
    </r>
    <r>
      <rPr>
        <b/>
        <sz val="11"/>
        <color theme="1"/>
        <rFont val="Lato Regular"/>
      </rPr>
      <t>"1. Project Inputs"</t>
    </r>
    <r>
      <rPr>
        <sz val="11"/>
        <color theme="1"/>
        <rFont val="Lato Regular"/>
      </rPr>
      <t xml:space="preserve"> and is READ ONLY.</t>
    </r>
  </si>
  <si>
    <t xml:space="preserve">Use this table as a shortcut to get quick estimated Weighted Days for your project. </t>
  </si>
  <si>
    <t>Project Start Date</t>
  </si>
  <si>
    <t>- Evaluate estimates by option to determine best-fit solution for 2. Roles &amp; Pricing and follow instructions to refresh pivot tables</t>
  </si>
  <si>
    <t>Summary pivot tables need to be refreshed, right click table and hit refresh.</t>
  </si>
  <si>
    <t>task 2</t>
  </si>
  <si>
    <t>task 3</t>
  </si>
  <si>
    <t xml:space="preserve">task </t>
  </si>
  <si>
    <t>and other</t>
  </si>
  <si>
    <t>test</t>
  </si>
  <si>
    <t>test filter</t>
  </si>
  <si>
    <t>test again</t>
  </si>
  <si>
    <t>color test</t>
  </si>
  <si>
    <t>really?</t>
  </si>
  <si>
    <t>for real</t>
  </si>
  <si>
    <t>k</t>
  </si>
  <si>
    <t>why</t>
  </si>
  <si>
    <r>
      <t xml:space="preserve">There is </t>
    </r>
    <r>
      <rPr>
        <b/>
        <sz val="11"/>
        <color theme="1"/>
        <rFont val="Lato Regular"/>
      </rPr>
      <t xml:space="preserve">NO ACTION </t>
    </r>
    <r>
      <rPr>
        <sz val="11"/>
        <color theme="1"/>
        <rFont val="Lato Regular"/>
      </rPr>
      <t xml:space="preserve">is required on this tab. This is a </t>
    </r>
    <r>
      <rPr>
        <b/>
        <sz val="11"/>
        <color theme="1"/>
        <rFont val="Lato Regular"/>
      </rPr>
      <t>READ ONLY</t>
    </r>
    <r>
      <rPr>
        <sz val="11"/>
        <color theme="1"/>
        <rFont val="Lato Regular"/>
      </rPr>
      <t xml:space="preserve"> summary.</t>
    </r>
  </si>
  <si>
    <r>
      <t xml:space="preserve">REQUIRED:  Once you upload The ROPE into the destination system (Projector or Dynamics), you must go into that system and manually </t>
    </r>
    <r>
      <rPr>
        <sz val="11"/>
        <color theme="1"/>
        <rFont val="Lato Regular"/>
      </rPr>
      <t xml:space="preserve">remove the holiday time from the Forecast. </t>
    </r>
  </si>
  <si>
    <r>
      <t xml:space="preserve">Check the Import Readiness Status in </t>
    </r>
    <r>
      <rPr>
        <b/>
        <sz val="11"/>
        <color theme="1"/>
        <rFont val="Lato Regular"/>
      </rPr>
      <t xml:space="preserve">Section 1 </t>
    </r>
    <r>
      <rPr>
        <sz val="11"/>
        <color theme="1"/>
        <rFont val="Lato Regular"/>
      </rPr>
      <t>(Project Readiness Status).</t>
    </r>
  </si>
  <si>
    <r>
      <t xml:space="preserve">If Import Readiness Status is "Ready for Upload," then proceed to tab </t>
    </r>
    <r>
      <rPr>
        <b/>
        <sz val="11"/>
        <color theme="1"/>
        <rFont val="Lato Regular"/>
      </rPr>
      <t>"6. Commercial Business Review"</t>
    </r>
    <r>
      <rPr>
        <sz val="11"/>
        <color theme="1"/>
        <rFont val="Lato Regular"/>
      </rPr>
      <t xml:space="preserve"> before you upload into your destination system (Projector or Dynamics).</t>
    </r>
  </si>
  <si>
    <r>
      <t xml:space="preserve">If Import Readiness Status is "Not Ready for Upload," then go so </t>
    </r>
    <r>
      <rPr>
        <b/>
        <sz val="11"/>
        <color theme="1"/>
        <rFont val="Lato Regular"/>
      </rPr>
      <t xml:space="preserve">Section 2 </t>
    </r>
    <r>
      <rPr>
        <sz val="11"/>
        <color theme="1"/>
        <rFont val="Lato Regular"/>
      </rPr>
      <t>(Import Readiness Details) to review and determine what needs to be fixed/populated in order for the spreadsheet to be ready for upload.</t>
    </r>
  </si>
  <si>
    <r>
      <t xml:space="preserve">Note: 
- If you used </t>
    </r>
    <r>
      <rPr>
        <b/>
        <sz val="11"/>
        <color theme="1"/>
        <rFont val="Lato Regular"/>
      </rPr>
      <t>"2. Roles &amp; Pricing"</t>
    </r>
    <r>
      <rPr>
        <sz val="11"/>
        <color theme="1"/>
        <rFont val="Lato Regular"/>
      </rPr>
      <t xml:space="preserve"> tab and selected specific options as "yes" or "no" for different resources to evaluate pricing differences based on number, role, and level of resources - you can review the totals by option below
- The Financial Totals below do not account for Client Discounts or Added Accelerators. Please see </t>
    </r>
    <r>
      <rPr>
        <b/>
        <sz val="11"/>
        <color theme="1"/>
        <rFont val="Lato Regular"/>
      </rPr>
      <t>"3. Financial Inputs"</t>
    </r>
    <r>
      <rPr>
        <sz val="11"/>
        <color theme="1"/>
        <rFont val="Lato Regular"/>
      </rPr>
      <t xml:space="preserve"> tab for those values. </t>
    </r>
  </si>
  <si>
    <r>
      <t xml:space="preserve">-Use this tab to compare Pricing Scenarios. Use the drop downs in the expandable columns at the end of table 2. Roles on tab </t>
    </r>
    <r>
      <rPr>
        <b/>
        <sz val="11"/>
        <rFont val="Lato Regular"/>
      </rPr>
      <t>2. Roles &amp; Pricing</t>
    </r>
    <r>
      <rPr>
        <sz val="11"/>
        <rFont val="Lato Regular"/>
      </rPr>
      <t xml:space="preserve"> to utilize this function.
- Start by reviewing financials and resource breakdowns
- Determine which scenario is best-fit
</t>
    </r>
    <r>
      <rPr>
        <b/>
        <sz val="11"/>
        <rFont val="Lato Regular"/>
      </rPr>
      <t>- Go back to 2. Roles &amp; Pricing tab and remove all roles/resources NOT needed in final determined scenario, this ensures only the correct roles/schedules will be imported.The integration will not ignore a resource just because it is marked "No". You must delete unwanted roles.</t>
    </r>
  </si>
  <si>
    <t>Recommended Minimum Contingency</t>
  </si>
  <si>
    <t>Time &amp; Materials</t>
  </si>
  <si>
    <t>Time &amp; Materials, Not To Exceed</t>
  </si>
  <si>
    <t>Minumum Contingency Guidelines (READ ONLY)</t>
  </si>
  <si>
    <t>Contingency</t>
  </si>
  <si>
    <t>Please enter a contingency for your project on 3. Financial Inputs</t>
  </si>
  <si>
    <t>Contingency is evaluated by the CRB. Adding contingency protects our margin.</t>
  </si>
  <si>
    <t xml:space="preserve">Instructions: For this table, manually type the answer into all cells that begin with "Enter."  For all that begin with "Select," choose from the dropdown options provided. 
</t>
  </si>
  <si>
    <t>Note: Some fields will (dis)appear based on your selection of the Billing Entity.</t>
  </si>
  <si>
    <t>Other Credera Entities Involved?</t>
  </si>
  <si>
    <t>Total System Revenue</t>
  </si>
  <si>
    <t xml:space="preserve">The Project Margin listed below includes Contingency, Discounts, and Accelerators/ Investments. </t>
  </si>
  <si>
    <r>
      <t xml:space="preserve">Enter a Contingency % in </t>
    </r>
    <r>
      <rPr>
        <b/>
        <sz val="11"/>
        <color theme="1"/>
        <rFont val="Lato Regular"/>
      </rPr>
      <t>Section 1</t>
    </r>
    <r>
      <rPr>
        <sz val="11"/>
        <color theme="1"/>
        <rFont val="Lato Regular"/>
      </rPr>
      <t xml:space="preserve"> (Contingency). </t>
    </r>
  </si>
  <si>
    <r>
      <t xml:space="preserve">OPTIONAL:  If you need to calculate a contingency based on a percentage of the expected revenue, use of </t>
    </r>
    <r>
      <rPr>
        <b/>
        <sz val="11"/>
        <color theme="1"/>
        <rFont val="Lato Regular"/>
      </rPr>
      <t>Section 1.1 (</t>
    </r>
    <r>
      <rPr>
        <sz val="11"/>
        <color theme="1"/>
        <rFont val="Lato Regular"/>
      </rPr>
      <t>Contingency Calculators).</t>
    </r>
  </si>
  <si>
    <r>
      <t xml:space="preserve">Review Resource Margin against Margin Target in </t>
    </r>
    <r>
      <rPr>
        <b/>
        <sz val="11"/>
        <color theme="1"/>
        <rFont val="Lato Regular"/>
      </rPr>
      <t>Section 2</t>
    </r>
    <r>
      <rPr>
        <sz val="11"/>
        <color theme="1"/>
        <rFont val="Lato Regular"/>
      </rPr>
      <t xml:space="preserve"> (Margin Confirmation) to ensure Resource Margin is in-line with your expectations. You will be held accountable to this margin.</t>
    </r>
  </si>
  <si>
    <r>
      <t xml:space="preserve">OPTIONAL: If Resource Margin does not match the target %, follow the instructions in </t>
    </r>
    <r>
      <rPr>
        <b/>
        <sz val="11"/>
        <color theme="1"/>
        <rFont val="Lato Regular"/>
      </rPr>
      <t>Section 2</t>
    </r>
    <r>
      <rPr>
        <sz val="11"/>
        <color theme="1"/>
        <rFont val="Lato Regular"/>
      </rPr>
      <t xml:space="preserve"> to make the adjustments needed.</t>
    </r>
  </si>
  <si>
    <r>
      <t xml:space="preserve">OPTIONAL: Fill out </t>
    </r>
    <r>
      <rPr>
        <b/>
        <sz val="11"/>
        <color theme="1"/>
        <rFont val="Lato Regular"/>
      </rPr>
      <t>Section 3</t>
    </r>
    <r>
      <rPr>
        <sz val="11"/>
        <color theme="1"/>
        <rFont val="Lato Regular"/>
      </rPr>
      <t xml:space="preserve"> (Client Discount), </t>
    </r>
    <r>
      <rPr>
        <b/>
        <sz val="11"/>
        <color theme="1"/>
        <rFont val="Lato Regular"/>
      </rPr>
      <t>Section 4</t>
    </r>
    <r>
      <rPr>
        <sz val="11"/>
        <color theme="1"/>
        <rFont val="Lato Regular"/>
      </rPr>
      <t xml:space="preserve"> (Estimated Project Expenses), </t>
    </r>
    <r>
      <rPr>
        <b/>
        <sz val="11"/>
        <color theme="1"/>
        <rFont val="Lato Regular"/>
      </rPr>
      <t>Section 5</t>
    </r>
    <r>
      <rPr>
        <sz val="11"/>
        <color theme="1"/>
        <rFont val="Lato Regular"/>
      </rPr>
      <t xml:space="preserve"> (Additional Project Components), and </t>
    </r>
    <r>
      <rPr>
        <b/>
        <sz val="11"/>
        <color theme="1"/>
        <rFont val="Lato Regular"/>
      </rPr>
      <t>Section 6</t>
    </r>
    <r>
      <rPr>
        <sz val="11"/>
        <color theme="1"/>
        <rFont val="Lato Regular"/>
      </rPr>
      <t xml:space="preserve"> (Project Level Assumptions) as desired / if you have enough information</t>
    </r>
  </si>
  <si>
    <r>
      <t>If you need to calculate the required Contingency to meet a desired Total Bid, enter that amount into the "</t>
    </r>
    <r>
      <rPr>
        <b/>
        <sz val="11"/>
        <color theme="1"/>
        <rFont val="Lato Regular"/>
      </rPr>
      <t>Revenue Method</t>
    </r>
    <r>
      <rPr>
        <sz val="11"/>
        <color theme="1"/>
        <rFont val="Lato Regular"/>
      </rPr>
      <t>" table below.</t>
    </r>
  </si>
  <si>
    <r>
      <t xml:space="preserve">1. Use the </t>
    </r>
    <r>
      <rPr>
        <b/>
        <sz val="11"/>
        <color theme="1"/>
        <rFont val="Lato Regular"/>
      </rPr>
      <t>Bidding Guide &amp; Margins</t>
    </r>
    <r>
      <rPr>
        <sz val="11"/>
        <color theme="1"/>
        <rFont val="Lato Regular"/>
      </rPr>
      <t xml:space="preserve"> table to identify the project's Target Revenue.</t>
    </r>
  </si>
  <si>
    <r>
      <t xml:space="preserve">Client Discounts are </t>
    </r>
    <r>
      <rPr>
        <b/>
        <sz val="11"/>
        <rFont val="Lato Regular"/>
      </rPr>
      <t>OPTIONAL</t>
    </r>
    <r>
      <rPr>
        <sz val="11"/>
        <rFont val="Lato Regular"/>
      </rPr>
      <t xml:space="preserve">.  Any Client Discounts added here will update the financial summaries on </t>
    </r>
    <r>
      <rPr>
        <b/>
        <sz val="11"/>
        <rFont val="Lato Regular"/>
      </rPr>
      <t>4. Summary &amp; Totals</t>
    </r>
    <r>
      <rPr>
        <sz val="11"/>
        <rFont val="Lato Regular"/>
      </rPr>
      <t xml:space="preserve">  table </t>
    </r>
    <r>
      <rPr>
        <b/>
        <sz val="11"/>
        <rFont val="Lato Regular"/>
      </rPr>
      <t>2.3</t>
    </r>
    <r>
      <rPr>
        <sz val="11"/>
        <rFont val="Lato Regular"/>
      </rPr>
      <t>, and the discount will be applied to the project in the destination system (Projector or Dynamics)</t>
    </r>
  </si>
  <si>
    <r>
      <t xml:space="preserve">Accelerators and Investments are </t>
    </r>
    <r>
      <rPr>
        <b/>
        <sz val="11"/>
        <color theme="1"/>
        <rFont val="Lato Regular"/>
      </rPr>
      <t>OPTIONAL</t>
    </r>
    <r>
      <rPr>
        <sz val="11"/>
        <color theme="1"/>
        <rFont val="Lato Regular"/>
      </rPr>
      <t>. An Example of an "investment" would be an AI Workshop that we are giving the client "for free" but will recoup the cost in this SOW to recover lost account margin.</t>
    </r>
  </si>
  <si>
    <r>
      <t>Any Accelerator or Investment added here WILL update the project's financial summaries on tab "</t>
    </r>
    <r>
      <rPr>
        <b/>
        <sz val="11"/>
        <color theme="1"/>
        <rFont val="Lato Regular"/>
      </rPr>
      <t>4. Summary &amp; Totals</t>
    </r>
    <r>
      <rPr>
        <sz val="11"/>
        <color theme="1"/>
        <rFont val="Lato Regular"/>
      </rPr>
      <t>"</t>
    </r>
  </si>
  <si>
    <t>Enter a Contingency %. Contingency protects Credera margin by building in revenue cap for any additional work needed to deliver a project. 
Reference the Minimum Contingency Guidelines below for best practice minimum contingency amounts by project billing type</t>
  </si>
  <si>
    <t>Total Billable Expenses</t>
  </si>
  <si>
    <t>Total Non-Billable Expenses</t>
  </si>
  <si>
    <t>Total Investment Cost</t>
  </si>
  <si>
    <t>Financial Totals- Cost</t>
  </si>
  <si>
    <t>Cost Totals</t>
  </si>
  <si>
    <t>Financial Totals- Revenue</t>
  </si>
  <si>
    <t>Accelerators</t>
  </si>
  <si>
    <t>TOTAL REVENUE</t>
  </si>
  <si>
    <t>Resource Revenue</t>
  </si>
  <si>
    <t>Resource Breakdown</t>
  </si>
  <si>
    <t>7. Margin Analysis</t>
  </si>
  <si>
    <t>This is a deep dive into your project margin broken down by level and region.</t>
  </si>
  <si>
    <t>Roles</t>
  </si>
  <si>
    <t>.NET CDP</t>
  </si>
  <si>
    <t>Optimizely CMS</t>
  </si>
  <si>
    <t>Sitecore Search</t>
  </si>
  <si>
    <t>Acquia BA</t>
  </si>
  <si>
    <t>Strategy</t>
  </si>
  <si>
    <t>Insights and Strategy</t>
  </si>
  <si>
    <t>MACH BA</t>
  </si>
  <si>
    <t>Security and Privacy</t>
  </si>
  <si>
    <t>Experience_Design</t>
  </si>
  <si>
    <t>Management_Consulting</t>
  </si>
  <si>
    <t>Technology_Solutions</t>
  </si>
  <si>
    <t>Adobe_DevOps</t>
  </si>
  <si>
    <t>Adobe_QA</t>
  </si>
  <si>
    <t>Adobe_UI</t>
  </si>
  <si>
    <t>Frontend_Development</t>
  </si>
  <si>
    <t>Insights_and_Strategy</t>
  </si>
  <si>
    <t>MACH_Commerce</t>
  </si>
  <si>
    <t>MACH_Content</t>
  </si>
  <si>
    <t>MACH_DevOps</t>
  </si>
  <si>
    <t>MACH_QA</t>
  </si>
  <si>
    <t>MACH_UI</t>
  </si>
  <si>
    <t>Product_and_Innovation</t>
  </si>
  <si>
    <t>Salesforce_DevOps</t>
  </si>
  <si>
    <t>Data_and_AI</t>
  </si>
  <si>
    <t>Security_and_Privacy</t>
  </si>
  <si>
    <t>Software_Engineering</t>
  </si>
  <si>
    <t>Associate Developer</t>
  </si>
  <si>
    <t>Practice Director</t>
  </si>
  <si>
    <t>Practice VP</t>
  </si>
  <si>
    <t>Sr. Practice Director</t>
  </si>
  <si>
    <t>Associate Data Analyst</t>
  </si>
  <si>
    <t>Associate Data Engineer</t>
  </si>
  <si>
    <t>Data Lead</t>
  </si>
  <si>
    <t>Lead Data Analyst</t>
  </si>
  <si>
    <t>Sr. Data Analyst</t>
  </si>
  <si>
    <t>Sr. Data Architect</t>
  </si>
  <si>
    <t>Sr. Data Engineer</t>
  </si>
  <si>
    <t>Sr. Data Strategist</t>
  </si>
  <si>
    <t>Associate DevOps Engineer</t>
  </si>
  <si>
    <t>Associate QA Engineer</t>
  </si>
  <si>
    <t>Associate Marketing Analyst</t>
  </si>
  <si>
    <t>Associate Strategist</t>
  </si>
  <si>
    <t>Sr. Strategist</t>
  </si>
  <si>
    <t>Strategist</t>
  </si>
  <si>
    <t>CDO</t>
  </si>
  <si>
    <t>Delivery Director</t>
  </si>
  <si>
    <t>Delivery VP</t>
  </si>
  <si>
    <t>Sr. Delivery Director</t>
  </si>
  <si>
    <t>CXO</t>
  </si>
  <si>
    <t>Associate UX Manager</t>
  </si>
  <si>
    <t>Associate UX Principal</t>
  </si>
  <si>
    <t>Associate VX Designer</t>
  </si>
  <si>
    <t>Sr. UX Manager</t>
  </si>
  <si>
    <t>Sr. UX Principal</t>
  </si>
  <si>
    <t>Sr. VX Designer</t>
  </si>
  <si>
    <t>UX Manager</t>
  </si>
  <si>
    <t>UX Principal</t>
  </si>
  <si>
    <t>VX Designer</t>
  </si>
  <si>
    <t>Chief Enterprise Architect</t>
  </si>
  <si>
    <t>Principal Enterprise Architect</t>
  </si>
  <si>
    <t>Sr. Enterprise Architect</t>
  </si>
  <si>
    <t>Lead Business Analyst</t>
  </si>
  <si>
    <t>Principal Business Analyst</t>
  </si>
  <si>
    <t>Sr. Product Manager</t>
  </si>
  <si>
    <t>Associate Principal Data Scientist</t>
  </si>
  <si>
    <t>Chief Data Scientist</t>
  </si>
  <si>
    <t>Principal Data Scientist</t>
  </si>
  <si>
    <t>Sr. Data Scientist</t>
  </si>
  <si>
    <t>Sr. Principal Data Scientist</t>
  </si>
  <si>
    <t>Financial Totals  (READ ONLY)</t>
  </si>
  <si>
    <t>Revenue Totals  (READ ONLY)</t>
  </si>
  <si>
    <t>3-5%</t>
  </si>
  <si>
    <t>5-10%</t>
  </si>
  <si>
    <t>OPTIONAL:  Plan out the Buckets in the Timeline until Remaining Hours = 0 from the phases totals if filling out the Bucket / Phase labels in roles table below</t>
  </si>
  <si>
    <t>5. Scope Schedule Helper Table - Optional</t>
  </si>
  <si>
    <t>Account Margin</t>
  </si>
  <si>
    <t>Overall</t>
  </si>
  <si>
    <t>%</t>
  </si>
  <si>
    <t>L6 %</t>
  </si>
  <si>
    <t>L5 %</t>
  </si>
  <si>
    <t>L4 %</t>
  </si>
  <si>
    <t>L3 %</t>
  </si>
  <si>
    <t>L2 %</t>
  </si>
  <si>
    <t>L1 %</t>
  </si>
  <si>
    <t>OMC Client &amp; OMC Agencies Involved in this Project?</t>
  </si>
  <si>
    <t>OMC Client &amp; OMC Agencies Engaged at this Client?</t>
  </si>
  <si>
    <t>Target Account for the Portfolio?</t>
  </si>
  <si>
    <t>Yes, this is a target growth account for the portfolio</t>
  </si>
  <si>
    <t>No, this is not a target account this year</t>
  </si>
  <si>
    <t>(Please see 3. Financial Inputs to edit Contingency)</t>
  </si>
  <si>
    <t>Adobe_Content</t>
  </si>
  <si>
    <t>Delivery_Delivery</t>
  </si>
  <si>
    <t>MACH_Middleware</t>
  </si>
  <si>
    <t>MACH_Tealium</t>
  </si>
  <si>
    <t>Salesforce_Commerce_Cloud</t>
  </si>
  <si>
    <t>helper specialization</t>
  </si>
  <si>
    <t>Credera North America Margin</t>
  </si>
  <si>
    <t>Credera Global Margin</t>
  </si>
  <si>
    <t>Credera India Margin</t>
  </si>
  <si>
    <t>Digital Strategy</t>
  </si>
  <si>
    <t>.NET Core</t>
  </si>
  <si>
    <t>.NET Fullstack</t>
  </si>
  <si>
    <t>.NET MVC</t>
  </si>
  <si>
    <t>.NET Webforms</t>
  </si>
  <si>
    <t>Other Platform</t>
  </si>
  <si>
    <t>Performance Testing</t>
  </si>
  <si>
    <t>Security Testing</t>
  </si>
  <si>
    <t>Optimizely Backend</t>
  </si>
  <si>
    <t>Optimizely CMS Fullstack</t>
  </si>
  <si>
    <t>Sitecore Backend</t>
  </si>
  <si>
    <t>Sitecore Fullstack</t>
  </si>
  <si>
    <t>Journey Optimizer</t>
  </si>
  <si>
    <t>Commerce Backend</t>
  </si>
  <si>
    <t>Commerce Fullstack</t>
  </si>
  <si>
    <t>Content Engineering</t>
  </si>
  <si>
    <t>SEO</t>
  </si>
  <si>
    <t>AEM Cloud</t>
  </si>
  <si>
    <t>Adobe Analytics</t>
  </si>
  <si>
    <t>Google Analytics</t>
  </si>
  <si>
    <t>RT CDP</t>
  </si>
  <si>
    <t>AEM Backend</t>
  </si>
  <si>
    <t>AEM Fullstack</t>
  </si>
  <si>
    <t>AJO Functional</t>
  </si>
  <si>
    <t>AJO Technical</t>
  </si>
  <si>
    <t>Campaign Functional</t>
  </si>
  <si>
    <t>Campaign Technical</t>
  </si>
  <si>
    <t>Marketo Functional</t>
  </si>
  <si>
    <t>Marketo Technical</t>
  </si>
  <si>
    <t>Creative Cloud</t>
  </si>
  <si>
    <t>Firefly</t>
  </si>
  <si>
    <t>Frame io</t>
  </si>
  <si>
    <t>Fusion</t>
  </si>
  <si>
    <t>Workfront</t>
  </si>
  <si>
    <t>Project Management</t>
  </si>
  <si>
    <t>Content Strategy</t>
  </si>
  <si>
    <t>Editorial and Copywriting</t>
  </si>
  <si>
    <t>User Experience</t>
  </si>
  <si>
    <t>Visual Experience</t>
  </si>
  <si>
    <t>Experience Strategy</t>
  </si>
  <si>
    <t>Research</t>
  </si>
  <si>
    <t>SAP Commerce Cloud</t>
  </si>
  <si>
    <t>Vue Storefront</t>
  </si>
  <si>
    <t>iQ Tag Management</t>
  </si>
  <si>
    <t>Commerce Cloud Functional</t>
  </si>
  <si>
    <t>Commerce Cloud Technical</t>
  </si>
  <si>
    <t>Marketing Cloud Functional</t>
  </si>
  <si>
    <t>Marketing Cloud Technical</t>
  </si>
  <si>
    <t>Sales Cloud Functional</t>
  </si>
  <si>
    <t>Sales Cloud Technical</t>
  </si>
  <si>
    <t>Lightning UI</t>
  </si>
  <si>
    <t>Service Cloud Functional</t>
  </si>
  <si>
    <t>Service Cloud Technical</t>
  </si>
  <si>
    <t>Android</t>
  </si>
  <si>
    <t>iOS</t>
  </si>
  <si>
    <t>Privacy</t>
  </si>
  <si>
    <t>Security</t>
  </si>
  <si>
    <t>DOTNETBASP</t>
  </si>
  <si>
    <t>DOTNETCDPSP</t>
  </si>
  <si>
    <t>DOTNETQASP</t>
  </si>
  <si>
    <t>DOTNETUISP</t>
  </si>
  <si>
    <t>COVEOSP</t>
  </si>
  <si>
    <t>SITECORESP</t>
  </si>
  <si>
    <t>MSDYNAMICSSP</t>
  </si>
  <si>
    <t>OPTIMIZELYCMSSP</t>
  </si>
  <si>
    <t>SITECORESEARCHSP</t>
  </si>
  <si>
    <t>ACQUIADEVOPSSP</t>
  </si>
  <si>
    <t>ACQUIAQASP</t>
  </si>
  <si>
    <t>ACQUIAUISP</t>
  </si>
  <si>
    <t>ADOBEBASP</t>
  </si>
  <si>
    <t>ADOBECOMMERCESP</t>
  </si>
  <si>
    <t>CONTENTCONTENTSP</t>
  </si>
  <si>
    <t>ACQUIABASP</t>
  </si>
  <si>
    <t>ACQUIACDPSP</t>
  </si>
  <si>
    <t>DRUPALDRUPALSP</t>
  </si>
  <si>
    <t>PERSONALIZATIONPERSONALIZATIONSP</t>
  </si>
  <si>
    <t>WORDPRESSWORDPRESSSP</t>
  </si>
  <si>
    <t>ADOBEDEVOPSSP</t>
  </si>
  <si>
    <t>ADOBEQASP</t>
  </si>
  <si>
    <t>ADOBEUISP</t>
  </si>
  <si>
    <t>DATAANALYTICSSP</t>
  </si>
  <si>
    <t>EXPERIENCEMANAGEMENTSP</t>
  </si>
  <si>
    <t>MARKETINGAUTOMATIONSP</t>
  </si>
  <si>
    <t>WORKMANAGEMENTSP</t>
  </si>
  <si>
    <t>DELIVERYDELIVERYSP</t>
  </si>
  <si>
    <t>STRATEGYSTRATEGYSP</t>
  </si>
  <si>
    <t>DESIGNDESIGNSP</t>
  </si>
  <si>
    <t>FRONTENDDEVELOPMENTSP</t>
  </si>
  <si>
    <t>INSIGHTSSTRATEGYSP</t>
  </si>
  <si>
    <t>MACHBASP</t>
  </si>
  <si>
    <t>MACHCOMMERCESP</t>
  </si>
  <si>
    <t>MACHCONTENTSP</t>
  </si>
  <si>
    <t>MACHDEVOPSSP</t>
  </si>
  <si>
    <t>MACHQASP</t>
  </si>
  <si>
    <t>MACHUISP</t>
  </si>
  <si>
    <t>MIDDLEWAREMIDDLEWARESP</t>
  </si>
  <si>
    <t>TEALIUMTEALIUMSP</t>
  </si>
  <si>
    <t>PRODUCTINNOVATIONSP</t>
  </si>
  <si>
    <t>COMMERCECLOUDSP</t>
  </si>
  <si>
    <t>DATACLOUDSP</t>
  </si>
  <si>
    <t>MARKETINGCLOUDSP</t>
  </si>
  <si>
    <t>SALESCLOUDSP</t>
  </si>
  <si>
    <t>SALESFORCEBASP</t>
  </si>
  <si>
    <t>SALESFORCEDEVOPSSP</t>
  </si>
  <si>
    <t>SALESFORCEQASP</t>
  </si>
  <si>
    <t>SALESFORCEUISP</t>
  </si>
  <si>
    <t>SERVICECLOUDSP</t>
  </si>
  <si>
    <t>CLOUDCLOUDSP</t>
  </si>
  <si>
    <t>DATAAISP</t>
  </si>
  <si>
    <t>MOBILEMOBILESP</t>
  </si>
  <si>
    <t>SECURITYPRIVACYSP</t>
  </si>
  <si>
    <t>SOFTWAREENGINEERINGSP</t>
  </si>
  <si>
    <t>DOTNETSP</t>
  </si>
  <si>
    <t>DOTNETDOSP</t>
  </si>
  <si>
    <t>NA Title</t>
  </si>
  <si>
    <t>India Title</t>
  </si>
  <si>
    <t>Onshore Cost</t>
  </si>
  <si>
    <t>Offshore Cost</t>
  </si>
  <si>
    <t>TADNA Projector Role</t>
  </si>
  <si>
    <t>TADIndia Projector Role</t>
  </si>
  <si>
    <t>Designation/Title</t>
  </si>
  <si>
    <t>Associate Engineer</t>
  </si>
  <si>
    <t>Principal Architect</t>
  </si>
  <si>
    <t xml:space="preserve">Software Engineer </t>
  </si>
  <si>
    <t>Senior Technical Architect</t>
  </si>
  <si>
    <t xml:space="preserve">Associate Director </t>
  </si>
  <si>
    <t>Senior Software Engineer</t>
  </si>
  <si>
    <t>Principal Systems Engineer</t>
  </si>
  <si>
    <t>Associate Systems Engineer</t>
  </si>
  <si>
    <t>Senior Systems Engineer</t>
  </si>
  <si>
    <t>Systems Engineer</t>
  </si>
  <si>
    <t>Software Engineer</t>
  </si>
  <si>
    <t>Principal Software Engineer</t>
  </si>
  <si>
    <t>Associate Tech Lead</t>
  </si>
  <si>
    <t>MA Engineer</t>
  </si>
  <si>
    <t>Senior MA Engineer</t>
  </si>
  <si>
    <t>Senior Manager, BA</t>
  </si>
  <si>
    <t>Technical Architect, MA</t>
  </si>
  <si>
    <t>Senior Technical Architect, MA</t>
  </si>
  <si>
    <t>Principal Architect, MA</t>
  </si>
  <si>
    <t>Associate Manager,BA</t>
  </si>
  <si>
    <t>Manager, BA</t>
  </si>
  <si>
    <t>Senior Content Strategist</t>
  </si>
  <si>
    <t>Senior VX Designer</t>
  </si>
  <si>
    <t>Associate VX Lead</t>
  </si>
  <si>
    <t>VX Lead</t>
  </si>
  <si>
    <t>Associate Architect</t>
  </si>
  <si>
    <t>Offshore TP Cost</t>
  </si>
  <si>
    <r>
      <t xml:space="preserve">Client Rate Card </t>
    </r>
    <r>
      <rPr>
        <b/>
        <sz val="8"/>
        <color theme="1"/>
        <rFont val="Lato Regular"/>
      </rPr>
      <t xml:space="preserve">
</t>
    </r>
    <r>
      <rPr>
        <i/>
        <sz val="10"/>
        <color theme="1"/>
        <rFont val="Lato Regular"/>
      </rPr>
      <t>(only required if 'Custom Rates' was selected above for "Rate/ Margin Class")</t>
    </r>
  </si>
  <si>
    <t>Contracting Entity</t>
  </si>
  <si>
    <t>Yes - BBDO</t>
  </si>
  <si>
    <t>Managed Servies</t>
  </si>
  <si>
    <t>Digital - MarTech Consulting /Strategy</t>
  </si>
  <si>
    <t>REQUIRED:  Select a Preferred Approach Option in Column D, and choose "No Approach Options Used" if none were utilized. Approach Options are pulled from the Project Inputs tab.</t>
  </si>
  <si>
    <r>
      <t xml:space="preserve">This is an optional table that helps you track scheduled hours IF you evaluated scope. </t>
    </r>
    <r>
      <rPr>
        <b/>
        <sz val="11"/>
        <color theme="1"/>
        <rFont val="Lato Regular"/>
      </rPr>
      <t>If you did not scope your project, you can skip this table.</t>
    </r>
  </si>
  <si>
    <t>Scope Options Entered on 1.Project Inputs</t>
  </si>
  <si>
    <t>Role Definition</t>
  </si>
  <si>
    <t>Default Resource Title</t>
  </si>
  <si>
    <t>REQUIRED:  For any week that has a holiday, manually update the hours for that week for each Role that is located in an impacted Location.  The tool does not automatically adjust the hours based on holidays.</t>
  </si>
  <si>
    <t>Select this for a general Analyst Level resource on a project.</t>
  </si>
  <si>
    <t>XD skill aligned specialist at principal level</t>
  </si>
  <si>
    <t>TS skill aligned specialist at principal level</t>
  </si>
  <si>
    <t>Digital technical specialist at principal level</t>
  </si>
  <si>
    <t>Digital MC/Consulting skills aligned specialist at principal level</t>
  </si>
  <si>
    <t>Principal level specialist</t>
  </si>
  <si>
    <t>Facilitates team agile ceremonies, removes impedements to team progress, fosters a culture of continuous improvement and promotes adherence to agile principles and best practices-[Program Leadership]</t>
  </si>
  <si>
    <t>Leverages expertise in Single Customer View and related tech (e.g., Tealium, mParticle, Adobe Experience Platform), identifying how use cases impact a client’s MarTech architecture, and converting findings into recommended initiatives.[MarTech &amp; Commerce]</t>
  </si>
  <si>
    <t>Leverages expertise in SEO and related technologies to identify how use cases impact the Measurement &amp; Analytics and 3rd Party Data aspects of client’s MarTech architecture and converts assessment findings into recommended initiatives[MarTech &amp; Ecommerce]</t>
  </si>
  <si>
    <t>SEO Specialist</t>
  </si>
  <si>
    <t>Ecommerce Specialist</t>
  </si>
  <si>
    <t>Cust. Exp. Orch. Specialist</t>
  </si>
  <si>
    <t>Campaign/Marketing Resource</t>
  </si>
  <si>
    <t>AdTech Specialist</t>
  </si>
  <si>
    <t>Legacy Role Type from prior system - For historical data conversion only</t>
  </si>
  <si>
    <t>OFFICER_IN_CHARGE</t>
  </si>
  <si>
    <t>PROJECT_DIRECTOR</t>
  </si>
  <si>
    <t>GENERAL_RESOURCE</t>
  </si>
  <si>
    <t>Active</t>
  </si>
  <si>
    <t>Description</t>
  </si>
  <si>
    <t>Name</t>
  </si>
  <si>
    <t>Engineering role for building analytics into applications (think Tealium or Google Analytics)</t>
  </si>
  <si>
    <t>Engineering role for developing back-end applications and integrations</t>
  </si>
  <si>
    <t>Engineering role that maximizes the value of cloud investments by developing financial monitors, guardrails, and alerts</t>
  </si>
  <si>
    <t>Engineering role that designs and builds migration scripts and tools to move the client from on-prem to the cloud</t>
  </si>
  <si>
    <t>Engineering role that builds differentiating capabilities on the cloud by leveraging cloud-native technologies and modern programming languages</t>
  </si>
  <si>
    <t>Engineering role that empowers the client to realize cloud value as rapidly as possible by developing the processes and technologies required to empower best CI/CD practices</t>
  </si>
  <si>
    <t>Engineering role for developing data storage and data applications</t>
  </si>
  <si>
    <t>Engineering role for developing data integrations (think ETL/ELT etc.)</t>
  </si>
  <si>
    <t>Engineering role to prepare data for data science analysis</t>
  </si>
  <si>
    <t>Engineering role for developing report visualizations and dashboards (think PowerBI, Tableau)</t>
  </si>
  <si>
    <t>Engineering role for developing DevOps pipelines and automation</t>
  </si>
  <si>
    <t>Develops highly interactive, visually complex web applications using leading industry frameworks with a specialized emphasis on high touch, user-centered requirements such as web accessibility, performance, etc.</t>
  </si>
  <si>
    <t>Engineering role for developing end-to-end applications (includes on platforms like Salesforce)</t>
  </si>
  <si>
    <t>Engineering role for developing infrastructure as code and other infrastructure configurations or automation</t>
  </si>
  <si>
    <t>Engineering role for developing models for artificial intelligence processes</t>
  </si>
  <si>
    <t>Engineering role for developing native mobile apps or hybrid web pages for use in mobile apps</t>
  </si>
  <si>
    <t>Engineering role for building security into applications and solutions (think Static Code Analysis, penetration layers)</t>
  </si>
  <si>
    <t>Architecture role capable of taking multiple facets of the cloud into account (architecture, data, platform, and security) when designing solutions.</t>
  </si>
  <si>
    <t>Architecture role that designs data solutions that tie to business and IT requirements</t>
  </si>
  <si>
    <t>Architecture role that thinks about all systems and integrations inside an enterprise and provide wholistic architecture guidance</t>
  </si>
  <si>
    <t>Provides lead oversight and support to front-end engineers in day-to-day activities, and is responsible for evaluating appropriate tools, development architecture, and industry standards necessary to build complex web applications</t>
  </si>
  <si>
    <t>Architecture role for designing the overall mobile architecture, mobile native apps, data contracts, testing, and integration solutions that achieves business outcomes</t>
  </si>
  <si>
    <t>Architecture role for designs security solutions that ties to business and IT requirements</t>
  </si>
  <si>
    <t>Architecture role for designs overall technology solution that ties to business requirements</t>
  </si>
  <si>
    <t>Operations role leading a team of engineers and doing activities like code reviews, backlog grooming, estimation, and more</t>
  </si>
  <si>
    <t>Operations role leading multiple teams (with their own team structures) and doing activities like architecture reviews, large scale estimation and roadmapping, and more</t>
  </si>
  <si>
    <t>Strategy role that requires someone well versed in cloud migrations, OCM related to cloud, and people, process, and technology impacts from leveraging cloud</t>
  </si>
  <si>
    <t>Insights role analyzing data structures, data values, data integrations, data integrity, data governance etc. to synthesize and share findings</t>
  </si>
  <si>
    <t>Strategy role for analyzing and producing insights and recommendations from data</t>
  </si>
  <si>
    <t>Strategy role that requires someone well versed in data best practices, architecture, governance, integrity related to accomplishing business and technology goals</t>
  </si>
  <si>
    <t>Insights role analyzing privacy compliance, gaps, etc. to synthesize share findings</t>
  </si>
  <si>
    <t>Strategy role that requires someone well-versed in privacy practices and compliance requirements to make wholistic recommendations based on gap analysis and business/technology goals</t>
  </si>
  <si>
    <t>Insights role for analyzing security policies, gaps, etc. to make recommendations, share findings</t>
  </si>
  <si>
    <t>Strategy role that requires someone well-versed in security practices and compliance requirements to make wholistic recommendations based on gap analysis and business/technology goals</t>
  </si>
  <si>
    <t>Strategy role that requires someone well-versed in all aspects of technology to be able to make wholistic recommendations to accomplish business and technology goals</t>
  </si>
  <si>
    <t>Provides strategic oversight and direction to XD resources and project leads to ensures XD best practices are being followed to reduce the risk of inefficiency and increase productivity. Acts as a conduit between XD and other craft areas.</t>
  </si>
  <si>
    <t>Team member plays a supporting function to a project or program’s PMO activities; this resource may also play a functional business analyst role in defining requirements, processes, and system dependencies for an implementation.</t>
  </si>
  <si>
    <t>Officer in Charge of a project.  Must be a officer of the firm (a Partner).</t>
  </si>
  <si>
    <t xml:space="preserve">Team member is responsible for a product; leads efforts across business, technology, design, and data to solve customer problems and drive measurable business outcomes </t>
  </si>
  <si>
    <t>Team member equipped to lead and deliver large programs with multiple workstreams, providing direction, alignment to strategy, scope management, budget monitoring, resource allocation, and a relentless pursuit of delivering value.</t>
  </si>
  <si>
    <t>Team member playing a leading role in program or project leadership, PMO setup and implementation, assessment leadership, agile coaching &amp; leadership, product strategy and development, or vendor selection.</t>
  </si>
  <si>
    <t>Provides design leadership and creative direction and define the design strategy and deliverables needed to ensure the project's goals and users' needs are met</t>
  </si>
  <si>
    <t>Using a full range of interaction, visual, and prototyping skillsets, they will create a consistent and predictable look &amp; feel for products by applying Atomic Design principles and methods.</t>
  </si>
  <si>
    <t>Delivers designs at scale from existing brand guidelines, assets, and templates ensuring deliverables are consistent across platforms. Supports design delivery by prepping files for production and development delivery.</t>
  </si>
  <si>
    <t>Specializes in product design across apps, responsive web, and dashboards. Fluent in prototyping, interaction design and designing high-fidelity mockups. Additionally, creates supporting UX design artifacts.</t>
  </si>
  <si>
    <t>Develops brand identity across a variety of channels including digital, out-of-home, and print. Responsible for defining design strategy and producing elements that include logos, brochures, marketing collateral, experiential, and packaging.</t>
  </si>
  <si>
    <t>Takes synthesized research and strategy to build and deliver content solutions (content models, briefs, style guides and other artifacts) in partnership with visual design and engineers, using content audits, assessments, etc.</t>
  </si>
  <si>
    <t>Assesses client content and capabilities through research of the customer and competitive landscape in order to synthesize a strategic content and communications approach.</t>
  </si>
  <si>
    <t>Provides voice-of-the-customer insights, from foundational customer research to establish personas and customer journeys through user and usability product/site evaluation during design.</t>
  </si>
  <si>
    <t>Gathers and analyzes data on consumers and competitors, as well as industry trends, to examine market demand and pricing strategies</t>
  </si>
  <si>
    <t>Works with clients to define a customer strategy that includes their customer needs, wants, and desires by analyzing their business, analytics data, research, etc.</t>
  </si>
  <si>
    <t>Contributes to delivering services that will positively impact people and bring value to client’s business through creation of Journey Maps, Personas, Archetypes, and Service Blueprints that are validated by research.</t>
  </si>
  <si>
    <t>The facilitation of workshops (Design Thinking, Design Sprints, Event Storming, etc) are integral to understanding client opportunities and driving proper scope definition.</t>
  </si>
  <si>
    <t>Team member understands and applies employee engagement and culture best practices, including strategic cultural assessments, cultural transformation planning and execution, and implementation of organizational health measures</t>
  </si>
  <si>
    <t>Understands and applies change management best practices, including developing case for change, stakeholder analysis, change impact assessments, communications, training, sponsorship/coaching, and resistance management strategies</t>
  </si>
  <si>
    <t>Team member brings expertise from two or more Org &amp; Change focus areas to bear on leading a project, providing subject matter expertise and oversight of Org &amp; Change project activities</t>
  </si>
  <si>
    <t>Organizational Change Manager</t>
  </si>
  <si>
    <t>Team member provides leadership for innovation labs, prioritization workshops, disruption sprints, design sprints, and product growth</t>
  </si>
  <si>
    <t>Team member with a strong understanding of the value chain, process optimization, and where/how to achieve cost savings/efficiencies; this resource can deconstruct and map complex processes</t>
  </si>
  <si>
    <t>Team member supports S&amp;O Sr. Leader in strategy formation and creation; this analyst role could be conducting research, defining process flows, supporting workshops, creating business cases, etc.</t>
  </si>
  <si>
    <t>Capable of developing business cases for prioritization and action, can communicate complex information into a clear ‘So What’ message easily consumed by executives, and is comfortable operating through a high degree of ambiguity</t>
  </si>
  <si>
    <t>Responsible for leveraging their expertise in AdTech, identifying how use cases impact AdTech aspect of client’s MarTech architecture, and converting findings into recommended initiatives</t>
  </si>
  <si>
    <t>Leverages expertise in Campaign Management &amp; MRM and related technologies to identify how use cases impact the Campaign Management aspect of client’s MarTech architecture and coverts assessment findings into recommended initiatives</t>
  </si>
  <si>
    <t>Leverages expertise in Customer Experience Orchestration and related technologies to idenitfy how use cases impact the Single Customer View aspect of a client’s MarTech architecture and coverts findings into recommended initiatives</t>
  </si>
  <si>
    <t>Leverages expertise in Intelligent Content and related tech (e.g., AEM, Contentsquare, Optimizely), identifying how use cases impact a client’s MarTech architecture, and converting findings into recommended initiatives.</t>
  </si>
  <si>
    <t>Leverages expertise in Commerce (breadth) and solution architecture to identify how use cases impact a client’s overall Commerce architecture, and to design and scope technical solutions which leverage custom and 3rd party platform.</t>
  </si>
  <si>
    <t>Team member leverages their expertise in eCommerce and related technologies, identifying how use cases impact the commerce aspect of a client’s MarTech architecture, and converting assessment findings into recommended initiatives</t>
  </si>
  <si>
    <t>Leverages expertise in Marketing Automation and related tech (e.g., Salesforce Marketing Cloud, Braze, Pega), identifying how use cases impact a client’s MarTech architecture, and converting findings into recommended initiatives.</t>
  </si>
  <si>
    <t>Team member supports breadth of MarTech focus areas with basic understanding of core Marketing principles.</t>
  </si>
  <si>
    <t>Leverages expertise in MarTech (breadth) and project leadership to drive clarity of the current state, identifying how use cases flow through the reference architecture, and converting assessment finding into recommended initiatives.</t>
  </si>
  <si>
    <t>Leverages expertise in Organic Marketing and related tech (e.g., Google Search Console, Bing Webmaster, SEMRush), identifying how use cases impact a client’s MarTech architecture, and converting findings into recommended initiatives.</t>
  </si>
  <si>
    <t>Leverages expertise in MarTech (breadth) and solution architecture to identify how use cases impact a client’s overall MarTech architecture, and to design and scope technical solutions which leverage custom and 3rd party platforms.</t>
  </si>
  <si>
    <t>Leverages expertise in Measurement &amp; Analytics and related tech (e.g., Google/Adobe Analytics, Optimizely), identifying how use cases impact a client’s MarTech architecture, and converting findings into recommended initiatives.</t>
  </si>
  <si>
    <t>Leverages their expertise in specific MarTech technologies, identifying how use cases impact the relevant aspects of a client’s MarTech architecture, and converting assessment findings into recommended initiatives.</t>
  </si>
  <si>
    <t>Quality Assurance role that specializes in designing and executing testing and test plans.</t>
  </si>
  <si>
    <t>Total Holiday Hours Off</t>
  </si>
  <si>
    <t>LATAM</t>
  </si>
  <si>
    <t>North America</t>
  </si>
  <si>
    <t>REVIEW FLAG</t>
  </si>
  <si>
    <t>Commerical Review Flag</t>
  </si>
  <si>
    <t>REQUIRED</t>
  </si>
  <si>
    <t>Enter Test Revenue</t>
  </si>
  <si>
    <t>Review the project information autopopulated from prior tabs in the ROPE.
Enter additionally requested information. 
Answer the questions in the bottom section.</t>
  </si>
  <si>
    <t>Enter Account Margin from Portfolio Performance Report</t>
  </si>
  <si>
    <t>Enter Override $</t>
  </si>
  <si>
    <t>Project Code directs the ROPE to upload to the correct project.</t>
  </si>
  <si>
    <t>Entity is needed to determine into which system the ROPE will be uploaded.</t>
  </si>
  <si>
    <t>Test Digital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</si>
</sst>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2">
    <numFmt numFmtId="164" formatCode="&quot;$&quot;#,##0_);\(&quot;$&quot;#,##0\)"/>
    <numFmt numFmtId="165" formatCode="&quot;$&quot;#,##0_);[Red]\(&quot;$&quot;#,##0\)"/>
    <numFmt numFmtId="166" formatCode="&quot;$&quot;#,##0.00_);\(&quot;$&quot;#,##0.00\)"/>
    <numFmt numFmtId="167" formatCode="&quot;$&quot;#,##0.00_);[Red]\(&quot;$&quot;#,##0.00\)"/>
    <numFmt numFmtId="168" formatCode="_(&quot;$&quot;* #,##0.00_);_(&quot;$&quot;* \(#,##0.00\);_(&quot;$&quot;* &quot;-&quot;??_);_(@_)"/>
    <numFmt numFmtId="169" formatCode="_(* #,##0.00_);_(* \(#,##0.00\);_(* &quot;-&quot;??_);_(@_)"/>
    <numFmt numFmtId="170" formatCode="_(&quot;$&quot;* #,##0_);_(&quot;$&quot;* \(#,##0\);_(&quot;$&quot;* &quot;-&quot;??_);_(@_)"/>
    <numFmt numFmtId="171" formatCode="&quot;$&quot;#,##0.00"/>
    <numFmt numFmtId="172" formatCode="0.0"/>
    <numFmt numFmtId="173" formatCode="[$$-409]#,##0.00"/>
    <numFmt numFmtId="174" formatCode="&quot;$&quot;#,##0"/>
    <numFmt numFmtId="175" formatCode="_-[$£-809]* #,##0_-;\-[$£-809]* #,##0_-;_-[$£-809]* &quot;-&quot;??_-;_-@_-"/>
    <numFmt numFmtId="176" formatCode="_([$€-2]\ * #,##0_);_([$€-2]\ * \(#,##0\);_([$€-2]\ * &quot;-&quot;??_);_(@_)"/>
    <numFmt numFmtId="177" formatCode="#,##0.0000"/>
    <numFmt numFmtId="178" formatCode="[$-409]mmm\ dd\,\ yyyy;@"/>
    <numFmt numFmtId="179" formatCode="&quot;$&quot;0.0,,&quot;M&quot;"/>
    <numFmt numFmtId="180" formatCode="&quot;$&quot;#,,&quot;M&quot;"/>
    <numFmt numFmtId="181" formatCode="0.0%"/>
    <numFmt numFmtId="182" formatCode="_(* #,##0_);_(* \(#,##0\);_(* &quot;-&quot;??_);_(@_)"/>
    <numFmt numFmtId="183" formatCode="dd\-mmm\-yyyy"/>
    <numFmt numFmtId="184" formatCode="&quot;$&quot;#,##0;\-#,##0;&quot;-&quot;"/>
    <numFmt numFmtId="185" formatCode="d\ mmm\ yyyy"/>
  </numFmts>
  <fonts count="127" x14ac:knownFonts="1">
    <font>
      <sz val="11"/>
      <color theme="1"/>
      <name val="Aptos Narrow"/>
      <family val="2"/>
      <scheme val="minor"/>
    </font>
    <font>
      <sz val="12"/>
      <color theme="1"/>
      <name val="Aptos Narrow"/>
      <family val="2"/>
      <scheme val="minor"/>
    </font>
    <font>
      <sz val="12"/>
      <color theme="1"/>
      <name val="Aptos Narrow"/>
      <family val="2"/>
      <scheme val="minor"/>
    </font>
    <font>
      <sz val="12"/>
      <color theme="1"/>
      <name val="Aptos Narrow"/>
      <family val="2"/>
      <scheme val="minor"/>
    </font>
    <font>
      <sz val="11"/>
      <color theme="1"/>
      <name val="Aptos Narrow"/>
      <family val="2"/>
      <scheme val="minor"/>
    </font>
    <font>
      <b/>
      <sz val="11"/>
      <color theme="1"/>
      <name val="Aptos Narrow"/>
      <family val="2"/>
      <scheme val="minor"/>
    </font>
    <font>
      <sz val="11"/>
      <color theme="1"/>
      <name val="Lato Regular"/>
    </font>
    <font>
      <b/>
      <sz val="9"/>
      <color rgb="FF000000"/>
      <name val="Tahoma"/>
      <family val="2"/>
    </font>
    <font>
      <sz val="9"/>
      <color rgb="FF000000"/>
      <name val="Tahoma"/>
      <family val="2"/>
    </font>
    <font>
      <b/>
      <sz val="12"/>
      <color theme="1"/>
      <name val="Aptos Narrow"/>
      <family val="2"/>
      <scheme val="minor"/>
    </font>
    <font>
      <sz val="10"/>
      <name val="Arial"/>
      <family val="2"/>
    </font>
    <font>
      <b/>
      <sz val="11"/>
      <color theme="1"/>
      <name val="Lato Regular"/>
    </font>
    <font>
      <u/>
      <sz val="11"/>
      <color theme="10"/>
      <name val="Aptos Narrow"/>
      <family val="2"/>
      <scheme val="minor"/>
    </font>
    <font>
      <sz val="12"/>
      <color theme="1"/>
      <name val="Lato Regular"/>
    </font>
    <font>
      <sz val="10"/>
      <color theme="1"/>
      <name val="Lato Regular"/>
    </font>
    <font>
      <b/>
      <sz val="10"/>
      <color theme="1"/>
      <name val="Lato Regular"/>
    </font>
    <font>
      <b/>
      <sz val="13"/>
      <color theme="3"/>
      <name val="Aptos Narrow"/>
      <family val="2"/>
      <scheme val="minor"/>
    </font>
    <font>
      <b/>
      <sz val="11"/>
      <name val="Lato Regular"/>
    </font>
    <font>
      <b/>
      <sz val="12"/>
      <color theme="1"/>
      <name val="Lato Regular"/>
    </font>
    <font>
      <b/>
      <u/>
      <sz val="10"/>
      <color theme="10"/>
      <name val="Lato Regular"/>
    </font>
    <font>
      <u/>
      <sz val="11"/>
      <color theme="10"/>
      <name val="Lato Regular"/>
    </font>
    <font>
      <sz val="11"/>
      <color rgb="FF000000"/>
      <name val="Lato Regular"/>
    </font>
    <font>
      <sz val="11"/>
      <name val="Lato Regular"/>
    </font>
    <font>
      <b/>
      <sz val="12"/>
      <color theme="0"/>
      <name val="Lato Regular"/>
    </font>
    <font>
      <b/>
      <sz val="12"/>
      <name val="Lato Regular"/>
    </font>
    <font>
      <b/>
      <sz val="20"/>
      <color theme="1"/>
      <name val="Lato Regular"/>
    </font>
    <font>
      <i/>
      <sz val="11"/>
      <color theme="1"/>
      <name val="Lato Regular"/>
    </font>
    <font>
      <sz val="10"/>
      <name val="Lato Regular"/>
    </font>
    <font>
      <b/>
      <sz val="14"/>
      <color theme="1"/>
      <name val="Lato Regular"/>
    </font>
    <font>
      <b/>
      <sz val="11"/>
      <color theme="3"/>
      <name val="Lato Regular"/>
    </font>
    <font>
      <sz val="11"/>
      <color rgb="FFFF0000"/>
      <name val="Lato Regular"/>
    </font>
    <font>
      <b/>
      <sz val="11"/>
      <color rgb="FF000000"/>
      <name val="Lato Regular"/>
    </font>
    <font>
      <i/>
      <sz val="11"/>
      <color rgb="FFFF0000"/>
      <name val="Lato Regular"/>
    </font>
    <font>
      <sz val="8"/>
      <name val="Aptos Narrow"/>
      <family val="2"/>
      <scheme val="minor"/>
    </font>
    <font>
      <b/>
      <sz val="10"/>
      <name val="Lato Regular"/>
    </font>
    <font>
      <b/>
      <i/>
      <sz val="10"/>
      <color theme="1"/>
      <name val="Lato Regular"/>
    </font>
    <font>
      <b/>
      <i/>
      <sz val="8"/>
      <color theme="1"/>
      <name val="Lato Regular"/>
    </font>
    <font>
      <b/>
      <i/>
      <sz val="10"/>
      <name val="Lato Regular"/>
    </font>
    <font>
      <b/>
      <i/>
      <sz val="8"/>
      <name val="Lato Regular"/>
    </font>
    <font>
      <sz val="10"/>
      <color theme="0" tint="-0.499984740745262"/>
      <name val="Lato Regular"/>
    </font>
    <font>
      <sz val="10"/>
      <color rgb="FF000000"/>
      <name val="Lato Regular"/>
    </font>
    <font>
      <b/>
      <sz val="10"/>
      <color rgb="FF000000"/>
      <name val="Lato Regular"/>
    </font>
    <font>
      <b/>
      <sz val="11"/>
      <color rgb="FFFF0000"/>
      <name val="Lato Regular"/>
    </font>
    <font>
      <b/>
      <sz val="13"/>
      <name val="Lato Regular"/>
    </font>
    <font>
      <b/>
      <sz val="16"/>
      <color theme="1"/>
      <name val="Lato Regular"/>
    </font>
    <font>
      <b/>
      <i/>
      <sz val="9"/>
      <color theme="1"/>
      <name val="Lato Regular"/>
    </font>
    <font>
      <sz val="9"/>
      <color theme="1"/>
      <name val="Lato Regular"/>
    </font>
    <font>
      <b/>
      <sz val="14"/>
      <name val="Lato Regular"/>
    </font>
    <font>
      <b/>
      <i/>
      <sz val="11"/>
      <color theme="1"/>
      <name val="Lato Regular"/>
    </font>
    <font>
      <sz val="11"/>
      <color theme="3"/>
      <name val="Lato Regular"/>
    </font>
    <font>
      <sz val="10"/>
      <color theme="3" tint="0.249977111117893"/>
      <name val="Lato Regular"/>
    </font>
    <font>
      <sz val="11"/>
      <color theme="3" tint="0.249977111117893"/>
      <name val="Lato Regular"/>
    </font>
    <font>
      <sz val="10"/>
      <color rgb="FF215C98"/>
      <name val="Lato Regular"/>
    </font>
    <font>
      <b/>
      <sz val="14"/>
      <color theme="4"/>
      <name val="Lato Regular"/>
    </font>
    <font>
      <sz val="11"/>
      <color rgb="FF215C98"/>
      <name val="Lato Regular"/>
    </font>
    <font>
      <b/>
      <sz val="11"/>
      <color rgb="FFC00000"/>
      <name val="Lato Regular"/>
    </font>
    <font>
      <b/>
      <sz val="11"/>
      <color theme="4"/>
      <name val="Lato Regular"/>
    </font>
    <font>
      <sz val="14"/>
      <color theme="1"/>
      <name val="Lato Regular"/>
    </font>
    <font>
      <sz val="11"/>
      <name val="Lato"/>
      <family val="2"/>
    </font>
    <font>
      <b/>
      <i/>
      <sz val="11"/>
      <color rgb="FF000000"/>
      <name val="Lato Regular"/>
    </font>
    <font>
      <b/>
      <sz val="11"/>
      <name val="Lato"/>
      <family val="2"/>
    </font>
    <font>
      <sz val="10"/>
      <color rgb="FF000000"/>
      <name val="Tahoma"/>
      <family val="2"/>
    </font>
    <font>
      <b/>
      <sz val="10"/>
      <color rgb="FF000000"/>
      <name val="Tahoma"/>
      <family val="2"/>
    </font>
    <font>
      <i/>
      <sz val="11"/>
      <color theme="3"/>
      <name val="Lato Regular"/>
    </font>
    <font>
      <i/>
      <sz val="11"/>
      <color rgb="FF000000"/>
      <name val="Lato Regular"/>
    </font>
    <font>
      <sz val="8"/>
      <name val="Tahoma"/>
      <family val="2"/>
    </font>
    <font>
      <sz val="8"/>
      <color rgb="FF000000"/>
      <name val="Tahoma"/>
      <family val="2"/>
    </font>
    <font>
      <sz val="8"/>
      <color rgb="FF000000"/>
      <name val="Tahoma"/>
      <family val="2"/>
    </font>
    <font>
      <b/>
      <sz val="11"/>
      <color rgb="FF215C98"/>
      <name val="Lato Regular"/>
    </font>
    <font>
      <b/>
      <sz val="11"/>
      <color theme="0"/>
      <name val="Lato Regular"/>
    </font>
    <font>
      <b/>
      <sz val="11"/>
      <color rgb="FF3A3A3A"/>
      <name val="Lato Regular"/>
    </font>
    <font>
      <sz val="11"/>
      <color rgb="FF3A3A3A"/>
      <name val="Lato Regular"/>
    </font>
    <font>
      <sz val="10"/>
      <color rgb="FF3A3A3A"/>
      <name val="Lato Regular"/>
    </font>
    <font>
      <sz val="9"/>
      <color indexed="81"/>
      <name val="Tahoma"/>
      <family val="2"/>
    </font>
    <font>
      <b/>
      <sz val="9"/>
      <color indexed="81"/>
      <name val="Tahoma"/>
      <family val="2"/>
    </font>
    <font>
      <sz val="14"/>
      <name val="Lato Regular"/>
    </font>
    <font>
      <sz val="12"/>
      <name val="Lato Regular"/>
    </font>
    <font>
      <b/>
      <i/>
      <sz val="12"/>
      <name val="Lato Regular"/>
    </font>
    <font>
      <sz val="12"/>
      <color rgb="FF215C98"/>
      <name val="Lato Regular"/>
    </font>
    <font>
      <b/>
      <sz val="22"/>
      <color theme="1"/>
      <name val="Lato Regular"/>
    </font>
    <font>
      <sz val="20"/>
      <color theme="1"/>
      <name val="Lato Regular"/>
    </font>
    <font>
      <sz val="14"/>
      <color theme="0"/>
      <name val="Lato Regular"/>
    </font>
    <font>
      <b/>
      <sz val="18"/>
      <color rgb="FFFF0000"/>
      <name val="Lato Regular"/>
    </font>
    <font>
      <sz val="10"/>
      <color theme="0"/>
      <name val="Lato Regular"/>
    </font>
    <font>
      <sz val="11"/>
      <color theme="0"/>
      <name val="Lato Regular"/>
    </font>
    <font>
      <b/>
      <sz val="14"/>
      <color rgb="FFC00000"/>
      <name val="Lato Regular"/>
    </font>
    <font>
      <b/>
      <sz val="12"/>
      <color rgb="FFC00000"/>
      <name val="Lato Regular"/>
    </font>
    <font>
      <b/>
      <sz val="10"/>
      <color rgb="FFC00000"/>
      <name val="Lato Regular"/>
    </font>
    <font>
      <sz val="11"/>
      <color theme="4"/>
      <name val="Lato Regular"/>
    </font>
    <font>
      <b/>
      <i/>
      <sz val="11"/>
      <name val="Lato Regular"/>
    </font>
    <font>
      <sz val="11"/>
      <color theme="0" tint="-0.499984740745262"/>
      <name val="Lato Regular"/>
    </font>
    <font>
      <b/>
      <u/>
      <sz val="12"/>
      <color theme="1"/>
      <name val="Lato Regular"/>
    </font>
    <font>
      <b/>
      <sz val="10"/>
      <color rgb="FFFF0000"/>
      <name val="Lato Regular"/>
    </font>
    <font>
      <b/>
      <sz val="14"/>
      <color theme="0"/>
      <name val="Lato Regular"/>
    </font>
    <font>
      <u/>
      <sz val="14"/>
      <color theme="10"/>
      <name val="Lato Regular"/>
    </font>
    <font>
      <b/>
      <sz val="10"/>
      <color theme="0"/>
      <name val="Lato Regular"/>
    </font>
    <font>
      <b/>
      <sz val="8"/>
      <color theme="0"/>
      <name val="Lato Regular"/>
    </font>
    <font>
      <b/>
      <sz val="4"/>
      <color theme="0"/>
      <name val="Lato Regular"/>
    </font>
    <font>
      <sz val="18"/>
      <color theme="1"/>
      <name val="Lato Regular"/>
    </font>
    <font>
      <sz val="18"/>
      <name val="Lato Regular"/>
    </font>
    <font>
      <sz val="12"/>
      <color rgb="FF000000"/>
      <name val="Aptos"/>
      <family val="2"/>
    </font>
    <font>
      <sz val="18"/>
      <color theme="0"/>
      <name val="Source Serif Pro SemiBold"/>
      <family val="1"/>
    </font>
    <font>
      <b/>
      <sz val="11"/>
      <color theme="0"/>
      <name val="Lato"/>
      <family val="2"/>
    </font>
    <font>
      <b/>
      <i/>
      <sz val="11"/>
      <color theme="0"/>
      <name val="Lato Regular"/>
    </font>
    <font>
      <b/>
      <sz val="18"/>
      <color theme="0"/>
      <name val="Source Serif Pro SemiBold"/>
      <family val="1"/>
    </font>
    <font>
      <b/>
      <sz val="16"/>
      <color theme="0"/>
      <name val="Lato Regular"/>
    </font>
    <font>
      <b/>
      <sz val="14"/>
      <color rgb="FF496A86"/>
      <name val="Lato Regular"/>
    </font>
    <font>
      <sz val="12"/>
      <color rgb="FFFF0000"/>
      <name val="Lato Regular"/>
    </font>
    <font>
      <i/>
      <sz val="12"/>
      <color rgb="FFFF0000"/>
      <name val="Lato Regular"/>
    </font>
    <font>
      <sz val="22"/>
      <color theme="0"/>
      <name val="Source Serif Pro SemiBold"/>
      <family val="1"/>
    </font>
    <font>
      <b/>
      <sz val="22"/>
      <color theme="0"/>
      <name val="Source Serif Pro SemiBold"/>
      <family val="1"/>
    </font>
    <font>
      <sz val="14"/>
      <color rgb="FF000000"/>
      <name val="Times New Roman"/>
      <family val="1"/>
    </font>
    <font>
      <sz val="11"/>
      <color rgb="FFC00000"/>
      <name val="Lato Regular"/>
    </font>
    <font>
      <i/>
      <sz val="11"/>
      <name val="Lato Regular"/>
    </font>
    <font>
      <b/>
      <sz val="8"/>
      <color theme="1"/>
      <name val="Lato Regular"/>
    </font>
    <font>
      <i/>
      <sz val="8"/>
      <color theme="1"/>
      <name val="Lato Regular"/>
    </font>
    <font>
      <i/>
      <sz val="11"/>
      <name val="Lato"/>
      <family val="2"/>
    </font>
    <font>
      <b/>
      <sz val="11"/>
      <color rgb="FF496A86"/>
      <name val="Lato Regular"/>
    </font>
    <font>
      <b/>
      <sz val="11"/>
      <color theme="2"/>
      <name val="Lato Regular"/>
    </font>
    <font>
      <sz val="11"/>
      <color theme="2"/>
      <name val="Lato Regular"/>
    </font>
    <font>
      <sz val="8"/>
      <color theme="0"/>
      <name val="Lato Regular"/>
    </font>
    <font>
      <b/>
      <sz val="11"/>
      <color theme="0" tint="-4.9989318521683403E-2"/>
      <name val="Lato Regular"/>
    </font>
    <font>
      <b/>
      <sz val="10"/>
      <color rgb="FFFFFFFF"/>
      <name val="Arial"/>
      <family val="2"/>
    </font>
    <font>
      <b/>
      <sz val="10"/>
      <color rgb="FF3A3A3A"/>
      <name val="Lato Regular"/>
    </font>
    <font>
      <i/>
      <sz val="10"/>
      <color theme="1"/>
      <name val="Lato Regular"/>
    </font>
    <font>
      <b/>
      <u/>
      <sz val="12"/>
      <color theme="10"/>
      <name val="Aptos Narrow"/>
      <family val="2"/>
      <scheme val="minor"/>
    </font>
    <font>
      <sz val="11"/>
      <color theme="0" tint="-4.9989318521683403E-2"/>
      <name val="Lato Regular"/>
    </font>
  </fonts>
  <fills count="55">
    <fill>
      <patternFill patternType="none"/>
    </fill>
    <fill>
      <patternFill patternType="gray125"/>
    </fill>
    <fill>
      <patternFill patternType="solid">
        <fgColor theme="4" tint="0.59999389629810485"/>
        <bgColor indexed="65"/>
      </patternFill>
    </fill>
    <fill>
      <patternFill patternType="solid">
        <fgColor theme="8" tint="0.59999389629810485"/>
        <bgColor indexed="65"/>
      </patternFill>
    </fill>
    <fill>
      <patternFill patternType="solid">
        <fgColor theme="0"/>
        <bgColor indexed="64"/>
      </patternFill>
    </fill>
    <fill>
      <patternFill patternType="solid">
        <fgColor theme="4"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6" tint="0.79998168889431442"/>
        <bgColor indexed="65"/>
      </patternFill>
    </fill>
    <fill>
      <patternFill patternType="solid">
        <fgColor theme="5" tint="0.79998168889431442"/>
        <bgColor indexed="64"/>
      </patternFill>
    </fill>
    <fill>
      <patternFill patternType="solid">
        <fgColor theme="2"/>
        <bgColor indexed="64"/>
      </patternFill>
    </fill>
    <fill>
      <patternFill patternType="solid">
        <fgColor theme="4" tint="-0.249977111117893"/>
        <bgColor indexed="64"/>
      </patternFill>
    </fill>
    <fill>
      <patternFill patternType="solid">
        <fgColor theme="0" tint="-0.499984740745262"/>
        <bgColor indexed="64"/>
      </patternFill>
    </fill>
    <fill>
      <patternFill patternType="solid">
        <fgColor rgb="FFFFC000"/>
        <bgColor indexed="64"/>
      </patternFill>
    </fill>
    <fill>
      <patternFill patternType="solid">
        <fgColor rgb="FF92D050"/>
        <bgColor indexed="64"/>
      </patternFill>
    </fill>
    <fill>
      <patternFill patternType="solid">
        <fgColor theme="0" tint="-4.9989318521683403E-2"/>
        <bgColor indexed="64"/>
      </patternFill>
    </fill>
    <fill>
      <patternFill patternType="solid">
        <fgColor theme="2"/>
        <bgColor rgb="FF000000"/>
      </patternFill>
    </fill>
    <fill>
      <patternFill patternType="solid">
        <fgColor theme="8" tint="0.79998168889431442"/>
        <bgColor indexed="65"/>
      </patternFill>
    </fill>
    <fill>
      <patternFill patternType="solid">
        <fgColor theme="9" tint="0.79998168889431442"/>
        <bgColor indexed="64"/>
      </patternFill>
    </fill>
    <fill>
      <patternFill patternType="solid">
        <fgColor theme="3" tint="0.89999084444715716"/>
        <bgColor indexed="64"/>
      </patternFill>
    </fill>
    <fill>
      <patternFill patternType="solid">
        <fgColor theme="0" tint="-0.34998626667073579"/>
        <bgColor indexed="64"/>
      </patternFill>
    </fill>
    <fill>
      <patternFill patternType="solid">
        <fgColor theme="0" tint="-4.9989318521683403E-2"/>
        <bgColor rgb="FF000000"/>
      </patternFill>
    </fill>
    <fill>
      <patternFill patternType="solid">
        <fgColor theme="0"/>
        <bgColor rgb="FF000000"/>
      </patternFill>
    </fill>
    <fill>
      <patternFill patternType="solid">
        <fgColor rgb="FFEEEAD8"/>
        <bgColor indexed="64"/>
      </patternFill>
    </fill>
    <fill>
      <patternFill patternType="solid">
        <fgColor rgb="FFD3D3D3"/>
        <bgColor indexed="64"/>
      </patternFill>
    </fill>
    <fill>
      <patternFill patternType="solid">
        <fgColor rgb="FFFFFFFF"/>
        <bgColor indexed="64"/>
      </patternFill>
    </fill>
    <fill>
      <patternFill patternType="solid">
        <fgColor theme="0"/>
        <bgColor theme="4" tint="0.79998168889431442"/>
      </patternFill>
    </fill>
    <fill>
      <patternFill patternType="solid">
        <fgColor theme="3"/>
        <bgColor indexed="64"/>
      </patternFill>
    </fill>
    <fill>
      <patternFill patternType="solid">
        <fgColor theme="3" tint="0.39997558519241921"/>
        <bgColor indexed="64"/>
      </patternFill>
    </fill>
    <fill>
      <patternFill patternType="solid">
        <fgColor indexed="8"/>
        <bgColor indexed="64"/>
      </patternFill>
    </fill>
    <fill>
      <patternFill patternType="solid">
        <fgColor theme="9" tint="0.59999389629810485"/>
        <bgColor indexed="64"/>
      </patternFill>
    </fill>
    <fill>
      <patternFill patternType="solid">
        <fgColor rgb="FF7030A0"/>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rgb="FF002060"/>
        <bgColor indexed="64"/>
      </patternFill>
    </fill>
    <fill>
      <patternFill patternType="solid">
        <fgColor theme="4" tint="0.59999389629810485"/>
        <bgColor indexed="64"/>
      </patternFill>
    </fill>
    <fill>
      <patternFill patternType="solid">
        <fgColor rgb="FFFF0000"/>
        <bgColor indexed="64"/>
      </patternFill>
    </fill>
    <fill>
      <patternFill patternType="solid">
        <fgColor rgb="FFD8D7D9"/>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rgb="FF496A86"/>
        <bgColor indexed="64"/>
      </patternFill>
    </fill>
    <fill>
      <patternFill patternType="solid">
        <fgColor theme="3" tint="0.89999084444715716"/>
        <bgColor rgb="FF000000"/>
      </patternFill>
    </fill>
    <fill>
      <patternFill patternType="solid">
        <fgColor theme="0" tint="-4.9989318521683403E-2"/>
        <bgColor indexed="65"/>
      </patternFill>
    </fill>
    <fill>
      <patternFill patternType="solid">
        <fgColor rgb="FFFFC7CE"/>
        <bgColor indexed="64"/>
      </patternFill>
    </fill>
    <fill>
      <patternFill patternType="solid">
        <fgColor rgb="FF496A86"/>
        <bgColor rgb="FF000000"/>
      </patternFill>
    </fill>
    <fill>
      <patternFill patternType="solid">
        <fgColor rgb="FFFEFDDF"/>
        <bgColor indexed="64"/>
      </patternFill>
    </fill>
    <fill>
      <patternFill patternType="solid">
        <fgColor theme="5" tint="0.39997558519241921"/>
        <bgColor indexed="64"/>
      </patternFill>
    </fill>
    <fill>
      <patternFill patternType="solid">
        <fgColor theme="6" tint="0.79998168889431442"/>
        <bgColor indexed="64"/>
      </patternFill>
    </fill>
    <fill>
      <patternFill patternType="solid">
        <fgColor rgb="FF666666"/>
        <bgColor rgb="FF666666"/>
      </patternFill>
    </fill>
    <fill>
      <patternFill patternType="solid">
        <fgColor rgb="FF2D7FD1"/>
        <bgColor indexed="64"/>
      </patternFill>
    </fill>
    <fill>
      <patternFill patternType="solid">
        <fgColor rgb="FFE2E2E2"/>
        <bgColor indexed="64"/>
      </patternFill>
    </fill>
    <fill>
      <patternFill patternType="solid">
        <fgColor theme="3" tint="0.89999084444715716"/>
        <bgColor theme="3" tint="0.89999084444715716"/>
      </patternFill>
    </fill>
    <fill>
      <patternFill patternType="solid">
        <fgColor rgb="FFF3F3F3"/>
        <bgColor indexed="64"/>
      </patternFill>
    </fill>
  </fills>
  <borders count="21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theme="0" tint="-0.14999847407452621"/>
      </left>
      <right/>
      <top style="medium">
        <color theme="0" tint="-0.14999847407452621"/>
      </top>
      <bottom/>
      <diagonal/>
    </border>
    <border>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top/>
      <bottom/>
      <diagonal/>
    </border>
    <border>
      <left/>
      <right style="medium">
        <color theme="0" tint="-0.14999847407452621"/>
      </right>
      <top/>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right/>
      <top/>
      <bottom style="thick">
        <color theme="4" tint="0.499984740745262"/>
      </bottom>
      <diagonal/>
    </border>
    <border>
      <left/>
      <right/>
      <top style="thin">
        <color theme="4"/>
      </top>
      <bottom style="double">
        <color theme="4"/>
      </bottom>
      <diagonal/>
    </border>
    <border>
      <left style="thin">
        <color indexed="64"/>
      </left>
      <right/>
      <top style="thin">
        <color indexed="64"/>
      </top>
      <bottom/>
      <diagonal/>
    </border>
    <border>
      <left style="thin">
        <color indexed="64"/>
      </left>
      <right/>
      <top/>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medium">
        <color indexed="64"/>
      </left>
      <right style="thin">
        <color indexed="64"/>
      </right>
      <top/>
      <bottom/>
      <diagonal/>
    </border>
    <border>
      <left style="medium">
        <color indexed="64"/>
      </left>
      <right/>
      <top style="medium">
        <color indexed="64"/>
      </top>
      <bottom style="thin">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diagonal/>
    </border>
    <border>
      <left style="medium">
        <color indexed="64"/>
      </left>
      <right/>
      <top style="medium">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top/>
      <bottom style="thin">
        <color indexed="64"/>
      </bottom>
      <diagonal/>
    </border>
    <border>
      <left style="thin">
        <color theme="1"/>
      </left>
      <right style="thin">
        <color theme="1"/>
      </right>
      <top style="thin">
        <color theme="1"/>
      </top>
      <bottom style="thin">
        <color theme="1"/>
      </bottom>
      <diagonal/>
    </border>
    <border>
      <left style="thin">
        <color indexed="64"/>
      </left>
      <right style="medium">
        <color indexed="64"/>
      </right>
      <top style="medium">
        <color indexed="64"/>
      </top>
      <bottom/>
      <diagonal/>
    </border>
    <border>
      <left/>
      <right style="medium">
        <color indexed="64"/>
      </right>
      <top style="thin">
        <color indexed="64"/>
      </top>
      <bottom style="medium">
        <color indexed="64"/>
      </bottom>
      <diagonal/>
    </border>
    <border>
      <left style="thin">
        <color indexed="64"/>
      </left>
      <right style="medium">
        <color indexed="64"/>
      </right>
      <top/>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auto="1"/>
      </left>
      <right/>
      <top style="double">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theme="1"/>
      </left>
      <right style="thin">
        <color theme="1"/>
      </right>
      <top/>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theme="1"/>
      </left>
      <right style="thin">
        <color theme="1"/>
      </right>
      <top/>
      <bottom style="thin">
        <color theme="1"/>
      </bottom>
      <diagonal/>
    </border>
    <border>
      <left style="thin">
        <color theme="2"/>
      </left>
      <right style="thin">
        <color theme="2"/>
      </right>
      <top style="thin">
        <color theme="2"/>
      </top>
      <bottom style="thin">
        <color theme="2"/>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diagonal/>
    </border>
    <border>
      <left style="medium">
        <color indexed="64"/>
      </left>
      <right style="medium">
        <color indexed="64"/>
      </right>
      <top/>
      <bottom style="thin">
        <color indexed="64"/>
      </bottom>
      <diagonal/>
    </border>
    <border>
      <left style="thin">
        <color indexed="64"/>
      </left>
      <right/>
      <top/>
      <bottom style="thin">
        <color indexed="64"/>
      </bottom>
      <diagonal/>
    </border>
    <border>
      <left style="thin">
        <color theme="1"/>
      </left>
      <right style="thin">
        <color theme="1"/>
      </right>
      <top style="thin">
        <color theme="1"/>
      </top>
      <bottom/>
      <diagonal/>
    </border>
    <border>
      <left style="thin">
        <color theme="2"/>
      </left>
      <right/>
      <top/>
      <bottom/>
      <diagonal/>
    </border>
    <border>
      <left/>
      <right/>
      <top style="thin">
        <color theme="1"/>
      </top>
      <bottom/>
      <diagonal/>
    </border>
    <border>
      <left/>
      <right/>
      <top/>
      <bottom style="thin">
        <color theme="1"/>
      </bottom>
      <diagonal/>
    </border>
    <border>
      <left style="thin">
        <color theme="1"/>
      </left>
      <right style="thin">
        <color indexed="64"/>
      </right>
      <top style="thin">
        <color theme="1"/>
      </top>
      <bottom/>
      <diagonal/>
    </border>
    <border>
      <left style="thin">
        <color indexed="64"/>
      </left>
      <right style="thin">
        <color indexed="64"/>
      </right>
      <top style="thin">
        <color theme="1"/>
      </top>
      <bottom/>
      <diagonal/>
    </border>
    <border>
      <left style="thin">
        <color indexed="64"/>
      </left>
      <right/>
      <top style="thin">
        <color theme="1"/>
      </top>
      <bottom style="thin">
        <color indexed="64"/>
      </bottom>
      <diagonal/>
    </border>
    <border>
      <left/>
      <right/>
      <top style="thin">
        <color theme="1"/>
      </top>
      <bottom style="thin">
        <color indexed="64"/>
      </bottom>
      <diagonal/>
    </border>
    <border>
      <left/>
      <right style="thin">
        <color theme="1"/>
      </right>
      <top style="thin">
        <color theme="1"/>
      </top>
      <bottom style="thin">
        <color indexed="64"/>
      </bottom>
      <diagonal/>
    </border>
    <border>
      <left style="thin">
        <color theme="1"/>
      </left>
      <right style="thin">
        <color indexed="64"/>
      </right>
      <top/>
      <bottom/>
      <diagonal/>
    </border>
    <border>
      <left style="thin">
        <color theme="1"/>
      </left>
      <right style="thin">
        <color indexed="64"/>
      </right>
      <top/>
      <bottom style="thin">
        <color theme="1"/>
      </bottom>
      <diagonal/>
    </border>
    <border>
      <left style="thin">
        <color indexed="64"/>
      </left>
      <right style="thin">
        <color indexed="64"/>
      </right>
      <top/>
      <bottom style="thin">
        <color theme="1"/>
      </bottom>
      <diagonal/>
    </border>
    <border>
      <left style="thin">
        <color indexed="64"/>
      </left>
      <right/>
      <top/>
      <bottom style="thin">
        <color theme="1"/>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medium">
        <color indexed="64"/>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style="thin">
        <color indexed="64"/>
      </right>
      <top/>
      <bottom/>
      <diagonal/>
    </border>
    <border>
      <left style="medium">
        <color indexed="64"/>
      </left>
      <right style="medium">
        <color indexed="64"/>
      </right>
      <top/>
      <bottom/>
      <diagonal/>
    </border>
    <border>
      <left style="thin">
        <color indexed="64"/>
      </left>
      <right style="thin">
        <color indexed="64"/>
      </right>
      <top/>
      <bottom style="medium">
        <color indexed="64"/>
      </bottom>
      <diagonal/>
    </border>
    <border>
      <left/>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top style="medium">
        <color indexed="64"/>
      </top>
      <bottom style="thin">
        <color indexed="64"/>
      </bottom>
      <diagonal/>
    </border>
    <border>
      <left style="thin">
        <color indexed="64"/>
      </left>
      <right style="thin">
        <color indexed="64"/>
      </right>
      <top style="thin">
        <color indexed="64"/>
      </top>
      <bottom style="thin">
        <color theme="2"/>
      </bottom>
      <diagonal/>
    </border>
    <border>
      <left style="thin">
        <color indexed="64"/>
      </left>
      <right style="thin">
        <color indexed="64"/>
      </right>
      <top style="thin">
        <color theme="2"/>
      </top>
      <bottom style="thin">
        <color theme="2"/>
      </bottom>
      <diagonal/>
    </border>
    <border>
      <left style="thin">
        <color indexed="64"/>
      </left>
      <right style="thin">
        <color indexed="64"/>
      </right>
      <top style="thin">
        <color theme="2"/>
      </top>
      <bottom style="thin">
        <color indexed="64"/>
      </bottom>
      <diagonal/>
    </border>
    <border>
      <left style="thin">
        <color indexed="64"/>
      </left>
      <right/>
      <top style="thin">
        <color indexed="64"/>
      </top>
      <bottom style="thin">
        <color theme="2"/>
      </bottom>
      <diagonal/>
    </border>
    <border>
      <left style="thin">
        <color indexed="64"/>
      </left>
      <right/>
      <top style="thin">
        <color theme="2"/>
      </top>
      <bottom style="thin">
        <color theme="2"/>
      </bottom>
      <diagonal/>
    </border>
    <border>
      <left style="thin">
        <color indexed="64"/>
      </left>
      <right/>
      <top style="thin">
        <color theme="2"/>
      </top>
      <bottom style="thin">
        <color indexed="64"/>
      </bottom>
      <diagonal/>
    </border>
    <border>
      <left style="thin">
        <color indexed="64"/>
      </left>
      <right/>
      <top style="thin">
        <color theme="1"/>
      </top>
      <bottom style="thin">
        <color theme="1"/>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right style="thin">
        <color theme="0"/>
      </right>
      <top/>
      <bottom style="thin">
        <color theme="0"/>
      </bottom>
      <diagonal/>
    </border>
    <border>
      <left style="thin">
        <color theme="0"/>
      </left>
      <right style="thin">
        <color theme="0"/>
      </right>
      <top style="thin">
        <color theme="0"/>
      </top>
      <bottom/>
      <diagonal/>
    </border>
    <border>
      <left style="thin">
        <color indexed="64"/>
      </left>
      <right style="thin">
        <color theme="1"/>
      </right>
      <top/>
      <bottom style="thin">
        <color theme="1"/>
      </bottom>
      <diagonal/>
    </border>
    <border>
      <left style="thin">
        <color indexed="64"/>
      </left>
      <right style="thin">
        <color indexed="64"/>
      </right>
      <top style="thin">
        <color theme="1"/>
      </top>
      <bottom style="thin">
        <color theme="1"/>
      </bottom>
      <diagonal/>
    </border>
    <border>
      <left style="thin">
        <color indexed="64"/>
      </left>
      <right style="thin">
        <color indexed="64"/>
      </right>
      <top style="thin">
        <color indexed="64"/>
      </top>
      <bottom style="thin">
        <color theme="1"/>
      </bottom>
      <diagonal/>
    </border>
    <border>
      <left style="thin">
        <color theme="1"/>
      </left>
      <right style="thin">
        <color indexed="64"/>
      </right>
      <top style="thin">
        <color theme="1"/>
      </top>
      <bottom style="thin">
        <color indexed="64"/>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right/>
      <top style="thin">
        <color theme="0"/>
      </top>
      <bottom style="thin">
        <color theme="0"/>
      </bottom>
      <diagonal/>
    </border>
    <border>
      <left/>
      <right/>
      <top style="thin">
        <color auto="1"/>
      </top>
      <bottom/>
      <diagonal/>
    </border>
    <border>
      <left style="thin">
        <color theme="2"/>
      </left>
      <right style="thin">
        <color theme="2"/>
      </right>
      <top style="thin">
        <color theme="2"/>
      </top>
      <bottom style="thin">
        <color indexed="64"/>
      </bottom>
      <diagonal/>
    </border>
    <border>
      <left/>
      <right style="thin">
        <color theme="2"/>
      </right>
      <top style="thin">
        <color theme="2"/>
      </top>
      <bottom style="thin">
        <color theme="2"/>
      </bottom>
      <diagonal/>
    </border>
    <border>
      <left style="thin">
        <color theme="2"/>
      </left>
      <right style="thin">
        <color theme="2"/>
      </right>
      <top/>
      <bottom style="thin">
        <color theme="2"/>
      </bottom>
      <diagonal/>
    </border>
    <border>
      <left style="thin">
        <color indexed="64"/>
      </left>
      <right style="thin">
        <color theme="2"/>
      </right>
      <top style="thin">
        <color indexed="64"/>
      </top>
      <bottom style="thin">
        <color indexed="64"/>
      </bottom>
      <diagonal/>
    </border>
    <border>
      <left style="thin">
        <color theme="2"/>
      </left>
      <right style="thin">
        <color indexed="64"/>
      </right>
      <top style="thin">
        <color indexed="64"/>
      </top>
      <bottom style="thin">
        <color indexed="64"/>
      </bottom>
      <diagonal/>
    </border>
    <border>
      <left style="thin">
        <color indexed="64"/>
      </left>
      <right style="thin">
        <color theme="2"/>
      </right>
      <top style="thin">
        <color indexed="64"/>
      </top>
      <bottom style="thin">
        <color theme="2"/>
      </bottom>
      <diagonal/>
    </border>
    <border>
      <left style="thin">
        <color theme="2"/>
      </left>
      <right style="thin">
        <color indexed="64"/>
      </right>
      <top style="thin">
        <color indexed="64"/>
      </top>
      <bottom style="thin">
        <color theme="2"/>
      </bottom>
      <diagonal/>
    </border>
    <border>
      <left style="thin">
        <color indexed="64"/>
      </left>
      <right style="thin">
        <color theme="2"/>
      </right>
      <top style="thin">
        <color theme="2"/>
      </top>
      <bottom style="thin">
        <color theme="2"/>
      </bottom>
      <diagonal/>
    </border>
    <border>
      <left style="thin">
        <color theme="2"/>
      </left>
      <right style="thin">
        <color indexed="64"/>
      </right>
      <top style="thin">
        <color theme="2"/>
      </top>
      <bottom style="thin">
        <color theme="2"/>
      </bottom>
      <diagonal/>
    </border>
    <border>
      <left style="thin">
        <color indexed="64"/>
      </left>
      <right style="thin">
        <color theme="2"/>
      </right>
      <top style="thin">
        <color theme="2"/>
      </top>
      <bottom style="thin">
        <color indexed="64"/>
      </bottom>
      <diagonal/>
    </border>
    <border>
      <left style="thin">
        <color theme="2"/>
      </left>
      <right style="thin">
        <color indexed="64"/>
      </right>
      <top style="thin">
        <color theme="2"/>
      </top>
      <bottom style="thin">
        <color indexed="64"/>
      </bottom>
      <diagonal/>
    </border>
    <border>
      <left style="thin">
        <color theme="2"/>
      </left>
      <right style="thin">
        <color theme="2"/>
      </right>
      <top style="thin">
        <color indexed="64"/>
      </top>
      <bottom style="thin">
        <color theme="2"/>
      </bottom>
      <diagonal/>
    </border>
    <border>
      <left style="thin">
        <color indexed="64"/>
      </left>
      <right/>
      <top/>
      <bottom style="thin">
        <color theme="2"/>
      </bottom>
      <diagonal/>
    </border>
    <border>
      <left style="thin">
        <color indexed="64"/>
      </left>
      <right style="thin">
        <color theme="2"/>
      </right>
      <top/>
      <bottom style="thin">
        <color theme="2"/>
      </bottom>
      <diagonal/>
    </border>
    <border>
      <left style="thin">
        <color theme="2"/>
      </left>
      <right style="thin">
        <color indexed="64"/>
      </right>
      <top/>
      <bottom style="thin">
        <color theme="2"/>
      </bottom>
      <diagonal/>
    </border>
    <border>
      <left style="thin">
        <color theme="2"/>
      </left>
      <right style="thin">
        <color theme="2"/>
      </right>
      <top style="thin">
        <color theme="2"/>
      </top>
      <bottom/>
      <diagonal/>
    </border>
    <border>
      <left style="thin">
        <color theme="2"/>
      </left>
      <right style="thin">
        <color theme="2"/>
      </right>
      <top/>
      <bottom/>
      <diagonal/>
    </border>
    <border>
      <left/>
      <right style="thin">
        <color theme="2"/>
      </right>
      <top style="thin">
        <color indexed="64"/>
      </top>
      <bottom style="thin">
        <color theme="2"/>
      </bottom>
      <diagonal/>
    </border>
    <border>
      <left/>
      <right style="thin">
        <color theme="2"/>
      </right>
      <top style="thin">
        <color theme="2"/>
      </top>
      <bottom style="thin">
        <color indexed="64"/>
      </bottom>
      <diagonal/>
    </border>
    <border>
      <left style="thin">
        <color theme="2"/>
      </left>
      <right style="thin">
        <color theme="2"/>
      </right>
      <top style="thin">
        <color indexed="64"/>
      </top>
      <bottom style="thin">
        <color indexed="64"/>
      </bottom>
      <diagonal/>
    </border>
    <border>
      <left style="thin">
        <color indexed="64"/>
      </left>
      <right style="thin">
        <color theme="2"/>
      </right>
      <top style="thin">
        <color indexed="64"/>
      </top>
      <bottom/>
      <diagonal/>
    </border>
    <border>
      <left style="thin">
        <color theme="2"/>
      </left>
      <right style="thin">
        <color indexed="64"/>
      </right>
      <top style="thin">
        <color indexed="64"/>
      </top>
      <bottom/>
      <diagonal/>
    </border>
    <border>
      <left style="thin">
        <color indexed="64"/>
      </left>
      <right style="thin">
        <color theme="2"/>
      </right>
      <top style="thin">
        <color theme="2"/>
      </top>
      <bottom/>
      <diagonal/>
    </border>
    <border>
      <left style="thin">
        <color theme="2"/>
      </left>
      <right style="thin">
        <color indexed="64"/>
      </right>
      <top style="thin">
        <color theme="2"/>
      </top>
      <bottom/>
      <diagonal/>
    </border>
    <border>
      <left style="thin">
        <color indexed="64"/>
      </left>
      <right style="thin">
        <color theme="2"/>
      </right>
      <top/>
      <bottom style="thin">
        <color indexed="64"/>
      </bottom>
      <diagonal/>
    </border>
    <border>
      <left style="thin">
        <color theme="2"/>
      </left>
      <right style="thin">
        <color indexed="64"/>
      </right>
      <top/>
      <bottom style="thin">
        <color indexed="64"/>
      </bottom>
      <diagonal/>
    </border>
    <border>
      <left style="medium">
        <color theme="1"/>
      </left>
      <right style="thin">
        <color theme="1"/>
      </right>
      <top/>
      <bottom/>
      <diagonal/>
    </border>
    <border>
      <left style="thin">
        <color theme="1"/>
      </left>
      <right style="medium">
        <color theme="1"/>
      </right>
      <top/>
      <bottom/>
      <diagonal/>
    </border>
    <border>
      <left style="thin">
        <color theme="2"/>
      </left>
      <right style="thin">
        <color theme="2"/>
      </right>
      <top style="thin">
        <color indexed="64"/>
      </top>
      <bottom/>
      <diagonal/>
    </border>
    <border>
      <left/>
      <right style="thin">
        <color indexed="64"/>
      </right>
      <top style="thin">
        <color indexed="64"/>
      </top>
      <bottom style="thin">
        <color theme="2"/>
      </bottom>
      <diagonal/>
    </border>
    <border>
      <left/>
      <right style="thin">
        <color indexed="64"/>
      </right>
      <top style="thin">
        <color theme="2"/>
      </top>
      <bottom style="thin">
        <color theme="2"/>
      </bottom>
      <diagonal/>
    </border>
    <border>
      <left/>
      <right style="thin">
        <color indexed="64"/>
      </right>
      <top style="thin">
        <color theme="2"/>
      </top>
      <bottom style="thin">
        <color indexed="64"/>
      </bottom>
      <diagonal/>
    </border>
    <border>
      <left style="thin">
        <color indexed="64"/>
      </left>
      <right style="thin">
        <color theme="2"/>
      </right>
      <top/>
      <bottom/>
      <diagonal/>
    </border>
    <border>
      <left/>
      <right style="thin">
        <color theme="0"/>
      </right>
      <top/>
      <bottom/>
      <diagonal/>
    </border>
    <border>
      <left/>
      <right/>
      <top style="thin">
        <color theme="2"/>
      </top>
      <bottom style="thin">
        <color theme="2"/>
      </bottom>
      <diagonal/>
    </border>
    <border>
      <left style="thin">
        <color theme="2"/>
      </left>
      <right/>
      <top style="thin">
        <color indexed="64"/>
      </top>
      <bottom style="thin">
        <color theme="2"/>
      </bottom>
      <diagonal/>
    </border>
    <border>
      <left style="thin">
        <color theme="2"/>
      </left>
      <right/>
      <top style="thin">
        <color theme="2"/>
      </top>
      <bottom style="thin">
        <color theme="2"/>
      </bottom>
      <diagonal/>
    </border>
    <border>
      <left style="thin">
        <color theme="2"/>
      </left>
      <right/>
      <top style="thin">
        <color theme="2"/>
      </top>
      <bottom style="thin">
        <color indexed="64"/>
      </bottom>
      <diagonal/>
    </border>
    <border>
      <left/>
      <right/>
      <top style="thin">
        <color theme="2"/>
      </top>
      <bottom style="thin">
        <color indexed="64"/>
      </bottom>
      <diagonal/>
    </border>
    <border>
      <left style="thin">
        <color theme="0"/>
      </left>
      <right/>
      <top/>
      <bottom style="thin">
        <color theme="0"/>
      </bottom>
      <diagonal/>
    </border>
    <border>
      <left style="thin">
        <color theme="2"/>
      </left>
      <right/>
      <top/>
      <bottom style="thin">
        <color theme="2"/>
      </bottom>
      <diagonal/>
    </border>
    <border>
      <left/>
      <right style="thin">
        <color theme="2"/>
      </right>
      <top/>
      <bottom style="thin">
        <color theme="2"/>
      </bottom>
      <diagonal/>
    </border>
    <border>
      <left style="thin">
        <color theme="2"/>
      </left>
      <right/>
      <top style="thin">
        <color theme="2"/>
      </top>
      <bottom/>
      <diagonal/>
    </border>
    <border>
      <left/>
      <right/>
      <top style="thin">
        <color indexed="64"/>
      </top>
      <bottom/>
      <diagonal/>
    </border>
    <border>
      <left style="thin">
        <color indexed="64"/>
      </left>
      <right style="hair">
        <color theme="0" tint="-0.14996795556505021"/>
      </right>
      <top style="thin">
        <color indexed="64"/>
      </top>
      <bottom style="thin">
        <color theme="2"/>
      </bottom>
      <diagonal/>
    </border>
    <border>
      <left style="thin">
        <color indexed="64"/>
      </left>
      <right style="hair">
        <color theme="0" tint="-0.14996795556505021"/>
      </right>
      <top style="thin">
        <color theme="2"/>
      </top>
      <bottom style="thin">
        <color theme="2"/>
      </bottom>
      <diagonal/>
    </border>
    <border>
      <left style="thin">
        <color indexed="64"/>
      </left>
      <right style="hair">
        <color theme="0" tint="-0.14996795556505021"/>
      </right>
      <top style="thin">
        <color theme="2"/>
      </top>
      <bottom style="thin">
        <color indexed="64"/>
      </bottom>
      <diagonal/>
    </border>
    <border>
      <left style="hair">
        <color rgb="FF333333"/>
      </left>
      <right style="hair">
        <color rgb="FF333333"/>
      </right>
      <top/>
      <bottom style="hair">
        <color rgb="FF333333"/>
      </bottom>
      <diagonal/>
    </border>
    <border>
      <left/>
      <right/>
      <top/>
      <bottom style="thin">
        <color theme="2"/>
      </bottom>
      <diagonal/>
    </border>
    <border>
      <left style="hair">
        <color theme="0" tint="-0.14996795556505021"/>
      </left>
      <right/>
      <top style="thin">
        <color indexed="64"/>
      </top>
      <bottom style="thin">
        <color theme="2"/>
      </bottom>
      <diagonal/>
    </border>
    <border>
      <left style="hair">
        <color theme="0" tint="-0.14996795556505021"/>
      </left>
      <right/>
      <top style="thin">
        <color theme="2"/>
      </top>
      <bottom style="thin">
        <color theme="2"/>
      </bottom>
      <diagonal/>
    </border>
    <border>
      <left style="hair">
        <color theme="0" tint="-0.14996795556505021"/>
      </left>
      <right/>
      <top style="thin">
        <color theme="2"/>
      </top>
      <bottom style="thin">
        <color indexed="64"/>
      </bottom>
      <diagonal/>
    </border>
    <border>
      <left style="thin">
        <color theme="0" tint="-0.14996795556505021"/>
      </left>
      <right style="thin">
        <color theme="0" tint="-0.14996795556505021"/>
      </right>
      <top style="thin">
        <color indexed="64"/>
      </top>
      <bottom style="thin">
        <color theme="2"/>
      </bottom>
      <diagonal/>
    </border>
    <border>
      <left style="thin">
        <color theme="0" tint="-0.14996795556505021"/>
      </left>
      <right style="thin">
        <color theme="2"/>
      </right>
      <top style="thin">
        <color indexed="64"/>
      </top>
      <bottom style="thin">
        <color theme="2"/>
      </bottom>
      <diagonal/>
    </border>
    <border>
      <left style="thin">
        <color indexed="64"/>
      </left>
      <right style="thin">
        <color theme="0" tint="-0.14996795556505021"/>
      </right>
      <top/>
      <bottom style="thin">
        <color theme="2"/>
      </bottom>
      <diagonal/>
    </border>
    <border>
      <left style="thin">
        <color theme="0" tint="-0.14996795556505021"/>
      </left>
      <right style="thin">
        <color theme="0" tint="-0.14996795556505021"/>
      </right>
      <top/>
      <bottom style="thin">
        <color theme="2"/>
      </bottom>
      <diagonal/>
    </border>
    <border>
      <left style="thin">
        <color theme="0" tint="-0.14996795556505021"/>
      </left>
      <right style="thin">
        <color theme="0" tint="-0.14996795556505021"/>
      </right>
      <top style="thin">
        <color theme="2"/>
      </top>
      <bottom style="thin">
        <color theme="2"/>
      </bottom>
      <diagonal/>
    </border>
    <border>
      <left style="thin">
        <color theme="0" tint="-0.14996795556505021"/>
      </left>
      <right style="thin">
        <color theme="2"/>
      </right>
      <top/>
      <bottom style="thin">
        <color theme="2"/>
      </bottom>
      <diagonal/>
    </border>
    <border>
      <left style="thin">
        <color indexed="64"/>
      </left>
      <right style="thin">
        <color theme="0" tint="-0.14996795556505021"/>
      </right>
      <top/>
      <bottom style="thin">
        <color indexed="64"/>
      </bottom>
      <diagonal/>
    </border>
    <border>
      <left style="thin">
        <color theme="0" tint="-0.14993743705557422"/>
      </left>
      <right style="thin">
        <color theme="0" tint="-0.14996795556505021"/>
      </right>
      <top style="thin">
        <color indexed="64"/>
      </top>
      <bottom style="thin">
        <color theme="2"/>
      </bottom>
      <diagonal/>
    </border>
    <border>
      <left style="thin">
        <color theme="0" tint="-0.14996795556505021"/>
      </left>
      <right/>
      <top style="thin">
        <color indexed="64"/>
      </top>
      <bottom style="thin">
        <color theme="2"/>
      </bottom>
      <diagonal/>
    </border>
    <border>
      <left style="thin">
        <color theme="2"/>
      </left>
      <right style="thin">
        <color indexed="64"/>
      </right>
      <top/>
      <bottom/>
      <diagonal/>
    </border>
    <border>
      <left style="thin">
        <color theme="0" tint="-0.14996795556505021"/>
      </left>
      <right style="thin">
        <color theme="2"/>
      </right>
      <top style="thin">
        <color theme="2"/>
      </top>
      <bottom style="thin">
        <color theme="2"/>
      </bottom>
      <diagonal/>
    </border>
    <border>
      <left style="thin">
        <color theme="0" tint="-0.14996795556505021"/>
      </left>
      <right style="thin">
        <color theme="2"/>
      </right>
      <top style="thin">
        <color theme="2"/>
      </top>
      <bottom style="thin">
        <color indexed="64"/>
      </bottom>
      <diagonal/>
    </border>
    <border>
      <left style="thin">
        <color theme="0" tint="-0.14996795556505021"/>
      </left>
      <right style="thin">
        <color theme="2"/>
      </right>
      <top style="thin">
        <color theme="2"/>
      </top>
      <bottom style="thin">
        <color theme="0" tint="-0.14993743705557422"/>
      </bottom>
      <diagonal/>
    </border>
    <border>
      <left style="thin">
        <color theme="0" tint="-0.14996795556505021"/>
      </left>
      <right style="thin">
        <color theme="0" tint="-0.14996795556505021"/>
      </right>
      <top style="thin">
        <color theme="2"/>
      </top>
      <bottom style="thin">
        <color theme="0" tint="-0.14993743705557422"/>
      </bottom>
      <diagonal/>
    </border>
    <border>
      <left/>
      <right/>
      <top style="thin">
        <color theme="2"/>
      </top>
      <bottom style="thin">
        <color theme="0" tint="-0.14993743705557422"/>
      </bottom>
      <diagonal/>
    </border>
    <border>
      <left/>
      <right style="thin">
        <color theme="2"/>
      </right>
      <top style="thin">
        <color theme="2"/>
      </top>
      <bottom style="thin">
        <color theme="0" tint="-0.14993743705557422"/>
      </bottom>
      <diagonal/>
    </border>
    <border>
      <left style="thin">
        <color theme="2"/>
      </left>
      <right style="thin">
        <color theme="1"/>
      </right>
      <top style="thin">
        <color theme="2"/>
      </top>
      <bottom style="thin">
        <color indexed="64"/>
      </bottom>
      <diagonal/>
    </border>
    <border>
      <left style="thin">
        <color theme="2"/>
      </left>
      <right style="thin">
        <color theme="1"/>
      </right>
      <top style="thin">
        <color theme="2"/>
      </top>
      <bottom style="thin">
        <color theme="2"/>
      </bottom>
      <diagonal/>
    </border>
    <border>
      <left style="thin">
        <color theme="2"/>
      </left>
      <right style="thin">
        <color theme="1"/>
      </right>
      <top style="thin">
        <color theme="2"/>
      </top>
      <bottom/>
      <diagonal/>
    </border>
    <border>
      <left style="thin">
        <color theme="1"/>
      </left>
      <right/>
      <top/>
      <bottom/>
      <diagonal/>
    </border>
    <border>
      <left/>
      <right/>
      <top/>
      <bottom style="thin">
        <color theme="0" tint="-0.499984740745262"/>
      </bottom>
      <diagonal/>
    </border>
    <border>
      <left/>
      <right style="thin">
        <color indexed="64"/>
      </right>
      <top/>
      <bottom style="medium">
        <color indexed="64"/>
      </bottom>
      <diagonal/>
    </border>
    <border>
      <left style="thin">
        <color theme="2"/>
      </left>
      <right/>
      <top/>
      <bottom style="thin">
        <color indexed="64"/>
      </bottom>
      <diagonal/>
    </border>
    <border>
      <left/>
      <right/>
      <top/>
      <bottom style="thin">
        <color theme="0"/>
      </bottom>
      <diagonal/>
    </border>
    <border>
      <left style="thin">
        <color theme="0" tint="-0.14996795556505021"/>
      </left>
      <right style="thin">
        <color theme="0" tint="-0.14996795556505021"/>
      </right>
      <top style="thin">
        <color theme="2"/>
      </top>
      <bottom style="thin">
        <color indexed="64"/>
      </bottom>
      <diagonal/>
    </border>
    <border>
      <left style="thin">
        <color theme="2"/>
      </left>
      <right/>
      <top style="thin">
        <color indexed="64"/>
      </top>
      <bottom/>
      <diagonal/>
    </border>
    <border>
      <left/>
      <right style="thin">
        <color theme="2"/>
      </right>
      <top style="thin">
        <color indexed="64"/>
      </top>
      <bottom style="thin">
        <color indexed="64"/>
      </bottom>
      <diagonal/>
    </border>
    <border>
      <left/>
      <right style="thin">
        <color theme="2"/>
      </right>
      <top style="thin">
        <color indexed="64"/>
      </top>
      <bottom/>
      <diagonal/>
    </border>
    <border>
      <left/>
      <right/>
      <top style="thin">
        <color indexed="64"/>
      </top>
      <bottom style="thin">
        <color theme="2"/>
      </bottom>
      <diagonal/>
    </border>
    <border>
      <left style="thin">
        <color theme="0" tint="-0.499984740745262"/>
      </left>
      <right/>
      <top style="thin">
        <color theme="0" tint="-0.499984740745262"/>
      </top>
      <bottom style="thin">
        <color theme="0" tint="-0.499984740745262"/>
      </bottom>
      <diagonal/>
    </border>
    <border>
      <left style="thin">
        <color theme="2"/>
      </left>
      <right/>
      <top style="thin">
        <color indexed="64"/>
      </top>
      <bottom style="thin">
        <color indexed="64"/>
      </bottom>
      <diagonal/>
    </border>
    <border>
      <left style="thin">
        <color theme="0" tint="-0.14996795556505021"/>
      </left>
      <right/>
      <top/>
      <bottom style="thin">
        <color theme="2"/>
      </bottom>
      <diagonal/>
    </border>
    <border>
      <left style="thin">
        <color theme="0" tint="-0.14996795556505021"/>
      </left>
      <right/>
      <top style="thin">
        <color theme="2"/>
      </top>
      <bottom style="thin">
        <color theme="0" tint="-0.14993743705557422"/>
      </bottom>
      <diagonal/>
    </border>
    <border>
      <left style="thin">
        <color theme="0" tint="-0.14996795556505021"/>
      </left>
      <right/>
      <top style="thin">
        <color theme="2"/>
      </top>
      <bottom style="thin">
        <color indexed="64"/>
      </bottom>
      <diagonal/>
    </border>
    <border>
      <left style="thin">
        <color indexed="8"/>
      </left>
      <right style="thin">
        <color indexed="8"/>
      </right>
      <top style="thin">
        <color indexed="8"/>
      </top>
      <bottom style="thin">
        <color indexed="8"/>
      </bottom>
      <diagonal/>
    </border>
    <border>
      <left/>
      <right/>
      <top style="thin">
        <color auto="1"/>
      </top>
      <bottom/>
      <diagonal/>
    </border>
    <border>
      <left/>
      <right style="thin">
        <color theme="2"/>
      </right>
      <top/>
      <bottom/>
      <diagonal/>
    </border>
    <border>
      <left/>
      <right style="thin">
        <color theme="0" tint="-0.34998626667073579"/>
      </right>
      <top style="thin">
        <color indexed="64"/>
      </top>
      <bottom style="thin">
        <color theme="2"/>
      </bottom>
      <diagonal/>
    </border>
    <border>
      <left/>
      <right style="thin">
        <color theme="0" tint="-0.34998626667073579"/>
      </right>
      <top style="thin">
        <color theme="2"/>
      </top>
      <bottom style="thin">
        <color theme="2"/>
      </bottom>
      <diagonal/>
    </border>
    <border>
      <left/>
      <right style="thin">
        <color theme="0" tint="-0.34998626667073579"/>
      </right>
      <top style="thin">
        <color theme="2"/>
      </top>
      <bottom style="thin">
        <color indexed="64"/>
      </bottom>
      <diagonal/>
    </border>
    <border>
      <left style="thin">
        <color theme="0" tint="-0.34998626667073579"/>
      </left>
      <right style="thin">
        <color theme="0" tint="-0.34998626667073579"/>
      </right>
      <top style="thin">
        <color theme="2"/>
      </top>
      <bottom style="thin">
        <color theme="2"/>
      </bottom>
      <diagonal/>
    </border>
    <border>
      <left style="thin">
        <color theme="0" tint="-0.34998626667073579"/>
      </left>
      <right style="thin">
        <color theme="0" tint="-0.34998626667073579"/>
      </right>
      <top style="thin">
        <color indexed="64"/>
      </top>
      <bottom style="thin">
        <color theme="2"/>
      </bottom>
      <diagonal/>
    </border>
    <border>
      <left style="thin">
        <color theme="0" tint="-0.34998626667073579"/>
      </left>
      <right style="thin">
        <color theme="0" tint="-0.34998626667073579"/>
      </right>
      <top style="thin">
        <color theme="2"/>
      </top>
      <bottom style="thin">
        <color indexed="64"/>
      </bottom>
      <diagonal/>
    </border>
    <border>
      <left/>
      <right style="thin">
        <color theme="2"/>
      </right>
      <top/>
      <bottom style="thin">
        <color indexed="64"/>
      </bottom>
      <diagonal/>
    </border>
  </borders>
  <cellStyleXfs count="19">
    <xf numFmtId="0" fontId="0" fillId="0" borderId="0"/>
    <xf numFmtId="169" fontId="4" fillId="0" borderId="0" applyFont="0" applyFill="0" applyBorder="0" applyAlignment="0" applyProtection="0"/>
    <xf numFmtId="168" fontId="4" fillId="0" borderId="0" applyFont="0" applyFill="0" applyBorder="0" applyAlignment="0" applyProtection="0"/>
    <xf numFmtId="0" fontId="3" fillId="2" borderId="0" applyNumberFormat="0" applyBorder="0" applyAlignment="0" applyProtection="0"/>
    <xf numFmtId="0" fontId="4" fillId="3" borderId="0" applyNumberFormat="0" applyBorder="0" applyAlignment="0" applyProtection="0"/>
    <xf numFmtId="0" fontId="4" fillId="0" borderId="0"/>
    <xf numFmtId="9" fontId="4" fillId="0" borderId="0" applyFont="0" applyFill="0" applyBorder="0" applyAlignment="0" applyProtection="0"/>
    <xf numFmtId="0" fontId="2" fillId="0" borderId="0"/>
    <xf numFmtId="0" fontId="2" fillId="2" borderId="0" applyNumberFormat="0" applyBorder="0" applyAlignment="0" applyProtection="0"/>
    <xf numFmtId="0" fontId="12" fillId="0" borderId="0" applyNumberFormat="0" applyFill="0" applyBorder="0" applyAlignment="0" applyProtection="0"/>
    <xf numFmtId="0" fontId="4" fillId="9" borderId="0" applyNumberFormat="0" applyBorder="0" applyAlignment="0" applyProtection="0"/>
    <xf numFmtId="0" fontId="16" fillId="0" borderId="24" applyNumberFormat="0" applyFill="0" applyAlignment="0" applyProtection="0"/>
    <xf numFmtId="0" fontId="9" fillId="0" borderId="25" applyNumberFormat="0" applyFill="0" applyAlignment="0" applyProtection="0"/>
    <xf numFmtId="9" fontId="10" fillId="0" borderId="0" applyFont="0" applyFill="0" applyBorder="0" applyAlignment="0" applyProtection="0"/>
    <xf numFmtId="0" fontId="1" fillId="2" borderId="0" applyNumberFormat="0" applyBorder="0" applyAlignment="0" applyProtection="0"/>
    <xf numFmtId="0" fontId="4" fillId="18" borderId="0" applyNumberFormat="0" applyBorder="0" applyAlignment="0" applyProtection="0"/>
    <xf numFmtId="0" fontId="5" fillId="0" borderId="25" applyNumberFormat="0" applyFill="0" applyAlignment="0" applyProtection="0"/>
    <xf numFmtId="168" fontId="4" fillId="0" borderId="0" applyFont="0" applyFill="0" applyBorder="0" applyAlignment="0" applyProtection="0"/>
    <xf numFmtId="0" fontId="65" fillId="0" borderId="0"/>
  </cellStyleXfs>
  <cellXfs count="2060">
    <xf numFmtId="0" fontId="0" fillId="0" borderId="0" xfId="0"/>
    <xf numFmtId="171" fontId="6" fillId="0" borderId="0" xfId="0" applyNumberFormat="1" applyFont="1"/>
    <xf numFmtId="0" fontId="6" fillId="0" borderId="0" xfId="0" applyFont="1"/>
    <xf numFmtId="0" fontId="6" fillId="0" borderId="3" xfId="0" applyFont="1" applyBorder="1"/>
    <xf numFmtId="0" fontId="6" fillId="4" borderId="0" xfId="0" applyFont="1" applyFill="1"/>
    <xf numFmtId="0" fontId="6" fillId="0" borderId="0" xfId="0" applyFont="1" applyAlignment="1">
      <alignment wrapText="1"/>
    </xf>
    <xf numFmtId="0" fontId="6" fillId="0" borderId="17" xfId="0" applyFont="1" applyBorder="1"/>
    <xf numFmtId="0" fontId="6" fillId="0" borderId="3" xfId="0" applyFont="1" applyBorder="1" applyAlignment="1">
      <alignment vertical="center" wrapText="1"/>
    </xf>
    <xf numFmtId="0" fontId="6" fillId="0" borderId="20" xfId="0" applyFont="1" applyBorder="1" applyAlignment="1">
      <alignment vertical="center" wrapText="1"/>
    </xf>
    <xf numFmtId="0" fontId="17" fillId="11" borderId="13" xfId="8" applyFont="1" applyFill="1" applyBorder="1" applyAlignment="1">
      <alignment horizontal="left" vertical="center" wrapText="1"/>
    </xf>
    <xf numFmtId="0" fontId="17" fillId="11" borderId="14" xfId="8" applyFont="1" applyFill="1" applyBorder="1" applyAlignment="1">
      <alignment horizontal="left" vertical="center" wrapText="1"/>
    </xf>
    <xf numFmtId="0" fontId="6" fillId="0" borderId="15" xfId="0" applyFont="1" applyBorder="1"/>
    <xf numFmtId="1" fontId="6" fillId="0" borderId="15" xfId="0" applyNumberFormat="1" applyFont="1" applyBorder="1" applyAlignment="1">
      <alignment horizontal="center"/>
    </xf>
    <xf numFmtId="1" fontId="6" fillId="4" borderId="15" xfId="0" applyNumberFormat="1" applyFont="1" applyFill="1" applyBorder="1" applyAlignment="1">
      <alignment horizontal="center"/>
    </xf>
    <xf numFmtId="0" fontId="6" fillId="0" borderId="15" xfId="0" applyFont="1" applyBorder="1" applyAlignment="1">
      <alignment horizontal="center"/>
    </xf>
    <xf numFmtId="0" fontId="6" fillId="0" borderId="17" xfId="0" applyFont="1" applyBorder="1" applyAlignment="1">
      <alignment horizontal="center"/>
    </xf>
    <xf numFmtId="0" fontId="6" fillId="0" borderId="15" xfId="0" applyFont="1" applyBorder="1" applyAlignment="1">
      <alignment horizontal="center" vertical="center"/>
    </xf>
    <xf numFmtId="0" fontId="6" fillId="0" borderId="17" xfId="0" applyFont="1" applyBorder="1" applyAlignment="1">
      <alignment horizontal="center" vertical="center"/>
    </xf>
    <xf numFmtId="0" fontId="20" fillId="17" borderId="21" xfId="9" applyFont="1" applyFill="1" applyBorder="1" applyAlignment="1">
      <alignment horizontal="right" vertical="top" wrapText="1"/>
    </xf>
    <xf numFmtId="0" fontId="21" fillId="0" borderId="22" xfId="0" applyFont="1" applyBorder="1"/>
    <xf numFmtId="0" fontId="21" fillId="0" borderId="23" xfId="0" applyFont="1" applyBorder="1" applyAlignment="1">
      <alignment horizontal="center"/>
    </xf>
    <xf numFmtId="0" fontId="21" fillId="0" borderId="30" xfId="0" applyFont="1" applyBorder="1"/>
    <xf numFmtId="172" fontId="21" fillId="0" borderId="31" xfId="0" applyNumberFormat="1" applyFont="1" applyBorder="1" applyAlignment="1">
      <alignment horizontal="center"/>
    </xf>
    <xf numFmtId="0" fontId="11" fillId="11" borderId="13" xfId="0" applyFont="1" applyFill="1" applyBorder="1" applyAlignment="1">
      <alignment horizontal="center"/>
    </xf>
    <xf numFmtId="0" fontId="24" fillId="13" borderId="4" xfId="0" applyFont="1" applyFill="1" applyBorder="1" applyAlignment="1">
      <alignment horizontal="center" vertical="center"/>
    </xf>
    <xf numFmtId="0" fontId="11" fillId="14" borderId="3" xfId="0" applyFont="1" applyFill="1" applyBorder="1" applyAlignment="1">
      <alignment horizontal="center" vertical="center"/>
    </xf>
    <xf numFmtId="0" fontId="11" fillId="15" borderId="3" xfId="0" applyFont="1" applyFill="1" applyBorder="1" applyAlignment="1">
      <alignment horizontal="center" vertical="center"/>
    </xf>
    <xf numFmtId="0" fontId="6" fillId="14" borderId="3" xfId="0" applyFont="1" applyFill="1" applyBorder="1" applyAlignment="1">
      <alignment horizontal="center" vertical="center"/>
    </xf>
    <xf numFmtId="0" fontId="6" fillId="8" borderId="3" xfId="0" applyFont="1" applyFill="1" applyBorder="1" applyAlignment="1">
      <alignment horizontal="center" vertical="center"/>
    </xf>
    <xf numFmtId="0" fontId="6" fillId="0" borderId="3" xfId="0" applyFont="1" applyBorder="1" applyAlignment="1">
      <alignment vertical="center"/>
    </xf>
    <xf numFmtId="0" fontId="11" fillId="11" borderId="3" xfId="0" applyFont="1" applyFill="1" applyBorder="1"/>
    <xf numFmtId="0" fontId="11" fillId="0" borderId="0" xfId="0" applyFont="1"/>
    <xf numFmtId="0" fontId="6" fillId="0" borderId="0" xfId="0" applyFont="1" applyAlignment="1">
      <alignment vertical="center"/>
    </xf>
    <xf numFmtId="0" fontId="6" fillId="0" borderId="3" xfId="4" applyFont="1" applyFill="1" applyBorder="1" applyAlignment="1" applyProtection="1">
      <alignment vertical="center"/>
    </xf>
    <xf numFmtId="0" fontId="6" fillId="6" borderId="3" xfId="0" applyFont="1" applyFill="1" applyBorder="1" applyAlignment="1">
      <alignment vertical="center"/>
    </xf>
    <xf numFmtId="0" fontId="6" fillId="7" borderId="3" xfId="0" applyFont="1" applyFill="1" applyBorder="1" applyAlignment="1">
      <alignment vertical="center"/>
    </xf>
    <xf numFmtId="0" fontId="6" fillId="5" borderId="3" xfId="0" applyFont="1" applyFill="1" applyBorder="1" applyAlignment="1">
      <alignment vertical="center"/>
    </xf>
    <xf numFmtId="0" fontId="6" fillId="10" borderId="3" xfId="0" applyFont="1" applyFill="1" applyBorder="1" applyAlignment="1">
      <alignment vertical="center"/>
    </xf>
    <xf numFmtId="0" fontId="6" fillId="10" borderId="6" xfId="0" applyFont="1" applyFill="1" applyBorder="1" applyAlignment="1">
      <alignment vertical="center"/>
    </xf>
    <xf numFmtId="0" fontId="6" fillId="0" borderId="0" xfId="0" applyFont="1" applyAlignment="1">
      <alignment horizontal="center"/>
    </xf>
    <xf numFmtId="0" fontId="21" fillId="0" borderId="0" xfId="0" applyFont="1" applyAlignment="1">
      <alignment horizontal="center"/>
    </xf>
    <xf numFmtId="172" fontId="21" fillId="0" borderId="0" xfId="0" applyNumberFormat="1" applyFont="1" applyAlignment="1">
      <alignment horizontal="center"/>
    </xf>
    <xf numFmtId="1" fontId="6" fillId="0" borderId="15" xfId="0" applyNumberFormat="1" applyFont="1" applyBorder="1"/>
    <xf numFmtId="0" fontId="13" fillId="0" borderId="0" xfId="0" applyFont="1"/>
    <xf numFmtId="0" fontId="11" fillId="11" borderId="13" xfId="0" applyFont="1" applyFill="1" applyBorder="1" applyAlignment="1">
      <alignment vertical="center"/>
    </xf>
    <xf numFmtId="0" fontId="11" fillId="11" borderId="14" xfId="0" applyFont="1" applyFill="1" applyBorder="1" applyAlignment="1">
      <alignment vertical="center"/>
    </xf>
    <xf numFmtId="0" fontId="11" fillId="11" borderId="19" xfId="0" applyFont="1" applyFill="1" applyBorder="1" applyAlignment="1">
      <alignment horizontal="center" vertical="center"/>
    </xf>
    <xf numFmtId="0" fontId="11" fillId="11" borderId="14" xfId="0" applyFont="1" applyFill="1" applyBorder="1" applyAlignment="1">
      <alignment horizontal="center" vertical="center"/>
    </xf>
    <xf numFmtId="0" fontId="11" fillId="0" borderId="20" xfId="0" applyFont="1" applyBorder="1" applyAlignment="1">
      <alignment horizontal="center" vertical="center"/>
    </xf>
    <xf numFmtId="2" fontId="6" fillId="0" borderId="3" xfId="0" applyNumberFormat="1" applyFont="1" applyBorder="1" applyAlignment="1">
      <alignment horizontal="center" vertical="center"/>
    </xf>
    <xf numFmtId="171" fontId="6" fillId="0" borderId="16" xfId="0" applyNumberFormat="1" applyFont="1" applyBorder="1" applyAlignment="1">
      <alignment horizontal="center" vertical="center"/>
    </xf>
    <xf numFmtId="0" fontId="6" fillId="0" borderId="3" xfId="0" applyFont="1" applyBorder="1" applyAlignment="1">
      <alignment horizontal="center" vertical="center"/>
    </xf>
    <xf numFmtId="2" fontId="6" fillId="0" borderId="16" xfId="0" applyNumberFormat="1" applyFont="1" applyBorder="1" applyAlignment="1">
      <alignment horizontal="center" vertical="center"/>
    </xf>
    <xf numFmtId="0" fontId="6" fillId="0" borderId="20" xfId="0" applyFont="1" applyBorder="1" applyAlignment="1">
      <alignment horizontal="center" vertical="center"/>
    </xf>
    <xf numFmtId="2" fontId="6" fillId="0" borderId="18" xfId="0" applyNumberFormat="1" applyFont="1" applyBorder="1" applyAlignment="1">
      <alignment horizontal="center" vertical="center"/>
    </xf>
    <xf numFmtId="0" fontId="11" fillId="11" borderId="22" xfId="0" applyFont="1" applyFill="1" applyBorder="1" applyAlignment="1">
      <alignment vertical="center" wrapText="1"/>
    </xf>
    <xf numFmtId="0" fontId="11" fillId="11" borderId="5" xfId="0" applyFont="1" applyFill="1" applyBorder="1" applyAlignment="1">
      <alignment vertical="center" wrapText="1"/>
    </xf>
    <xf numFmtId="0" fontId="11" fillId="11" borderId="29" xfId="0" applyFont="1" applyFill="1" applyBorder="1" applyAlignment="1">
      <alignment horizontal="left" vertical="center" wrapText="1"/>
    </xf>
    <xf numFmtId="0" fontId="11" fillId="11" borderId="22" xfId="0" applyFont="1" applyFill="1" applyBorder="1"/>
    <xf numFmtId="0" fontId="11" fillId="11" borderId="29" xfId="0" applyFont="1" applyFill="1" applyBorder="1"/>
    <xf numFmtId="0" fontId="29" fillId="17" borderId="13" xfId="9" applyFont="1" applyFill="1" applyBorder="1" applyAlignment="1">
      <alignment horizontal="left" vertical="center" wrapText="1"/>
    </xf>
    <xf numFmtId="9" fontId="6" fillId="0" borderId="16" xfId="0" applyNumberFormat="1" applyFont="1" applyBorder="1" applyAlignment="1">
      <alignment horizontal="center" vertical="center"/>
    </xf>
    <xf numFmtId="9" fontId="6" fillId="4" borderId="16" xfId="6" applyFont="1" applyFill="1" applyBorder="1" applyAlignment="1">
      <alignment horizontal="center" vertical="center"/>
    </xf>
    <xf numFmtId="9" fontId="6" fillId="0" borderId="18" xfId="0" applyNumberFormat="1" applyFont="1" applyBorder="1" applyAlignment="1">
      <alignment horizontal="center" vertical="center"/>
    </xf>
    <xf numFmtId="0" fontId="30" fillId="0" borderId="0" xfId="0" applyFont="1"/>
    <xf numFmtId="0" fontId="6" fillId="4" borderId="0" xfId="0" applyFont="1" applyFill="1" applyAlignment="1">
      <alignment vertical="center"/>
    </xf>
    <xf numFmtId="0" fontId="6" fillId="0" borderId="0" xfId="0" applyFont="1" applyAlignment="1">
      <alignment horizontal="center" vertical="center"/>
    </xf>
    <xf numFmtId="0" fontId="21" fillId="0" borderId="0" xfId="0" applyFont="1"/>
    <xf numFmtId="173" fontId="6" fillId="0" borderId="0" xfId="5" applyNumberFormat="1" applyFont="1" applyProtection="1">
      <protection locked="0"/>
    </xf>
    <xf numFmtId="0" fontId="22" fillId="0" borderId="0" xfId="0" applyFont="1" applyAlignment="1">
      <alignment vertical="center"/>
    </xf>
    <xf numFmtId="0" fontId="17" fillId="0" borderId="0" xfId="0" applyFont="1" applyAlignment="1">
      <alignment horizontal="left" wrapText="1"/>
    </xf>
    <xf numFmtId="0" fontId="6" fillId="0" borderId="4" xfId="4" applyFont="1" applyFill="1" applyBorder="1" applyAlignment="1" applyProtection="1">
      <alignment vertical="center"/>
    </xf>
    <xf numFmtId="0" fontId="6" fillId="0" borderId="4" xfId="0" applyFont="1" applyBorder="1" applyAlignment="1">
      <alignment vertical="center"/>
    </xf>
    <xf numFmtId="0" fontId="6" fillId="0" borderId="51" xfId="0" applyFont="1" applyBorder="1" applyAlignment="1">
      <alignment vertical="center"/>
    </xf>
    <xf numFmtId="1" fontId="6" fillId="4" borderId="0" xfId="0" applyNumberFormat="1" applyFont="1" applyFill="1"/>
    <xf numFmtId="174" fontId="6" fillId="0" borderId="0" xfId="2" applyNumberFormat="1" applyFont="1" applyAlignment="1">
      <alignment horizontal="center"/>
    </xf>
    <xf numFmtId="1" fontId="6" fillId="0" borderId="0" xfId="0" applyNumberFormat="1" applyFont="1"/>
    <xf numFmtId="1" fontId="6" fillId="0" borderId="0" xfId="2" applyNumberFormat="1" applyFont="1" applyAlignment="1">
      <alignment horizontal="center"/>
    </xf>
    <xf numFmtId="0" fontId="25" fillId="5" borderId="0" xfId="0" applyFont="1" applyFill="1"/>
    <xf numFmtId="0" fontId="6" fillId="5" borderId="0" xfId="0" applyFont="1" applyFill="1"/>
    <xf numFmtId="0" fontId="28" fillId="5" borderId="0" xfId="0" applyFont="1" applyFill="1"/>
    <xf numFmtId="171" fontId="6" fillId="5" borderId="0" xfId="0" applyNumberFormat="1" applyFont="1" applyFill="1"/>
    <xf numFmtId="9" fontId="6" fillId="0" borderId="0" xfId="0" applyNumberFormat="1" applyFont="1" applyAlignment="1">
      <alignment horizontal="center" vertical="center"/>
    </xf>
    <xf numFmtId="0" fontId="19" fillId="4" borderId="0" xfId="9" applyFont="1" applyFill="1" applyBorder="1" applyAlignment="1">
      <alignment horizontal="left" vertical="center" wrapText="1"/>
    </xf>
    <xf numFmtId="0" fontId="19" fillId="4" borderId="0" xfId="9" applyFont="1" applyFill="1" applyBorder="1" applyAlignment="1">
      <alignment horizontal="right" vertical="top" wrapText="1"/>
    </xf>
    <xf numFmtId="0" fontId="6" fillId="4" borderId="0" xfId="0" applyFont="1" applyFill="1" applyAlignment="1">
      <alignment horizontal="center"/>
    </xf>
    <xf numFmtId="0" fontId="11" fillId="4" borderId="0" xfId="0" applyFont="1" applyFill="1" applyAlignment="1">
      <alignment vertical="center"/>
    </xf>
    <xf numFmtId="1" fontId="6" fillId="19" borderId="16" xfId="0" applyNumberFormat="1" applyFont="1" applyFill="1" applyBorder="1" applyAlignment="1">
      <alignment horizontal="center"/>
    </xf>
    <xf numFmtId="1" fontId="6" fillId="19" borderId="18" xfId="0" applyNumberFormat="1" applyFont="1" applyFill="1" applyBorder="1" applyAlignment="1">
      <alignment horizontal="center"/>
    </xf>
    <xf numFmtId="0" fontId="17" fillId="11" borderId="33" xfId="8" applyFont="1" applyFill="1" applyBorder="1" applyAlignment="1">
      <alignment horizontal="left" vertical="center" wrapText="1"/>
    </xf>
    <xf numFmtId="0" fontId="17" fillId="11" borderId="54" xfId="8" applyFont="1" applyFill="1" applyBorder="1" applyAlignment="1">
      <alignment horizontal="left" vertical="center" wrapText="1"/>
    </xf>
    <xf numFmtId="1" fontId="6" fillId="19" borderId="14" xfId="0" applyNumberFormat="1" applyFont="1" applyFill="1" applyBorder="1" applyAlignment="1">
      <alignment horizontal="center"/>
    </xf>
    <xf numFmtId="9" fontId="6" fillId="4" borderId="13" xfId="0" applyNumberFormat="1" applyFont="1" applyFill="1" applyBorder="1" applyAlignment="1">
      <alignment horizontal="center"/>
    </xf>
    <xf numFmtId="9" fontId="6" fillId="4" borderId="15" xfId="0" applyNumberFormat="1" applyFont="1" applyFill="1" applyBorder="1" applyAlignment="1">
      <alignment horizontal="center"/>
    </xf>
    <xf numFmtId="9" fontId="6" fillId="4" borderId="17" xfId="0" applyNumberFormat="1" applyFont="1" applyFill="1" applyBorder="1" applyAlignment="1">
      <alignment horizontal="center"/>
    </xf>
    <xf numFmtId="1" fontId="6" fillId="4" borderId="55" xfId="0" applyNumberFormat="1" applyFont="1" applyFill="1" applyBorder="1" applyAlignment="1">
      <alignment horizontal="center"/>
    </xf>
    <xf numFmtId="1" fontId="6" fillId="4" borderId="2" xfId="0" applyNumberFormat="1" applyFont="1" applyFill="1" applyBorder="1" applyAlignment="1">
      <alignment horizontal="center"/>
    </xf>
    <xf numFmtId="1" fontId="6" fillId="4" borderId="56" xfId="0" applyNumberFormat="1" applyFont="1" applyFill="1" applyBorder="1" applyAlignment="1">
      <alignment horizontal="center"/>
    </xf>
    <xf numFmtId="0" fontId="6" fillId="7" borderId="15" xfId="0" applyFont="1" applyFill="1" applyBorder="1"/>
    <xf numFmtId="9" fontId="6" fillId="7" borderId="16" xfId="0" applyNumberFormat="1" applyFont="1" applyFill="1" applyBorder="1" applyAlignment="1">
      <alignment horizontal="center" vertical="center"/>
    </xf>
    <xf numFmtId="0" fontId="6" fillId="7" borderId="17" xfId="0" applyFont="1" applyFill="1" applyBorder="1"/>
    <xf numFmtId="9" fontId="6" fillId="7" borderId="18" xfId="0" applyNumberFormat="1" applyFont="1" applyFill="1" applyBorder="1" applyAlignment="1">
      <alignment horizontal="center" vertical="center"/>
    </xf>
    <xf numFmtId="9" fontId="6" fillId="4" borderId="0" xfId="0" applyNumberFormat="1" applyFont="1" applyFill="1" applyAlignment="1">
      <alignment horizontal="center" vertical="center"/>
    </xf>
    <xf numFmtId="0" fontId="11" fillId="4" borderId="0" xfId="0" applyFont="1" applyFill="1"/>
    <xf numFmtId="0" fontId="18" fillId="4" borderId="0" xfId="0" applyFont="1" applyFill="1" applyAlignment="1">
      <alignment horizontal="center" vertical="center"/>
    </xf>
    <xf numFmtId="0" fontId="11" fillId="4" borderId="0" xfId="0" applyFont="1" applyFill="1" applyAlignment="1">
      <alignment horizontal="left" vertical="center" wrapText="1"/>
    </xf>
    <xf numFmtId="0" fontId="6" fillId="4" borderId="48" xfId="0" applyFont="1" applyFill="1" applyBorder="1" applyAlignment="1">
      <alignment horizontal="left" vertical="center" indent="1"/>
    </xf>
    <xf numFmtId="0" fontId="6" fillId="4" borderId="0" xfId="0" applyFont="1" applyFill="1" applyProtection="1">
      <protection locked="0"/>
    </xf>
    <xf numFmtId="0" fontId="55" fillId="4" borderId="0" xfId="0" applyFont="1" applyFill="1" applyAlignment="1">
      <alignment horizontal="left" vertical="center"/>
    </xf>
    <xf numFmtId="0" fontId="14" fillId="16" borderId="27" xfId="10" applyFont="1" applyFill="1" applyBorder="1" applyAlignment="1" applyProtection="1">
      <alignment horizontal="center" vertical="center" wrapText="1"/>
    </xf>
    <xf numFmtId="0" fontId="26" fillId="4" borderId="0" xfId="0" applyFont="1" applyFill="1" applyAlignment="1">
      <alignment horizontal="left"/>
    </xf>
    <xf numFmtId="0" fontId="66" fillId="24" borderId="84" xfId="0" applyFont="1" applyFill="1" applyBorder="1" applyAlignment="1">
      <alignment horizontal="center"/>
    </xf>
    <xf numFmtId="0" fontId="67" fillId="24" borderId="83" xfId="0" applyFont="1" applyFill="1" applyBorder="1" applyAlignment="1">
      <alignment horizontal="center"/>
    </xf>
    <xf numFmtId="0" fontId="67" fillId="25" borderId="83" xfId="0" applyFont="1" applyFill="1" applyBorder="1" applyAlignment="1">
      <alignment horizontal="left"/>
    </xf>
    <xf numFmtId="177" fontId="67" fillId="26" borderId="83" xfId="0" applyNumberFormat="1" applyFont="1" applyFill="1" applyBorder="1" applyAlignment="1">
      <alignment horizontal="right"/>
    </xf>
    <xf numFmtId="0" fontId="14" fillId="0" borderId="0" xfId="0" applyFont="1" applyAlignment="1">
      <alignment vertical="center"/>
    </xf>
    <xf numFmtId="0" fontId="11" fillId="29" borderId="0" xfId="0" applyFont="1" applyFill="1" applyAlignment="1">
      <alignment wrapText="1"/>
    </xf>
    <xf numFmtId="0" fontId="11" fillId="29" borderId="0" xfId="0" applyFont="1" applyFill="1"/>
    <xf numFmtId="0" fontId="72" fillId="0" borderId="90" xfId="0" applyFont="1" applyBorder="1" applyAlignment="1">
      <alignment horizontal="left" vertical="center" wrapText="1" readingOrder="1"/>
    </xf>
    <xf numFmtId="180" fontId="6" fillId="0" borderId="90" xfId="2" applyNumberFormat="1" applyFont="1" applyBorder="1" applyAlignment="1" applyProtection="1">
      <alignment wrapText="1"/>
    </xf>
    <xf numFmtId="0" fontId="6" fillId="0" borderId="90" xfId="0" applyFont="1" applyBorder="1"/>
    <xf numFmtId="9" fontId="6" fillId="0" borderId="90" xfId="0" applyNumberFormat="1" applyFont="1" applyBorder="1" applyAlignment="1">
      <alignment wrapText="1"/>
    </xf>
    <xf numFmtId="0" fontId="69" fillId="28" borderId="0" xfId="0" applyFont="1" applyFill="1" applyAlignment="1">
      <alignment horizontal="center" wrapText="1"/>
    </xf>
    <xf numFmtId="0" fontId="69" fillId="28" borderId="0" xfId="0" applyFont="1" applyFill="1"/>
    <xf numFmtId="9" fontId="6" fillId="0" borderId="90" xfId="6" applyFont="1" applyBorder="1" applyAlignment="1" applyProtection="1">
      <alignment wrapText="1"/>
    </xf>
    <xf numFmtId="0" fontId="6" fillId="28" borderId="0" xfId="0" applyFont="1" applyFill="1" applyAlignment="1">
      <alignment wrapText="1"/>
    </xf>
    <xf numFmtId="0" fontId="6" fillId="28" borderId="0" xfId="0" applyFont="1" applyFill="1"/>
    <xf numFmtId="0" fontId="6" fillId="29" borderId="0" xfId="0" applyFont="1" applyFill="1" applyAlignment="1">
      <alignment wrapText="1"/>
    </xf>
    <xf numFmtId="0" fontId="6" fillId="29" borderId="0" xfId="0" applyFont="1" applyFill="1"/>
    <xf numFmtId="0" fontId="6" fillId="0" borderId="90" xfId="0" applyFont="1" applyBorder="1" applyAlignment="1">
      <alignment wrapText="1"/>
    </xf>
    <xf numFmtId="0" fontId="69" fillId="28" borderId="0" xfId="0" applyFont="1" applyFill="1" applyAlignment="1">
      <alignment horizontal="center"/>
    </xf>
    <xf numFmtId="0" fontId="11" fillId="0" borderId="0" xfId="0" applyFont="1" applyAlignment="1">
      <alignment wrapText="1"/>
    </xf>
    <xf numFmtId="1" fontId="14" fillId="4" borderId="0" xfId="2" applyNumberFormat="1" applyFont="1" applyFill="1" applyBorder="1" applyAlignment="1" applyProtection="1">
      <alignment vertical="center" wrapText="1"/>
    </xf>
    <xf numFmtId="1" fontId="14" fillId="4" borderId="0" xfId="2" applyNumberFormat="1" applyFont="1" applyFill="1" applyBorder="1" applyAlignment="1" applyProtection="1">
      <alignment vertical="center"/>
    </xf>
    <xf numFmtId="0" fontId="80" fillId="0" borderId="0" xfId="1" applyNumberFormat="1" applyFont="1" applyFill="1" applyAlignment="1">
      <alignment horizontal="left" vertical="top" indent="2"/>
    </xf>
    <xf numFmtId="0" fontId="75" fillId="0" borderId="0" xfId="5" applyFont="1"/>
    <xf numFmtId="0" fontId="57" fillId="0" borderId="0" xfId="5" applyFont="1"/>
    <xf numFmtId="0" fontId="81" fillId="0" borderId="0" xfId="5" applyFont="1" applyAlignment="1" applyProtection="1">
      <alignment wrapText="1"/>
      <protection locked="0"/>
    </xf>
    <xf numFmtId="0" fontId="82" fillId="0" borderId="0" xfId="0" applyFont="1" applyAlignment="1">
      <alignment vertical="center"/>
    </xf>
    <xf numFmtId="0" fontId="83" fillId="0" borderId="0" xfId="5" applyFont="1" applyAlignment="1" applyProtection="1">
      <alignment wrapText="1"/>
      <protection locked="0"/>
    </xf>
    <xf numFmtId="0" fontId="6" fillId="0" borderId="0" xfId="5" applyFont="1"/>
    <xf numFmtId="0" fontId="14" fillId="0" borderId="0" xfId="5" applyFont="1"/>
    <xf numFmtId="0" fontId="6" fillId="0" borderId="0" xfId="5" applyFont="1" applyProtection="1">
      <protection locked="0"/>
    </xf>
    <xf numFmtId="0" fontId="34" fillId="0" borderId="0" xfId="5" applyFont="1" applyAlignment="1">
      <alignment horizontal="center" vertical="center" wrapText="1"/>
    </xf>
    <xf numFmtId="0" fontId="6" fillId="0" borderId="0" xfId="5" applyFont="1" applyAlignment="1" applyProtection="1">
      <alignment vertical="center" wrapText="1"/>
      <protection locked="0"/>
    </xf>
    <xf numFmtId="0" fontId="6" fillId="0" borderId="0" xfId="5" applyFont="1" applyAlignment="1" applyProtection="1">
      <alignment horizontal="right" vertical="center"/>
      <protection locked="0"/>
    </xf>
    <xf numFmtId="0" fontId="34" fillId="0" borderId="0" xfId="5" applyFont="1" applyAlignment="1" applyProtection="1">
      <alignment horizontal="right" vertical="center"/>
      <protection locked="0"/>
    </xf>
    <xf numFmtId="0" fontId="6" fillId="0" borderId="0" xfId="5" applyFont="1" applyAlignment="1">
      <alignment wrapText="1"/>
    </xf>
    <xf numFmtId="173" fontId="6" fillId="0" borderId="0" xfId="5" applyNumberFormat="1" applyFont="1" applyAlignment="1" applyProtection="1">
      <alignment wrapText="1"/>
      <protection locked="0"/>
    </xf>
    <xf numFmtId="14" fontId="6" fillId="0" borderId="0" xfId="0" applyNumberFormat="1" applyFont="1"/>
    <xf numFmtId="0" fontId="79" fillId="0" borderId="47" xfId="5" applyFont="1" applyBorder="1" applyAlignment="1">
      <alignment vertical="center" wrapText="1"/>
    </xf>
    <xf numFmtId="0" fontId="93" fillId="30" borderId="0" xfId="5" applyFont="1" applyFill="1" applyAlignment="1">
      <alignment horizontal="center" vertical="center" textRotation="90" wrapText="1"/>
    </xf>
    <xf numFmtId="0" fontId="94" fillId="0" borderId="0" xfId="9" applyFont="1" applyProtection="1"/>
    <xf numFmtId="0" fontId="47" fillId="6" borderId="62" xfId="5" applyFont="1" applyFill="1" applyBorder="1"/>
    <xf numFmtId="0" fontId="75" fillId="0" borderId="37" xfId="5" applyFont="1" applyBorder="1" applyAlignment="1">
      <alignment horizontal="center"/>
    </xf>
    <xf numFmtId="0" fontId="75" fillId="0" borderId="46" xfId="5" applyFont="1" applyBorder="1" applyProtection="1">
      <protection locked="0"/>
    </xf>
    <xf numFmtId="0" fontId="75" fillId="0" borderId="46" xfId="5" applyFont="1" applyBorder="1"/>
    <xf numFmtId="0" fontId="79" fillId="0" borderId="40" xfId="5" applyFont="1" applyBorder="1" applyAlignment="1">
      <alignment vertical="center" wrapText="1"/>
    </xf>
    <xf numFmtId="0" fontId="95" fillId="30" borderId="0" xfId="5" applyFont="1" applyFill="1" applyAlignment="1">
      <alignment horizontal="center" vertical="center" textRotation="90" wrapText="1"/>
    </xf>
    <xf numFmtId="0" fontId="20" fillId="0" borderId="0" xfId="9" applyFont="1" applyBorder="1" applyProtection="1"/>
    <xf numFmtId="0" fontId="14" fillId="0" borderId="0" xfId="5" applyFont="1" applyAlignment="1" applyProtection="1">
      <alignment wrapText="1"/>
      <protection locked="0"/>
    </xf>
    <xf numFmtId="0" fontId="6" fillId="0" borderId="0" xfId="5" applyFont="1" applyAlignment="1">
      <alignment vertical="center"/>
    </xf>
    <xf numFmtId="14" fontId="15" fillId="7" borderId="27" xfId="5" applyNumberFormat="1" applyFont="1" applyFill="1" applyBorder="1" applyAlignment="1" applyProtection="1">
      <alignment horizontal="left" vertical="center" wrapText="1"/>
      <protection locked="0"/>
    </xf>
    <xf numFmtId="14" fontId="39" fillId="0" borderId="27" xfId="5" applyNumberFormat="1" applyFont="1" applyBorder="1" applyAlignment="1">
      <alignment horizontal="left" vertical="center" wrapText="1"/>
    </xf>
    <xf numFmtId="0" fontId="14" fillId="0" borderId="0" xfId="5" applyFont="1" applyAlignment="1">
      <alignment vertical="center"/>
    </xf>
    <xf numFmtId="14" fontId="39" fillId="0" borderId="91" xfId="5" applyNumberFormat="1" applyFont="1" applyBorder="1" applyAlignment="1">
      <alignment horizontal="right" vertical="center" wrapText="1"/>
    </xf>
    <xf numFmtId="0" fontId="34" fillId="8" borderId="62" xfId="5" applyFont="1" applyFill="1" applyBorder="1" applyAlignment="1" applyProtection="1">
      <alignment horizontal="center" vertical="center"/>
      <protection locked="0"/>
    </xf>
    <xf numFmtId="0" fontId="34" fillId="0" borderId="0" xfId="5" applyFont="1" applyAlignment="1">
      <alignment horizontal="center" vertical="center"/>
    </xf>
    <xf numFmtId="0" fontId="83" fillId="32" borderId="62" xfId="5" applyFont="1" applyFill="1" applyBorder="1" applyAlignment="1" applyProtection="1">
      <alignment horizontal="center" vertical="center" wrapText="1"/>
      <protection locked="0"/>
    </xf>
    <xf numFmtId="0" fontId="34" fillId="6" borderId="62" xfId="5" applyFont="1" applyFill="1" applyBorder="1" applyAlignment="1">
      <alignment horizontal="center" vertical="center" wrapText="1"/>
    </xf>
    <xf numFmtId="0" fontId="95" fillId="37" borderId="38" xfId="5" applyFont="1" applyFill="1" applyBorder="1" applyAlignment="1">
      <alignment horizontal="center" vertical="center" wrapText="1"/>
    </xf>
    <xf numFmtId="0" fontId="34" fillId="6" borderId="44" xfId="5" applyFont="1" applyFill="1" applyBorder="1" applyAlignment="1">
      <alignment horizontal="center" vertical="center" wrapText="1"/>
    </xf>
    <xf numFmtId="0" fontId="34" fillId="6" borderId="63" xfId="5" applyFont="1" applyFill="1" applyBorder="1" applyAlignment="1">
      <alignment horizontal="center" vertical="center" wrapText="1"/>
    </xf>
    <xf numFmtId="0" fontId="34" fillId="6" borderId="45" xfId="5" applyFont="1" applyFill="1" applyBorder="1" applyAlignment="1">
      <alignment horizontal="center" vertical="center" wrapText="1"/>
    </xf>
    <xf numFmtId="0" fontId="34" fillId="6" borderId="66" xfId="5" applyFont="1" applyFill="1" applyBorder="1" applyAlignment="1">
      <alignment horizontal="center" vertical="center" wrapText="1"/>
    </xf>
    <xf numFmtId="0" fontId="34" fillId="7" borderId="63" xfId="5" applyFont="1" applyFill="1" applyBorder="1" applyAlignment="1">
      <alignment horizontal="center" vertical="center" wrapText="1"/>
    </xf>
    <xf numFmtId="0" fontId="34" fillId="7" borderId="45" xfId="5" applyFont="1" applyFill="1" applyBorder="1" applyAlignment="1">
      <alignment horizontal="center" vertical="center" wrapText="1"/>
    </xf>
    <xf numFmtId="0" fontId="34" fillId="0" borderId="62" xfId="5" applyFont="1" applyBorder="1" applyAlignment="1" applyProtection="1">
      <alignment horizontal="center" vertical="center" wrapText="1"/>
      <protection locked="0"/>
    </xf>
    <xf numFmtId="0" fontId="34" fillId="0" borderId="63" xfId="5" applyFont="1" applyBorder="1" applyAlignment="1" applyProtection="1">
      <alignment horizontal="center" vertical="center" wrapText="1"/>
      <protection locked="0"/>
    </xf>
    <xf numFmtId="0" fontId="34" fillId="0" borderId="45" xfId="5" applyFont="1" applyBorder="1" applyAlignment="1" applyProtection="1">
      <alignment horizontal="center" vertical="center" wrapText="1"/>
      <protection locked="0"/>
    </xf>
    <xf numFmtId="0" fontId="34" fillId="0" borderId="66" xfId="5" applyFont="1" applyBorder="1" applyAlignment="1" applyProtection="1">
      <alignment horizontal="center" vertical="center" wrapText="1"/>
      <protection locked="0"/>
    </xf>
    <xf numFmtId="0" fontId="34" fillId="0" borderId="44" xfId="5" applyFont="1" applyBorder="1" applyAlignment="1" applyProtection="1">
      <alignment horizontal="center" vertical="center" wrapText="1"/>
      <protection locked="0"/>
    </xf>
    <xf numFmtId="0" fontId="15" fillId="38" borderId="44" xfId="5" applyFont="1" applyFill="1" applyBorder="1" applyAlignment="1">
      <alignment horizontal="center" vertical="center" wrapText="1"/>
    </xf>
    <xf numFmtId="0" fontId="15" fillId="38" borderId="45" xfId="5" applyFont="1" applyFill="1" applyBorder="1" applyAlignment="1">
      <alignment horizontal="center" vertical="center" wrapText="1"/>
    </xf>
    <xf numFmtId="0" fontId="35" fillId="38" borderId="45" xfId="5" applyFont="1" applyFill="1" applyBorder="1" applyAlignment="1">
      <alignment horizontal="center" vertical="center" wrapText="1"/>
    </xf>
    <xf numFmtId="0" fontId="35" fillId="38" borderId="66" xfId="5" applyFont="1" applyFill="1" applyBorder="1" applyAlignment="1">
      <alignment horizontal="center" vertical="center" wrapText="1"/>
    </xf>
    <xf numFmtId="0" fontId="37" fillId="5" borderId="44" xfId="5" applyFont="1" applyFill="1" applyBorder="1" applyAlignment="1">
      <alignment horizontal="center" vertical="center" wrapText="1"/>
    </xf>
    <xf numFmtId="0" fontId="37" fillId="5" borderId="66" xfId="5" applyFont="1" applyFill="1" applyBorder="1" applyAlignment="1">
      <alignment horizontal="center" vertical="center" wrapText="1"/>
    </xf>
    <xf numFmtId="0" fontId="15" fillId="39" borderId="62" xfId="5" applyFont="1" applyFill="1" applyBorder="1" applyAlignment="1">
      <alignment horizontal="center" vertical="center" wrapText="1"/>
    </xf>
    <xf numFmtId="0" fontId="37" fillId="6" borderId="37" xfId="5" applyFont="1" applyFill="1" applyBorder="1" applyAlignment="1">
      <alignment horizontal="center" vertical="center" wrapText="1"/>
    </xf>
    <xf numFmtId="0" fontId="37" fillId="0" borderId="66" xfId="5" applyFont="1" applyBorder="1" applyAlignment="1">
      <alignment horizontal="center" vertical="center" wrapText="1"/>
    </xf>
    <xf numFmtId="0" fontId="6" fillId="0" borderId="0" xfId="5" applyFont="1" applyAlignment="1">
      <alignment horizontal="center" vertical="center" wrapText="1"/>
    </xf>
    <xf numFmtId="0" fontId="6" fillId="0" borderId="58" xfId="5" applyFont="1" applyBorder="1" applyAlignment="1" applyProtection="1">
      <alignment horizontal="center" vertical="center" wrapText="1"/>
      <protection locked="0"/>
    </xf>
    <xf numFmtId="0" fontId="96" fillId="37" borderId="46" xfId="5" applyFont="1" applyFill="1" applyBorder="1" applyAlignment="1" applyProtection="1">
      <alignment horizontal="center" vertical="center" wrapText="1"/>
      <protection locked="0"/>
    </xf>
    <xf numFmtId="0" fontId="6" fillId="0" borderId="13" xfId="5" applyFont="1" applyBorder="1" applyAlignment="1" applyProtection="1">
      <alignment vertical="center" wrapText="1"/>
      <protection locked="0"/>
    </xf>
    <xf numFmtId="0" fontId="6" fillId="0" borderId="55" xfId="5" applyFont="1" applyBorder="1" applyAlignment="1" applyProtection="1">
      <alignment vertical="center" wrapText="1"/>
      <protection locked="0"/>
    </xf>
    <xf numFmtId="0" fontId="6" fillId="0" borderId="19" xfId="5" applyFont="1" applyBorder="1" applyAlignment="1" applyProtection="1">
      <alignment vertical="center" wrapText="1"/>
      <protection locked="0"/>
    </xf>
    <xf numFmtId="0" fontId="6" fillId="0" borderId="14" xfId="5" applyFont="1" applyBorder="1" applyAlignment="1" applyProtection="1">
      <alignment vertical="center" wrapText="1"/>
      <protection locked="0"/>
    </xf>
    <xf numFmtId="0" fontId="39" fillId="38" borderId="19" xfId="5" applyFont="1" applyFill="1" applyBorder="1" applyAlignment="1">
      <alignment horizontal="right" vertical="center" wrapText="1" indent="2"/>
    </xf>
    <xf numFmtId="170" fontId="39" fillId="38" borderId="19" xfId="2" applyNumberFormat="1" applyFont="1" applyFill="1" applyBorder="1" applyAlignment="1" applyProtection="1">
      <alignment horizontal="right" vertical="center" wrapText="1" indent="2"/>
    </xf>
    <xf numFmtId="164" fontId="6" fillId="5" borderId="13" xfId="5" applyNumberFormat="1" applyFont="1" applyFill="1" applyBorder="1" applyAlignment="1" applyProtection="1">
      <alignment horizontal="right" vertical="center" wrapText="1" indent="2"/>
      <protection locked="0"/>
    </xf>
    <xf numFmtId="170" fontId="27" fillId="5" borderId="14" xfId="2" applyNumberFormat="1" applyFont="1" applyFill="1" applyBorder="1" applyAlignment="1" applyProtection="1">
      <alignment horizontal="right" vertical="center" wrapText="1" indent="2"/>
    </xf>
    <xf numFmtId="0" fontId="39" fillId="39" borderId="58" xfId="5" applyFont="1" applyFill="1" applyBorder="1" applyAlignment="1">
      <alignment horizontal="right" vertical="center" wrapText="1" indent="2"/>
    </xf>
    <xf numFmtId="170" fontId="27" fillId="0" borderId="55" xfId="2" applyNumberFormat="1" applyFont="1" applyBorder="1" applyAlignment="1" applyProtection="1">
      <alignment vertical="center" wrapText="1"/>
      <protection locked="0"/>
    </xf>
    <xf numFmtId="0" fontId="6" fillId="0" borderId="0" xfId="5" applyFont="1" applyAlignment="1">
      <alignment vertical="center" wrapText="1"/>
    </xf>
    <xf numFmtId="0" fontId="6" fillId="0" borderId="59" xfId="5" applyFont="1" applyBorder="1" applyAlignment="1" applyProtection="1">
      <alignment horizontal="center" vertical="center" wrapText="1"/>
      <protection locked="0"/>
    </xf>
    <xf numFmtId="0" fontId="97" fillId="37" borderId="0" xfId="5" applyFont="1" applyFill="1" applyAlignment="1" applyProtection="1">
      <alignment horizontal="center" vertical="center" wrapText="1"/>
      <protection locked="0"/>
    </xf>
    <xf numFmtId="0" fontId="96" fillId="37" borderId="0" xfId="5" applyFont="1" applyFill="1" applyAlignment="1" applyProtection="1">
      <alignment horizontal="center" vertical="center" wrapText="1"/>
      <protection locked="0"/>
    </xf>
    <xf numFmtId="0" fontId="6" fillId="0" borderId="15" xfId="5" applyFont="1" applyBorder="1" applyAlignment="1" applyProtection="1">
      <alignment vertical="center" wrapText="1"/>
      <protection locked="0"/>
    </xf>
    <xf numFmtId="0" fontId="6" fillId="0" borderId="2" xfId="5" applyFont="1" applyBorder="1" applyAlignment="1" applyProtection="1">
      <alignment vertical="center" wrapText="1"/>
      <protection locked="0"/>
    </xf>
    <xf numFmtId="0" fontId="6" fillId="0" borderId="3" xfId="5" applyFont="1" applyBorder="1" applyAlignment="1" applyProtection="1">
      <alignment vertical="center" wrapText="1"/>
      <protection locked="0"/>
    </xf>
    <xf numFmtId="0" fontId="6" fillId="0" borderId="16" xfId="5" applyFont="1" applyBorder="1" applyAlignment="1" applyProtection="1">
      <alignment vertical="center" wrapText="1"/>
      <protection locked="0"/>
    </xf>
    <xf numFmtId="0" fontId="39" fillId="38" borderId="15" xfId="5" applyFont="1" applyFill="1" applyBorder="1" applyAlignment="1">
      <alignment horizontal="right" vertical="center" wrapText="1" indent="2"/>
    </xf>
    <xf numFmtId="0" fontId="39" fillId="38" borderId="3" xfId="5" applyFont="1" applyFill="1" applyBorder="1" applyAlignment="1">
      <alignment horizontal="right" vertical="center" wrapText="1" indent="2"/>
    </xf>
    <xf numFmtId="0" fontId="39" fillId="39" borderId="59" xfId="5" applyFont="1" applyFill="1" applyBorder="1" applyAlignment="1">
      <alignment horizontal="right" vertical="center" wrapText="1" indent="2"/>
    </xf>
    <xf numFmtId="170" fontId="27" fillId="0" borderId="2" xfId="2" applyNumberFormat="1" applyFont="1" applyBorder="1" applyAlignment="1" applyProtection="1">
      <alignment vertical="center" wrapText="1"/>
      <protection locked="0"/>
    </xf>
    <xf numFmtId="0" fontId="6" fillId="0" borderId="60" xfId="5" applyFont="1" applyBorder="1" applyAlignment="1" applyProtection="1">
      <alignment horizontal="center" vertical="center" wrapText="1"/>
      <protection locked="0"/>
    </xf>
    <xf numFmtId="0" fontId="97" fillId="37" borderId="35" xfId="5" applyFont="1" applyFill="1" applyBorder="1" applyAlignment="1" applyProtection="1">
      <alignment horizontal="center" vertical="center" wrapText="1"/>
      <protection locked="0"/>
    </xf>
    <xf numFmtId="0" fontId="96" fillId="37" borderId="35" xfId="5" applyFont="1" applyFill="1" applyBorder="1" applyAlignment="1" applyProtection="1">
      <alignment horizontal="center" vertical="center" wrapText="1"/>
      <protection locked="0"/>
    </xf>
    <xf numFmtId="0" fontId="6" fillId="0" borderId="17" xfId="5" applyFont="1" applyBorder="1" applyAlignment="1" applyProtection="1">
      <alignment vertical="center" wrapText="1"/>
      <protection locked="0"/>
    </xf>
    <xf numFmtId="0" fontId="6" fillId="0" borderId="56" xfId="5" applyFont="1" applyBorder="1" applyAlignment="1" applyProtection="1">
      <alignment vertical="center" wrapText="1"/>
      <protection locked="0"/>
    </xf>
    <xf numFmtId="0" fontId="6" fillId="0" borderId="20" xfId="5" applyFont="1" applyBorder="1" applyAlignment="1" applyProtection="1">
      <alignment vertical="center" wrapText="1"/>
      <protection locked="0"/>
    </xf>
    <xf numFmtId="0" fontId="6" fillId="0" borderId="18" xfId="5" applyFont="1" applyBorder="1" applyAlignment="1" applyProtection="1">
      <alignment vertical="center" wrapText="1"/>
      <protection locked="0"/>
    </xf>
    <xf numFmtId="0" fontId="39" fillId="38" borderId="17" xfId="5" applyFont="1" applyFill="1" applyBorder="1" applyAlignment="1">
      <alignment horizontal="right" vertical="center" wrapText="1" indent="2"/>
    </xf>
    <xf numFmtId="0" fontId="39" fillId="38" borderId="20" xfId="5" applyFont="1" applyFill="1" applyBorder="1" applyAlignment="1">
      <alignment horizontal="right" vertical="center" wrapText="1" indent="2"/>
    </xf>
    <xf numFmtId="0" fontId="39" fillId="39" borderId="60" xfId="5" applyFont="1" applyFill="1" applyBorder="1" applyAlignment="1">
      <alignment horizontal="right" vertical="center" wrapText="1" indent="2"/>
    </xf>
    <xf numFmtId="170" fontId="27" fillId="0" borderId="56" xfId="2" applyNumberFormat="1" applyFont="1" applyBorder="1" applyAlignment="1" applyProtection="1">
      <alignment vertical="center" wrapText="1"/>
      <protection locked="0"/>
    </xf>
    <xf numFmtId="0" fontId="6" fillId="7" borderId="68" xfId="5" applyFont="1" applyFill="1" applyBorder="1" applyAlignment="1" applyProtection="1">
      <alignment horizontal="center" vertical="center" wrapText="1"/>
      <protection locked="0"/>
    </xf>
    <xf numFmtId="0" fontId="97" fillId="7" borderId="0" xfId="5" applyFont="1" applyFill="1" applyAlignment="1" applyProtection="1">
      <alignment horizontal="center" vertical="center" wrapText="1"/>
      <protection locked="0"/>
    </xf>
    <xf numFmtId="0" fontId="96" fillId="7" borderId="0" xfId="5" applyFont="1" applyFill="1" applyAlignment="1" applyProtection="1">
      <alignment horizontal="center" vertical="center" wrapText="1"/>
      <protection locked="0"/>
    </xf>
    <xf numFmtId="0" fontId="6" fillId="7" borderId="22" xfId="5" applyFont="1" applyFill="1" applyBorder="1" applyAlignment="1" applyProtection="1">
      <alignment vertical="center" wrapText="1"/>
      <protection locked="0"/>
    </xf>
    <xf numFmtId="0" fontId="6" fillId="7" borderId="28" xfId="5" applyFont="1" applyFill="1" applyBorder="1" applyAlignment="1" applyProtection="1">
      <alignment vertical="center" wrapText="1"/>
      <protection locked="0"/>
    </xf>
    <xf numFmtId="0" fontId="6" fillId="7" borderId="5" xfId="5" applyFont="1" applyFill="1" applyBorder="1" applyAlignment="1" applyProtection="1">
      <alignment vertical="center" wrapText="1"/>
      <protection locked="0"/>
    </xf>
    <xf numFmtId="0" fontId="6" fillId="7" borderId="29" xfId="5" applyFont="1" applyFill="1" applyBorder="1" applyAlignment="1" applyProtection="1">
      <alignment vertical="center" wrapText="1"/>
      <protection locked="0"/>
    </xf>
    <xf numFmtId="0" fontId="39" fillId="38" borderId="22" xfId="5" applyFont="1" applyFill="1" applyBorder="1" applyAlignment="1">
      <alignment horizontal="right" vertical="center" wrapText="1" indent="2"/>
    </xf>
    <xf numFmtId="0" fontId="39" fillId="38" borderId="5" xfId="5" applyFont="1" applyFill="1" applyBorder="1" applyAlignment="1">
      <alignment horizontal="right" vertical="center" wrapText="1" indent="2"/>
    </xf>
    <xf numFmtId="0" fontId="39" fillId="39" borderId="68" xfId="5" applyFont="1" applyFill="1" applyBorder="1" applyAlignment="1">
      <alignment horizontal="right" vertical="center" wrapText="1" indent="2"/>
    </xf>
    <xf numFmtId="170" fontId="27" fillId="0" borderId="28" xfId="2" applyNumberFormat="1" applyFont="1" applyBorder="1" applyAlignment="1" applyProtection="1">
      <alignment vertical="center" wrapText="1"/>
      <protection locked="0"/>
    </xf>
    <xf numFmtId="0" fontId="6" fillId="7" borderId="60" xfId="5" applyFont="1" applyFill="1" applyBorder="1" applyAlignment="1" applyProtection="1">
      <alignment horizontal="center" vertical="center" wrapText="1"/>
      <protection locked="0"/>
    </xf>
    <xf numFmtId="0" fontId="97" fillId="7" borderId="35" xfId="5" applyFont="1" applyFill="1" applyBorder="1" applyAlignment="1" applyProtection="1">
      <alignment horizontal="center" vertical="center" wrapText="1"/>
      <protection locked="0"/>
    </xf>
    <xf numFmtId="0" fontId="96" fillId="7" borderId="35" xfId="5" applyFont="1" applyFill="1" applyBorder="1" applyAlignment="1" applyProtection="1">
      <alignment horizontal="center" vertical="center" wrapText="1"/>
      <protection locked="0"/>
    </xf>
    <xf numFmtId="0" fontId="6" fillId="7" borderId="17" xfId="5" applyFont="1" applyFill="1" applyBorder="1" applyAlignment="1" applyProtection="1">
      <alignment vertical="center" wrapText="1"/>
      <protection locked="0"/>
    </xf>
    <xf numFmtId="0" fontId="6" fillId="7" borderId="56" xfId="5" applyFont="1" applyFill="1" applyBorder="1" applyAlignment="1" applyProtection="1">
      <alignment vertical="center" wrapText="1"/>
      <protection locked="0"/>
    </xf>
    <xf numFmtId="0" fontId="6" fillId="7" borderId="20" xfId="5" applyFont="1" applyFill="1" applyBorder="1" applyAlignment="1" applyProtection="1">
      <alignment vertical="center" wrapText="1"/>
      <protection locked="0"/>
    </xf>
    <xf numFmtId="0" fontId="6" fillId="7" borderId="18" xfId="5" applyFont="1" applyFill="1" applyBorder="1" applyAlignment="1" applyProtection="1">
      <alignment vertical="center" wrapText="1"/>
      <protection locked="0"/>
    </xf>
    <xf numFmtId="170" fontId="27" fillId="0" borderId="17" xfId="2" applyNumberFormat="1" applyFont="1" applyBorder="1" applyAlignment="1" applyProtection="1">
      <alignment vertical="center" wrapText="1"/>
      <protection locked="0"/>
    </xf>
    <xf numFmtId="0" fontId="6" fillId="0" borderId="5" xfId="5" applyFont="1" applyBorder="1" applyAlignment="1">
      <alignment vertical="center" wrapText="1"/>
    </xf>
    <xf numFmtId="10" fontId="27" fillId="0" borderId="69" xfId="13" applyNumberFormat="1" applyFont="1" applyFill="1" applyBorder="1" applyAlignment="1" applyProtection="1">
      <alignment vertical="center" wrapText="1"/>
    </xf>
    <xf numFmtId="10" fontId="27" fillId="0" borderId="50" xfId="13" applyNumberFormat="1" applyFont="1" applyFill="1" applyBorder="1" applyAlignment="1" applyProtection="1">
      <alignment vertical="center" wrapText="1"/>
    </xf>
    <xf numFmtId="1" fontId="39" fillId="38" borderId="30" xfId="13" applyNumberFormat="1" applyFont="1" applyFill="1" applyBorder="1" applyAlignment="1" applyProtection="1">
      <alignment horizontal="right" vertical="center" wrapText="1" indent="2"/>
    </xf>
    <xf numFmtId="1" fontId="39" fillId="38" borderId="93" xfId="13" applyNumberFormat="1" applyFont="1" applyFill="1" applyBorder="1" applyAlignment="1" applyProtection="1">
      <alignment horizontal="right" vertical="center" wrapText="1" indent="2"/>
    </xf>
    <xf numFmtId="170" fontId="39" fillId="38" borderId="93" xfId="2" applyNumberFormat="1" applyFont="1" applyFill="1" applyBorder="1" applyAlignment="1">
      <alignment horizontal="right" vertical="center" wrapText="1" indent="2"/>
    </xf>
    <xf numFmtId="170" fontId="39" fillId="38" borderId="86" xfId="5" applyNumberFormat="1" applyFont="1" applyFill="1" applyBorder="1" applyAlignment="1">
      <alignment horizontal="right" vertical="center" wrapText="1" indent="2"/>
    </xf>
    <xf numFmtId="170" fontId="6" fillId="0" borderId="0" xfId="5" applyNumberFormat="1" applyFont="1" applyAlignment="1">
      <alignment horizontal="right" vertical="center" wrapText="1" indent="2"/>
    </xf>
    <xf numFmtId="170" fontId="34" fillId="5" borderId="39" xfId="2" applyNumberFormat="1" applyFont="1" applyFill="1" applyBorder="1" applyAlignment="1" applyProtection="1">
      <alignment horizontal="right" vertical="center" wrapText="1" indent="2"/>
    </xf>
    <xf numFmtId="1" fontId="39" fillId="39" borderId="39" xfId="13" applyNumberFormat="1" applyFont="1" applyFill="1" applyBorder="1" applyAlignment="1" applyProtection="1">
      <alignment horizontal="right" vertical="center" wrapText="1" indent="2"/>
    </xf>
    <xf numFmtId="0" fontId="34" fillId="6" borderId="3" xfId="5" applyFont="1" applyFill="1" applyBorder="1" applyAlignment="1">
      <alignment horizontal="center" vertical="center" wrapText="1"/>
    </xf>
    <xf numFmtId="10" fontId="6" fillId="0" borderId="1" xfId="5" applyNumberFormat="1" applyFont="1" applyBorder="1" applyAlignment="1">
      <alignment vertical="center" wrapText="1"/>
    </xf>
    <xf numFmtId="10" fontId="6" fillId="0" borderId="94" xfId="5" applyNumberFormat="1" applyFont="1" applyBorder="1" applyAlignment="1">
      <alignment vertical="center" wrapText="1"/>
    </xf>
    <xf numFmtId="10" fontId="6" fillId="0" borderId="91" xfId="5" applyNumberFormat="1" applyFont="1" applyBorder="1" applyAlignment="1">
      <alignment vertical="center" wrapText="1"/>
    </xf>
    <xf numFmtId="0" fontId="6" fillId="0" borderId="6" xfId="5" applyFont="1" applyBorder="1" applyAlignment="1">
      <alignment vertical="center" wrapText="1"/>
    </xf>
    <xf numFmtId="0" fontId="14" fillId="0" borderId="0" xfId="5" applyFont="1" applyAlignment="1">
      <alignment vertical="center" wrapText="1"/>
    </xf>
    <xf numFmtId="0" fontId="83" fillId="0" borderId="0" xfId="5" applyFont="1"/>
    <xf numFmtId="10" fontId="6" fillId="0" borderId="0" xfId="5" applyNumberFormat="1" applyFont="1"/>
    <xf numFmtId="10" fontId="6" fillId="0" borderId="92" xfId="5" applyNumberFormat="1" applyFont="1" applyBorder="1" applyProtection="1">
      <protection locked="0"/>
    </xf>
    <xf numFmtId="10" fontId="6" fillId="0" borderId="0" xfId="5" applyNumberFormat="1" applyFont="1" applyProtection="1">
      <protection locked="0"/>
    </xf>
    <xf numFmtId="10" fontId="6" fillId="0" borderId="89" xfId="5" applyNumberFormat="1" applyFont="1" applyBorder="1" applyProtection="1">
      <protection locked="0"/>
    </xf>
    <xf numFmtId="10" fontId="6" fillId="0" borderId="40" xfId="5" applyNumberFormat="1" applyFont="1" applyBorder="1" applyProtection="1">
      <protection locked="0"/>
    </xf>
    <xf numFmtId="0" fontId="34" fillId="6" borderId="58" xfId="5" applyFont="1" applyFill="1" applyBorder="1" applyAlignment="1">
      <alignment horizontal="center" vertical="center" wrapText="1"/>
    </xf>
    <xf numFmtId="0" fontId="6" fillId="0" borderId="92" xfId="5" applyFont="1" applyBorder="1" applyProtection="1">
      <protection locked="0"/>
    </xf>
    <xf numFmtId="0" fontId="6" fillId="0" borderId="89" xfId="5" applyFont="1" applyBorder="1" applyProtection="1">
      <protection locked="0"/>
    </xf>
    <xf numFmtId="0" fontId="6" fillId="0" borderId="40" xfId="5" applyFont="1" applyBorder="1" applyProtection="1">
      <protection locked="0"/>
    </xf>
    <xf numFmtId="170" fontId="34" fillId="6" borderId="16" xfId="2" applyNumberFormat="1" applyFont="1" applyFill="1" applyBorder="1" applyProtection="1"/>
    <xf numFmtId="0" fontId="6" fillId="0" borderId="59" xfId="5" applyFont="1" applyBorder="1" applyAlignment="1">
      <alignment horizontal="center"/>
    </xf>
    <xf numFmtId="173" fontId="27" fillId="0" borderId="58" xfId="2" applyNumberFormat="1" applyFont="1" applyBorder="1" applyAlignment="1" applyProtection="1">
      <alignment vertical="center" wrapText="1"/>
      <protection locked="0"/>
    </xf>
    <xf numFmtId="173" fontId="27" fillId="0" borderId="55" xfId="2" applyNumberFormat="1" applyFont="1" applyBorder="1" applyAlignment="1" applyProtection="1">
      <alignment vertical="center" wrapText="1"/>
      <protection locked="0"/>
    </xf>
    <xf numFmtId="173" fontId="27" fillId="0" borderId="19" xfId="2" applyNumberFormat="1" applyFont="1" applyBorder="1" applyAlignment="1" applyProtection="1">
      <alignment vertical="center" wrapText="1"/>
      <protection locked="0"/>
    </xf>
    <xf numFmtId="173" fontId="27" fillId="0" borderId="14" xfId="2" applyNumberFormat="1" applyFont="1" applyBorder="1" applyAlignment="1" applyProtection="1">
      <alignment vertical="center" wrapText="1"/>
      <protection locked="0"/>
    </xf>
    <xf numFmtId="173" fontId="27" fillId="0" borderId="13" xfId="2" applyNumberFormat="1" applyFont="1" applyBorder="1" applyAlignment="1" applyProtection="1">
      <alignment vertical="center" wrapText="1"/>
      <protection locked="0"/>
    </xf>
    <xf numFmtId="170" fontId="27" fillId="6" borderId="16" xfId="2" applyNumberFormat="1" applyFont="1" applyFill="1" applyBorder="1" applyProtection="1"/>
    <xf numFmtId="0" fontId="6" fillId="0" borderId="0" xfId="5" applyFont="1" applyAlignment="1">
      <alignment horizontal="right" vertical="center"/>
    </xf>
    <xf numFmtId="0" fontId="34" fillId="0" borderId="0" xfId="5" applyFont="1" applyAlignment="1">
      <alignment horizontal="center"/>
    </xf>
    <xf numFmtId="173" fontId="6" fillId="40" borderId="60" xfId="5" applyNumberFormat="1" applyFont="1" applyFill="1" applyBorder="1" applyAlignment="1" applyProtection="1">
      <alignment horizontal="center" wrapText="1"/>
      <protection locked="0"/>
    </xf>
    <xf numFmtId="170" fontId="27" fillId="41" borderId="16" xfId="2" applyNumberFormat="1" applyFont="1" applyFill="1" applyBorder="1" applyProtection="1"/>
    <xf numFmtId="0" fontId="34" fillId="0" borderId="0" xfId="5" applyFont="1" applyAlignment="1">
      <alignment horizontal="right" vertical="center"/>
    </xf>
    <xf numFmtId="164" fontId="6" fillId="0" borderId="3" xfId="5" applyNumberFormat="1" applyFont="1" applyBorder="1" applyAlignment="1">
      <alignment horizontal="right" indent="2"/>
    </xf>
    <xf numFmtId="181" fontId="27" fillId="0" borderId="3" xfId="6" applyNumberFormat="1" applyFont="1" applyBorder="1" applyAlignment="1" applyProtection="1">
      <alignment horizontal="right" indent="2"/>
    </xf>
    <xf numFmtId="0" fontId="6" fillId="0" borderId="60" xfId="5" applyFont="1" applyBorder="1" applyAlignment="1">
      <alignment horizontal="center"/>
    </xf>
    <xf numFmtId="170" fontId="27" fillId="40" borderId="18" xfId="2" applyNumberFormat="1" applyFont="1" applyFill="1" applyBorder="1" applyProtection="1"/>
    <xf numFmtId="0" fontId="87" fillId="0" borderId="0" xfId="5" applyFont="1" applyAlignment="1">
      <alignment horizontal="right" vertical="center"/>
    </xf>
    <xf numFmtId="164" fontId="87" fillId="7" borderId="3" xfId="5" applyNumberFormat="1" applyFont="1" applyFill="1" applyBorder="1" applyAlignment="1">
      <alignment horizontal="right" indent="2"/>
    </xf>
    <xf numFmtId="181" fontId="87" fillId="7" borderId="3" xfId="6" applyNumberFormat="1" applyFont="1" applyFill="1" applyBorder="1" applyAlignment="1" applyProtection="1">
      <alignment horizontal="right" indent="2"/>
    </xf>
    <xf numFmtId="181" fontId="27" fillId="31" borderId="3" xfId="6" applyNumberFormat="1" applyFont="1" applyFill="1" applyBorder="1" applyAlignment="1" applyProtection="1">
      <alignment horizontal="right" indent="2"/>
      <protection locked="0"/>
    </xf>
    <xf numFmtId="170" fontId="27" fillId="0" borderId="14" xfId="2" applyNumberFormat="1" applyFont="1" applyBorder="1" applyProtection="1"/>
    <xf numFmtId="0" fontId="34" fillId="0" borderId="0" xfId="5" applyFont="1"/>
    <xf numFmtId="170" fontId="27" fillId="0" borderId="16" xfId="2" applyNumberFormat="1" applyFont="1" applyBorder="1" applyProtection="1"/>
    <xf numFmtId="0" fontId="34" fillId="7" borderId="0" xfId="5" applyFont="1" applyFill="1" applyAlignment="1">
      <alignment horizontal="center"/>
    </xf>
    <xf numFmtId="0" fontId="6" fillId="39" borderId="15" xfId="5" applyFont="1" applyFill="1" applyBorder="1"/>
    <xf numFmtId="0" fontId="6" fillId="0" borderId="3" xfId="5" applyFont="1" applyBorder="1"/>
    <xf numFmtId="182" fontId="27" fillId="0" borderId="16" xfId="1" applyNumberFormat="1" applyFont="1" applyBorder="1" applyProtection="1"/>
    <xf numFmtId="0" fontId="20" fillId="0" borderId="0" xfId="9" applyFont="1" applyProtection="1"/>
    <xf numFmtId="0" fontId="6" fillId="39" borderId="87" xfId="5" applyFont="1" applyFill="1" applyBorder="1"/>
    <xf numFmtId="0" fontId="6" fillId="0" borderId="4" xfId="5" applyFont="1" applyBorder="1"/>
    <xf numFmtId="182" fontId="27" fillId="0" borderId="88" xfId="1" applyNumberFormat="1" applyFont="1" applyBorder="1" applyProtection="1"/>
    <xf numFmtId="0" fontId="15" fillId="6" borderId="13" xfId="5" applyFont="1" applyFill="1" applyBorder="1" applyAlignment="1">
      <alignment vertical="center"/>
    </xf>
    <xf numFmtId="170" fontId="27" fillId="6" borderId="58" xfId="2" applyNumberFormat="1" applyFont="1" applyFill="1" applyBorder="1" applyAlignment="1" applyProtection="1">
      <alignment vertical="center"/>
    </xf>
    <xf numFmtId="0" fontId="6" fillId="41" borderId="15" xfId="5" applyFont="1" applyFill="1" applyBorder="1" applyAlignment="1">
      <alignment vertical="center"/>
    </xf>
    <xf numFmtId="170" fontId="27" fillId="41" borderId="59" xfId="2" applyNumberFormat="1" applyFont="1" applyFill="1" applyBorder="1" applyAlignment="1" applyProtection="1">
      <alignment vertical="center"/>
    </xf>
    <xf numFmtId="0" fontId="6" fillId="40" borderId="17" xfId="5" applyFont="1" applyFill="1" applyBorder="1" applyAlignment="1">
      <alignment vertical="center"/>
    </xf>
    <xf numFmtId="170" fontId="27" fillId="40" borderId="60" xfId="2" applyNumberFormat="1" applyFont="1" applyFill="1" applyBorder="1" applyAlignment="1" applyProtection="1">
      <alignment vertical="center"/>
    </xf>
    <xf numFmtId="10" fontId="27" fillId="6" borderId="58" xfId="13" applyNumberFormat="1" applyFont="1" applyFill="1" applyBorder="1" applyAlignment="1" applyProtection="1">
      <alignment vertical="center"/>
    </xf>
    <xf numFmtId="0" fontId="76" fillId="0" borderId="0" xfId="5" applyFont="1" applyAlignment="1">
      <alignment vertical="center"/>
    </xf>
    <xf numFmtId="10" fontId="27" fillId="41" borderId="59" xfId="13" applyNumberFormat="1" applyFont="1" applyFill="1" applyBorder="1" applyAlignment="1" applyProtection="1">
      <alignment vertical="center"/>
    </xf>
    <xf numFmtId="10" fontId="27" fillId="40" borderId="60" xfId="13" applyNumberFormat="1" applyFont="1" applyFill="1" applyBorder="1" applyAlignment="1" applyProtection="1">
      <alignment vertical="center"/>
    </xf>
    <xf numFmtId="0" fontId="98" fillId="0" borderId="0" xfId="5" applyFont="1"/>
    <xf numFmtId="0" fontId="99" fillId="0" borderId="0" xfId="5" applyFont="1"/>
    <xf numFmtId="0" fontId="15" fillId="0" borderId="13" xfId="5" applyFont="1" applyBorder="1" applyAlignment="1" applyProtection="1">
      <alignment wrapText="1"/>
      <protection locked="0"/>
    </xf>
    <xf numFmtId="0" fontId="34" fillId="0" borderId="55" xfId="5" applyFont="1" applyBorder="1" applyAlignment="1" applyProtection="1">
      <alignment wrapText="1"/>
      <protection locked="0"/>
    </xf>
    <xf numFmtId="0" fontId="34" fillId="0" borderId="19" xfId="5" applyFont="1" applyBorder="1" applyAlignment="1" applyProtection="1">
      <alignment wrapText="1"/>
      <protection locked="0"/>
    </xf>
    <xf numFmtId="0" fontId="34" fillId="0" borderId="95" xfId="5" applyFont="1" applyBorder="1" applyAlignment="1" applyProtection="1">
      <alignment wrapText="1"/>
      <protection locked="0"/>
    </xf>
    <xf numFmtId="0" fontId="34" fillId="0" borderId="14" xfId="5" applyFont="1" applyBorder="1" applyAlignment="1" applyProtection="1">
      <alignment wrapText="1"/>
      <protection locked="0"/>
    </xf>
    <xf numFmtId="0" fontId="14" fillId="0" borderId="40" xfId="5" applyFont="1" applyBorder="1" applyProtection="1">
      <protection locked="0"/>
    </xf>
    <xf numFmtId="0" fontId="83" fillId="0" borderId="0" xfId="5" applyFont="1" applyProtection="1">
      <protection locked="0"/>
    </xf>
    <xf numFmtId="0" fontId="14" fillId="0" borderId="15" xfId="5" applyFont="1" applyBorder="1" applyAlignment="1" applyProtection="1">
      <alignment wrapText="1"/>
      <protection locked="0"/>
    </xf>
    <xf numFmtId="0" fontId="6" fillId="0" borderId="2" xfId="5" applyFont="1" applyBorder="1" applyAlignment="1" applyProtection="1">
      <alignment wrapText="1"/>
      <protection locked="0"/>
    </xf>
    <xf numFmtId="0" fontId="6" fillId="0" borderId="3" xfId="5" applyFont="1" applyBorder="1" applyAlignment="1" applyProtection="1">
      <alignment wrapText="1"/>
      <protection locked="0"/>
    </xf>
    <xf numFmtId="0" fontId="6" fillId="0" borderId="1" xfId="5" applyFont="1" applyBorder="1" applyAlignment="1" applyProtection="1">
      <alignment wrapText="1"/>
      <protection locked="0"/>
    </xf>
    <xf numFmtId="0" fontId="6" fillId="0" borderId="16" xfId="5" applyFont="1" applyBorder="1" applyAlignment="1" applyProtection="1">
      <alignment wrapText="1"/>
      <protection locked="0"/>
    </xf>
    <xf numFmtId="0" fontId="14" fillId="0" borderId="17" xfId="5" applyFont="1" applyBorder="1" applyAlignment="1" applyProtection="1">
      <alignment wrapText="1"/>
      <protection locked="0"/>
    </xf>
    <xf numFmtId="0" fontId="6" fillId="0" borderId="56" xfId="5" applyFont="1" applyBorder="1" applyAlignment="1" applyProtection="1">
      <alignment wrapText="1"/>
      <protection locked="0"/>
    </xf>
    <xf numFmtId="0" fontId="6" fillId="0" borderId="20" xfId="5" applyFont="1" applyBorder="1" applyAlignment="1" applyProtection="1">
      <alignment wrapText="1"/>
      <protection locked="0"/>
    </xf>
    <xf numFmtId="0" fontId="6" fillId="0" borderId="96" xfId="5" applyFont="1" applyBorder="1" applyAlignment="1" applyProtection="1">
      <alignment wrapText="1"/>
      <protection locked="0"/>
    </xf>
    <xf numFmtId="0" fontId="6" fillId="0" borderId="18" xfId="5" applyFont="1" applyBorder="1" applyAlignment="1" applyProtection="1">
      <alignment wrapText="1"/>
      <protection locked="0"/>
    </xf>
    <xf numFmtId="0" fontId="15" fillId="0" borderId="34" xfId="5" applyFont="1" applyBorder="1" applyAlignment="1" applyProtection="1">
      <alignment wrapText="1"/>
      <protection locked="0"/>
    </xf>
    <xf numFmtId="0" fontId="34" fillId="0" borderId="97" xfId="5" applyFont="1" applyBorder="1" applyAlignment="1" applyProtection="1">
      <alignment wrapText="1"/>
      <protection locked="0"/>
    </xf>
    <xf numFmtId="0" fontId="34" fillId="0" borderId="21" xfId="5" applyFont="1" applyBorder="1" applyAlignment="1" applyProtection="1">
      <alignment wrapText="1"/>
      <protection locked="0"/>
    </xf>
    <xf numFmtId="0" fontId="14" fillId="0" borderId="48" xfId="5" applyFont="1" applyBorder="1" applyAlignment="1" applyProtection="1">
      <alignment wrapText="1"/>
      <protection locked="0"/>
    </xf>
    <xf numFmtId="0" fontId="6" fillId="0" borderId="94" xfId="5" applyFont="1" applyBorder="1" applyAlignment="1" applyProtection="1">
      <alignment wrapText="1"/>
      <protection locked="0"/>
    </xf>
    <xf numFmtId="0" fontId="6" fillId="0" borderId="49" xfId="5" applyFont="1" applyBorder="1" applyAlignment="1" applyProtection="1">
      <alignment wrapText="1"/>
      <protection locked="0"/>
    </xf>
    <xf numFmtId="0" fontId="14" fillId="0" borderId="41" xfId="5" applyFont="1" applyBorder="1" applyAlignment="1" applyProtection="1">
      <alignment wrapText="1"/>
      <protection locked="0"/>
    </xf>
    <xf numFmtId="0" fontId="6" fillId="0" borderId="42" xfId="5" applyFont="1" applyBorder="1" applyAlignment="1" applyProtection="1">
      <alignment wrapText="1"/>
      <protection locked="0"/>
    </xf>
    <xf numFmtId="0" fontId="6" fillId="0" borderId="53" xfId="5" applyFont="1" applyBorder="1" applyAlignment="1" applyProtection="1">
      <alignment wrapText="1"/>
      <protection locked="0"/>
    </xf>
    <xf numFmtId="14" fontId="6" fillId="4" borderId="0" xfId="0" applyNumberFormat="1" applyFont="1" applyFill="1"/>
    <xf numFmtId="174" fontId="6" fillId="4" borderId="0" xfId="0" applyNumberFormat="1" applyFont="1" applyFill="1" applyAlignment="1">
      <alignment horizontal="center"/>
    </xf>
    <xf numFmtId="174" fontId="6" fillId="4" borderId="0" xfId="2" applyNumberFormat="1" applyFont="1" applyFill="1" applyBorder="1" applyAlignment="1">
      <alignment horizontal="center"/>
    </xf>
    <xf numFmtId="1" fontId="6" fillId="4" borderId="0" xfId="2" applyNumberFormat="1" applyFont="1" applyFill="1" applyBorder="1" applyAlignment="1">
      <alignment horizontal="center"/>
    </xf>
    <xf numFmtId="0" fontId="6" fillId="27" borderId="0" xfId="0" applyFont="1" applyFill="1"/>
    <xf numFmtId="174" fontId="6" fillId="27" borderId="0" xfId="0" applyNumberFormat="1" applyFont="1" applyFill="1" applyAlignment="1">
      <alignment horizontal="center"/>
    </xf>
    <xf numFmtId="174" fontId="6" fillId="27" borderId="0" xfId="2" applyNumberFormat="1" applyFont="1" applyFill="1" applyBorder="1" applyAlignment="1">
      <alignment horizontal="center"/>
    </xf>
    <xf numFmtId="1" fontId="6" fillId="27" borderId="0" xfId="0" applyNumberFormat="1" applyFont="1" applyFill="1" applyAlignment="1">
      <alignment horizontal="center"/>
    </xf>
    <xf numFmtId="183" fontId="6" fillId="0" borderId="0" xfId="0" applyNumberFormat="1" applyFont="1"/>
    <xf numFmtId="1" fontId="6" fillId="4" borderId="0" xfId="2" applyNumberFormat="1" applyFont="1" applyFill="1" applyAlignment="1">
      <alignment horizontal="center"/>
    </xf>
    <xf numFmtId="1" fontId="6" fillId="4" borderId="0" xfId="0" applyNumberFormat="1" applyFont="1" applyFill="1" applyAlignment="1">
      <alignment horizontal="center"/>
    </xf>
    <xf numFmtId="1" fontId="6" fillId="27" borderId="0" xfId="2" applyNumberFormat="1" applyFont="1" applyFill="1" applyBorder="1" applyAlignment="1">
      <alignment horizontal="center"/>
    </xf>
    <xf numFmtId="4" fontId="6" fillId="0" borderId="0" xfId="0" applyNumberFormat="1" applyFont="1"/>
    <xf numFmtId="1" fontId="6" fillId="27" borderId="0" xfId="2" applyNumberFormat="1" applyFont="1" applyFill="1" applyAlignment="1">
      <alignment horizontal="center"/>
    </xf>
    <xf numFmtId="0" fontId="6" fillId="27" borderId="0" xfId="0" applyFont="1" applyFill="1" applyAlignment="1">
      <alignment vertical="center"/>
    </xf>
    <xf numFmtId="174" fontId="6" fillId="0" borderId="0" xfId="0" applyNumberFormat="1" applyFont="1" applyAlignment="1">
      <alignment horizontal="center"/>
    </xf>
    <xf numFmtId="0" fontId="22" fillId="5" borderId="0" xfId="0" applyFont="1" applyFill="1" applyAlignment="1">
      <alignment vertical="center"/>
    </xf>
    <xf numFmtId="0" fontId="11" fillId="21" borderId="13" xfId="0" applyFont="1" applyFill="1" applyBorder="1"/>
    <xf numFmtId="1" fontId="6" fillId="0" borderId="19" xfId="0" applyNumberFormat="1" applyFont="1" applyBorder="1"/>
    <xf numFmtId="1" fontId="6" fillId="4" borderId="19" xfId="0" applyNumberFormat="1" applyFont="1" applyFill="1" applyBorder="1"/>
    <xf numFmtId="0" fontId="6" fillId="0" borderId="19" xfId="0" applyFont="1" applyBorder="1"/>
    <xf numFmtId="0" fontId="6" fillId="0" borderId="14" xfId="0" applyFont="1" applyBorder="1"/>
    <xf numFmtId="9" fontId="6" fillId="0" borderId="20" xfId="0" applyNumberFormat="1" applyFont="1" applyBorder="1"/>
    <xf numFmtId="9" fontId="6" fillId="0" borderId="18" xfId="0" applyNumberFormat="1" applyFont="1" applyBorder="1"/>
    <xf numFmtId="2" fontId="6" fillId="0" borderId="0" xfId="0" applyNumberFormat="1" applyFont="1" applyAlignment="1">
      <alignment horizontal="center"/>
    </xf>
    <xf numFmtId="2" fontId="11" fillId="0" borderId="0" xfId="0" applyNumberFormat="1" applyFont="1" applyAlignment="1">
      <alignment horizontal="center"/>
    </xf>
    <xf numFmtId="174" fontId="11" fillId="0" borderId="0" xfId="0" applyNumberFormat="1" applyFont="1" applyAlignment="1">
      <alignment horizontal="center"/>
    </xf>
    <xf numFmtId="0" fontId="11" fillId="4" borderId="65" xfId="0" applyFont="1" applyFill="1" applyBorder="1"/>
    <xf numFmtId="0" fontId="11" fillId="0" borderId="65" xfId="0" applyFont="1" applyBorder="1"/>
    <xf numFmtId="3" fontId="11" fillId="0" borderId="65" xfId="0" applyNumberFormat="1" applyFont="1" applyBorder="1" applyAlignment="1">
      <alignment horizontal="center"/>
    </xf>
    <xf numFmtId="0" fontId="11" fillId="0" borderId="65" xfId="0" applyFont="1" applyBorder="1" applyAlignment="1">
      <alignment horizontal="center"/>
    </xf>
    <xf numFmtId="0" fontId="6" fillId="0" borderId="65" xfId="0" applyFont="1" applyBorder="1"/>
    <xf numFmtId="175" fontId="6" fillId="0" borderId="65" xfId="0" applyNumberFormat="1" applyFont="1" applyBorder="1"/>
    <xf numFmtId="170" fontId="6" fillId="0" borderId="65" xfId="2" applyNumberFormat="1" applyFont="1" applyBorder="1"/>
    <xf numFmtId="0" fontId="17" fillId="0" borderId="65" xfId="0" applyFont="1" applyBorder="1" applyAlignment="1">
      <alignment horizontal="center"/>
    </xf>
    <xf numFmtId="0" fontId="6" fillId="6" borderId="65" xfId="0" applyFont="1" applyFill="1" applyBorder="1"/>
    <xf numFmtId="0" fontId="6" fillId="0" borderId="65" xfId="0" applyFont="1" applyBorder="1" applyAlignment="1">
      <alignment horizontal="left"/>
    </xf>
    <xf numFmtId="0" fontId="22" fillId="0" borderId="65" xfId="0" applyFont="1" applyBorder="1"/>
    <xf numFmtId="170" fontId="6" fillId="0" borderId="65" xfId="2" applyNumberFormat="1" applyFont="1" applyFill="1" applyBorder="1"/>
    <xf numFmtId="170" fontId="22" fillId="0" borderId="65" xfId="2" applyNumberFormat="1" applyFont="1" applyFill="1" applyBorder="1"/>
    <xf numFmtId="0" fontId="21" fillId="0" borderId="65" xfId="0" applyFont="1" applyBorder="1" applyAlignment="1">
      <alignment horizontal="left" vertical="center" wrapText="1"/>
    </xf>
    <xf numFmtId="0" fontId="6" fillId="4" borderId="65" xfId="5" applyFont="1" applyFill="1" applyBorder="1"/>
    <xf numFmtId="176" fontId="6" fillId="0" borderId="65" xfId="0" applyNumberFormat="1" applyFont="1" applyBorder="1"/>
    <xf numFmtId="0" fontId="6" fillId="4" borderId="0" xfId="5" applyFont="1" applyFill="1"/>
    <xf numFmtId="14" fontId="6" fillId="0" borderId="0" xfId="5" applyNumberFormat="1" applyFont="1"/>
    <xf numFmtId="0" fontId="100" fillId="26" borderId="39" xfId="0" applyFont="1" applyFill="1" applyBorder="1" applyAlignment="1">
      <alignment vertical="center" wrapText="1"/>
    </xf>
    <xf numFmtId="0" fontId="100" fillId="26" borderId="31" xfId="0" applyFont="1" applyFill="1" applyBorder="1" applyAlignment="1">
      <alignment vertical="center" wrapText="1"/>
    </xf>
    <xf numFmtId="0" fontId="100" fillId="26" borderId="12" xfId="0" applyFont="1" applyFill="1" applyBorder="1" applyAlignment="1">
      <alignment vertical="center" wrapText="1"/>
    </xf>
    <xf numFmtId="0" fontId="100" fillId="26" borderId="92" xfId="0" applyFont="1" applyFill="1" applyBorder="1" applyAlignment="1">
      <alignment vertical="center" wrapText="1"/>
    </xf>
    <xf numFmtId="0" fontId="6" fillId="42" borderId="0" xfId="0" applyFont="1" applyFill="1"/>
    <xf numFmtId="171" fontId="6" fillId="42" borderId="0" xfId="0" applyNumberFormat="1" applyFont="1" applyFill="1"/>
    <xf numFmtId="0" fontId="0" fillId="42" borderId="0" xfId="0" applyFill="1"/>
    <xf numFmtId="0" fontId="101" fillId="42" borderId="0" xfId="0" applyFont="1" applyFill="1" applyAlignment="1">
      <alignment vertical="center"/>
    </xf>
    <xf numFmtId="0" fontId="6" fillId="16" borderId="0" xfId="0" applyFont="1" applyFill="1"/>
    <xf numFmtId="171" fontId="6" fillId="16" borderId="0" xfId="0" applyNumberFormat="1" applyFont="1" applyFill="1"/>
    <xf numFmtId="0" fontId="0" fillId="16" borderId="0" xfId="0" applyFill="1"/>
    <xf numFmtId="0" fontId="6" fillId="16" borderId="0" xfId="0" applyFont="1" applyFill="1" applyAlignment="1">
      <alignment horizontal="center"/>
    </xf>
    <xf numFmtId="0" fontId="6" fillId="16" borderId="0" xfId="0" applyFont="1" applyFill="1" applyAlignment="1">
      <alignment horizontal="center" vertical="center"/>
    </xf>
    <xf numFmtId="0" fontId="60" fillId="16" borderId="50" xfId="5" applyFont="1" applyFill="1" applyBorder="1" applyAlignment="1">
      <alignment vertical="center"/>
    </xf>
    <xf numFmtId="0" fontId="58" fillId="16" borderId="50" xfId="5" applyFont="1" applyFill="1" applyBorder="1" applyAlignment="1">
      <alignment vertical="center"/>
    </xf>
    <xf numFmtId="0" fontId="22" fillId="16" borderId="50" xfId="0" applyFont="1" applyFill="1" applyBorder="1" applyAlignment="1">
      <alignment vertical="center"/>
    </xf>
    <xf numFmtId="0" fontId="6" fillId="16" borderId="50" xfId="0" applyFont="1" applyFill="1" applyBorder="1"/>
    <xf numFmtId="0" fontId="89" fillId="16" borderId="0" xfId="5" applyFont="1" applyFill="1" applyAlignment="1">
      <alignment vertical="center"/>
    </xf>
    <xf numFmtId="0" fontId="58" fillId="16" borderId="0" xfId="5" applyFont="1" applyFill="1" applyAlignment="1">
      <alignment vertical="center"/>
    </xf>
    <xf numFmtId="0" fontId="22" fillId="16" borderId="0" xfId="0" applyFont="1" applyFill="1"/>
    <xf numFmtId="0" fontId="22" fillId="16" borderId="0" xfId="0" applyFont="1" applyFill="1" applyAlignment="1">
      <alignment vertical="center"/>
    </xf>
    <xf numFmtId="0" fontId="6" fillId="16" borderId="50" xfId="0" applyFont="1" applyFill="1" applyBorder="1" applyAlignment="1">
      <alignment vertical="center"/>
    </xf>
    <xf numFmtId="0" fontId="6" fillId="16" borderId="50" xfId="0" applyFont="1" applyFill="1" applyBorder="1" applyAlignment="1" applyProtection="1">
      <alignment vertical="center"/>
      <protection locked="0"/>
    </xf>
    <xf numFmtId="0" fontId="0" fillId="16" borderId="50" xfId="0" applyFill="1" applyBorder="1" applyAlignment="1">
      <alignment vertical="center"/>
    </xf>
    <xf numFmtId="0" fontId="6" fillId="16" borderId="0" xfId="0" applyFont="1" applyFill="1" applyAlignment="1">
      <alignment vertical="center"/>
    </xf>
    <xf numFmtId="0" fontId="11" fillId="16" borderId="0" xfId="0" applyFont="1" applyFill="1"/>
    <xf numFmtId="0" fontId="6" fillId="16" borderId="0" xfId="0" applyFont="1" applyFill="1" applyProtection="1">
      <protection locked="0"/>
    </xf>
    <xf numFmtId="0" fontId="31" fillId="16" borderId="0" xfId="0" applyFont="1" applyFill="1" applyAlignment="1">
      <alignment vertical="center"/>
    </xf>
    <xf numFmtId="0" fontId="48" fillId="16" borderId="0" xfId="0" applyFont="1" applyFill="1"/>
    <xf numFmtId="0" fontId="11" fillId="16" borderId="0" xfId="0" applyFont="1" applyFill="1" applyProtection="1">
      <protection locked="0"/>
    </xf>
    <xf numFmtId="170" fontId="6" fillId="16" borderId="0" xfId="2" applyNumberFormat="1" applyFont="1" applyFill="1" applyBorder="1"/>
    <xf numFmtId="170" fontId="54" fillId="16" borderId="0" xfId="2" applyNumberFormat="1" applyFont="1" applyFill="1" applyBorder="1" applyProtection="1">
      <protection locked="0"/>
    </xf>
    <xf numFmtId="170" fontId="51" fillId="16" borderId="0" xfId="2" applyNumberFormat="1" applyFont="1" applyFill="1" applyBorder="1"/>
    <xf numFmtId="170" fontId="6" fillId="16" borderId="0" xfId="2" applyNumberFormat="1" applyFont="1" applyFill="1" applyBorder="1" applyAlignment="1">
      <alignment vertical="center"/>
    </xf>
    <xf numFmtId="170" fontId="54" fillId="16" borderId="0" xfId="2" applyNumberFormat="1" applyFont="1" applyFill="1" applyBorder="1" applyAlignment="1" applyProtection="1">
      <alignment vertical="center"/>
      <protection locked="0"/>
    </xf>
    <xf numFmtId="0" fontId="54" fillId="16" borderId="0" xfId="0" applyFont="1" applyFill="1" applyAlignment="1" applyProtection="1">
      <alignment horizontal="left" indent="1"/>
      <protection locked="0"/>
    </xf>
    <xf numFmtId="170" fontId="51" fillId="16" borderId="0" xfId="2" applyNumberFormat="1" applyFont="1" applyFill="1" applyBorder="1" applyAlignment="1">
      <alignment vertical="center"/>
    </xf>
    <xf numFmtId="0" fontId="26" fillId="16" borderId="0" xfId="0" applyFont="1" applyFill="1" applyAlignment="1" applyProtection="1">
      <alignment horizontal="left"/>
      <protection locked="0"/>
    </xf>
    <xf numFmtId="0" fontId="6" fillId="16" borderId="0" xfId="0" applyFont="1" applyFill="1" applyAlignment="1" applyProtection="1">
      <alignment horizontal="center"/>
      <protection locked="0"/>
    </xf>
    <xf numFmtId="14" fontId="51" fillId="16" borderId="0" xfId="2" applyNumberFormat="1" applyFont="1" applyFill="1" applyBorder="1" applyAlignment="1">
      <alignment vertical="center"/>
    </xf>
    <xf numFmtId="0" fontId="6" fillId="16" borderId="50" xfId="0" applyFont="1" applyFill="1" applyBorder="1" applyAlignment="1">
      <alignment horizontal="center"/>
    </xf>
    <xf numFmtId="0" fontId="0" fillId="16" borderId="50" xfId="0" applyFill="1" applyBorder="1"/>
    <xf numFmtId="0" fontId="30" fillId="16" borderId="0" xfId="0" applyFont="1" applyFill="1"/>
    <xf numFmtId="0" fontId="51" fillId="16" borderId="0" xfId="0" applyFont="1" applyFill="1" applyAlignment="1">
      <alignment vertical="center"/>
    </xf>
    <xf numFmtId="170" fontId="51" fillId="16" borderId="0" xfId="2" applyNumberFormat="1" applyFont="1" applyFill="1" applyBorder="1" applyAlignment="1" applyProtection="1">
      <alignment vertical="center"/>
      <protection locked="0"/>
    </xf>
    <xf numFmtId="9" fontId="51" fillId="16" borderId="0" xfId="2" applyNumberFormat="1" applyFont="1" applyFill="1" applyBorder="1" applyAlignment="1" applyProtection="1">
      <alignment horizontal="center" vertical="center"/>
      <protection locked="0"/>
    </xf>
    <xf numFmtId="0" fontId="17" fillId="16" borderId="0" xfId="8" applyFont="1" applyFill="1" applyBorder="1" applyAlignment="1" applyProtection="1">
      <alignment horizontal="center" vertical="center" wrapText="1"/>
      <protection locked="0"/>
    </xf>
    <xf numFmtId="9" fontId="6" fillId="16" borderId="0" xfId="0" applyNumberFormat="1" applyFont="1" applyFill="1" applyAlignment="1" applyProtection="1">
      <alignment horizontal="center"/>
      <protection locked="0"/>
    </xf>
    <xf numFmtId="170" fontId="26" fillId="16" borderId="0" xfId="2" applyNumberFormat="1" applyFont="1" applyFill="1" applyBorder="1" applyAlignment="1" applyProtection="1">
      <alignment horizontal="center" vertical="center"/>
      <protection locked="0"/>
    </xf>
    <xf numFmtId="170" fontId="51" fillId="16" borderId="0" xfId="2" applyNumberFormat="1" applyFont="1" applyFill="1" applyBorder="1" applyProtection="1">
      <protection locked="0"/>
    </xf>
    <xf numFmtId="1" fontId="6" fillId="16" borderId="0" xfId="0" applyNumberFormat="1" applyFont="1" applyFill="1" applyAlignment="1" applyProtection="1">
      <alignment horizontal="center"/>
      <protection locked="0"/>
    </xf>
    <xf numFmtId="9" fontId="6" fillId="16" borderId="0" xfId="0" applyNumberFormat="1" applyFont="1" applyFill="1" applyAlignment="1" applyProtection="1">
      <alignment horizontal="center" vertical="center"/>
      <protection locked="0"/>
    </xf>
    <xf numFmtId="0" fontId="21" fillId="16" borderId="0" xfId="0" applyFont="1" applyFill="1" applyAlignment="1">
      <alignment horizontal="center"/>
    </xf>
    <xf numFmtId="0" fontId="6" fillId="16" borderId="0" xfId="0" applyFont="1" applyFill="1" applyAlignment="1">
      <alignment vertical="center" wrapText="1"/>
    </xf>
    <xf numFmtId="0" fontId="11" fillId="16" borderId="0" xfId="4" applyFont="1" applyFill="1" applyBorder="1" applyAlignment="1" applyProtection="1">
      <alignment vertical="center"/>
    </xf>
    <xf numFmtId="1" fontId="11" fillId="16" borderId="0" xfId="0" applyNumberFormat="1" applyFont="1" applyFill="1" applyAlignment="1">
      <alignment vertical="center"/>
    </xf>
    <xf numFmtId="171" fontId="6" fillId="16" borderId="0" xfId="0" applyNumberFormat="1" applyFont="1" applyFill="1" applyProtection="1">
      <protection locked="0"/>
    </xf>
    <xf numFmtId="0" fontId="68" fillId="16" borderId="0" xfId="0" applyFont="1" applyFill="1" applyAlignment="1">
      <alignment vertical="center"/>
    </xf>
    <xf numFmtId="171" fontId="6" fillId="16" borderId="0" xfId="0" applyNumberFormat="1" applyFont="1" applyFill="1" applyAlignment="1">
      <alignment vertical="center"/>
    </xf>
    <xf numFmtId="2" fontId="6" fillId="16" borderId="0" xfId="0" applyNumberFormat="1" applyFont="1" applyFill="1" applyAlignment="1">
      <alignment horizontal="center" vertical="center"/>
    </xf>
    <xf numFmtId="171" fontId="6" fillId="16" borderId="0" xfId="0" applyNumberFormat="1" applyFont="1" applyFill="1" applyAlignment="1">
      <alignment horizontal="center" vertical="center"/>
    </xf>
    <xf numFmtId="0" fontId="6" fillId="16" borderId="0" xfId="0" applyFont="1" applyFill="1" applyAlignment="1" applyProtection="1">
      <alignment vertical="center"/>
      <protection locked="0"/>
    </xf>
    <xf numFmtId="171" fontId="6" fillId="16" borderId="0" xfId="0" applyNumberFormat="1" applyFont="1" applyFill="1" applyAlignment="1" applyProtection="1">
      <alignment vertical="center"/>
      <protection locked="0"/>
    </xf>
    <xf numFmtId="0" fontId="0" fillId="16" borderId="0" xfId="0" applyFill="1" applyProtection="1">
      <protection locked="0"/>
    </xf>
    <xf numFmtId="171" fontId="6" fillId="16" borderId="50" xfId="0" applyNumberFormat="1" applyFont="1" applyFill="1" applyBorder="1"/>
    <xf numFmtId="2" fontId="6" fillId="16" borderId="50" xfId="0" applyNumberFormat="1" applyFont="1" applyFill="1" applyBorder="1" applyAlignment="1">
      <alignment horizontal="center" vertical="center"/>
    </xf>
    <xf numFmtId="171" fontId="6" fillId="16" borderId="50" xfId="0" applyNumberFormat="1" applyFont="1" applyFill="1" applyBorder="1" applyAlignment="1">
      <alignment horizontal="center" vertical="center"/>
    </xf>
    <xf numFmtId="0" fontId="6" fillId="16" borderId="50" xfId="0" applyFont="1" applyFill="1" applyBorder="1" applyProtection="1">
      <protection locked="0"/>
    </xf>
    <xf numFmtId="171" fontId="6" fillId="16" borderId="50" xfId="0" applyNumberFormat="1" applyFont="1" applyFill="1" applyBorder="1" applyProtection="1">
      <protection locked="0"/>
    </xf>
    <xf numFmtId="0" fontId="0" fillId="16" borderId="50" xfId="0" applyFill="1" applyBorder="1" applyProtection="1">
      <protection locked="0"/>
    </xf>
    <xf numFmtId="1" fontId="6" fillId="16" borderId="0" xfId="0" applyNumberFormat="1" applyFont="1" applyFill="1"/>
    <xf numFmtId="0" fontId="11" fillId="16" borderId="0" xfId="0" applyFont="1" applyFill="1" applyAlignment="1">
      <alignment horizontal="center" vertical="center"/>
    </xf>
    <xf numFmtId="0" fontId="11" fillId="16" borderId="0" xfId="0" applyFont="1" applyFill="1" applyAlignment="1">
      <alignment horizontal="center"/>
    </xf>
    <xf numFmtId="9" fontId="6" fillId="16" borderId="0" xfId="0" applyNumberFormat="1" applyFont="1" applyFill="1" applyAlignment="1">
      <alignment horizontal="center" vertical="center"/>
    </xf>
    <xf numFmtId="0" fontId="21" fillId="16" borderId="0" xfId="0" applyFont="1" applyFill="1"/>
    <xf numFmtId="172" fontId="21" fillId="16" borderId="0" xfId="0" applyNumberFormat="1" applyFont="1" applyFill="1" applyAlignment="1">
      <alignment horizontal="center"/>
    </xf>
    <xf numFmtId="172" fontId="21" fillId="16" borderId="0" xfId="0" applyNumberFormat="1" applyFont="1" applyFill="1" applyAlignment="1" applyProtection="1">
      <alignment horizontal="center"/>
      <protection locked="0"/>
    </xf>
    <xf numFmtId="0" fontId="20" fillId="22" borderId="0" xfId="9" applyFont="1" applyFill="1" applyBorder="1" applyAlignment="1">
      <alignment horizontal="right" vertical="top" wrapText="1"/>
    </xf>
    <xf numFmtId="0" fontId="20" fillId="16" borderId="0" xfId="9" applyFont="1" applyFill="1" applyBorder="1" applyAlignment="1">
      <alignment horizontal="right" vertical="top" wrapText="1"/>
    </xf>
    <xf numFmtId="0" fontId="11" fillId="16" borderId="0" xfId="0" applyFont="1" applyFill="1" applyAlignment="1">
      <alignment vertical="center" wrapText="1"/>
    </xf>
    <xf numFmtId="1" fontId="0" fillId="16" borderId="0" xfId="0" applyNumberFormat="1" applyFill="1"/>
    <xf numFmtId="9" fontId="0" fillId="16" borderId="0" xfId="0" applyNumberFormat="1" applyFill="1"/>
    <xf numFmtId="0" fontId="84" fillId="42" borderId="0" xfId="0" applyFont="1" applyFill="1"/>
    <xf numFmtId="0" fontId="84" fillId="42" borderId="0" xfId="5" applyFont="1" applyFill="1" applyAlignment="1">
      <alignment vertical="center"/>
    </xf>
    <xf numFmtId="0" fontId="84" fillId="42" borderId="0" xfId="5" applyFont="1" applyFill="1" applyAlignment="1">
      <alignment horizontal="left" vertical="center"/>
    </xf>
    <xf numFmtId="0" fontId="84" fillId="42" borderId="0" xfId="0" applyFont="1" applyFill="1" applyAlignment="1">
      <alignment vertical="center"/>
    </xf>
    <xf numFmtId="0" fontId="104" fillId="42" borderId="0" xfId="1" applyNumberFormat="1" applyFont="1" applyFill="1" applyAlignment="1">
      <alignment vertical="top"/>
    </xf>
    <xf numFmtId="0" fontId="69" fillId="42" borderId="0" xfId="0" applyFont="1" applyFill="1" applyAlignment="1">
      <alignment horizontal="right"/>
    </xf>
    <xf numFmtId="0" fontId="6" fillId="16" borderId="73" xfId="0" applyFont="1" applyFill="1" applyBorder="1"/>
    <xf numFmtId="0" fontId="22" fillId="16" borderId="0" xfId="5" applyFont="1" applyFill="1" applyAlignment="1">
      <alignment vertical="center"/>
    </xf>
    <xf numFmtId="0" fontId="22" fillId="16" borderId="0" xfId="5" applyFont="1" applyFill="1" applyAlignment="1">
      <alignment horizontal="left" vertical="center"/>
    </xf>
    <xf numFmtId="0" fontId="6" fillId="16" borderId="35" xfId="0" applyFont="1" applyFill="1" applyBorder="1"/>
    <xf numFmtId="0" fontId="17" fillId="16" borderId="0" xfId="8" applyFont="1" applyFill="1" applyBorder="1" applyAlignment="1" applyProtection="1">
      <alignment horizontal="left" vertical="center" wrapText="1"/>
      <protection locked="0"/>
    </xf>
    <xf numFmtId="0" fontId="31" fillId="16" borderId="0" xfId="0" applyFont="1" applyFill="1" applyAlignment="1" applyProtection="1">
      <alignment vertical="center"/>
      <protection locked="0"/>
    </xf>
    <xf numFmtId="172" fontId="48" fillId="16" borderId="0" xfId="0" applyNumberFormat="1" applyFont="1" applyFill="1" applyAlignment="1" applyProtection="1">
      <alignment horizontal="left" vertical="center" wrapText="1"/>
      <protection locked="0"/>
    </xf>
    <xf numFmtId="172" fontId="6" fillId="16" borderId="0" xfId="0" applyNumberFormat="1" applyFont="1" applyFill="1" applyAlignment="1" applyProtection="1">
      <alignment vertical="center"/>
      <protection locked="0"/>
    </xf>
    <xf numFmtId="0" fontId="11" fillId="16" borderId="0" xfId="0" applyFont="1" applyFill="1" applyAlignment="1">
      <alignment wrapText="1"/>
    </xf>
    <xf numFmtId="0" fontId="30" fillId="16" borderId="0" xfId="0" applyFont="1" applyFill="1" applyProtection="1">
      <protection locked="0"/>
    </xf>
    <xf numFmtId="0" fontId="22" fillId="16" borderId="0" xfId="5" applyFont="1" applyFill="1" applyProtection="1">
      <protection locked="0"/>
    </xf>
    <xf numFmtId="0" fontId="22" fillId="16" borderId="0" xfId="5" applyFont="1" applyFill="1"/>
    <xf numFmtId="0" fontId="6" fillId="16" borderId="0" xfId="5" applyFont="1" applyFill="1"/>
    <xf numFmtId="170" fontId="6" fillId="16" borderId="0" xfId="2" applyNumberFormat="1" applyFont="1" applyFill="1" applyBorder="1" applyAlignment="1" applyProtection="1">
      <alignment vertical="center"/>
      <protection locked="0"/>
    </xf>
    <xf numFmtId="0" fontId="84" fillId="16" borderId="0" xfId="5" applyFont="1" applyFill="1" applyAlignment="1" applyProtection="1">
      <alignment wrapText="1"/>
      <protection locked="0"/>
    </xf>
    <xf numFmtId="0" fontId="42" fillId="16" borderId="0" xfId="0" applyFont="1" applyFill="1" applyAlignment="1">
      <alignment vertical="center"/>
    </xf>
    <xf numFmtId="0" fontId="30" fillId="16" borderId="0" xfId="0" applyFont="1" applyFill="1" applyAlignment="1" applyProtection="1">
      <alignment horizontal="left"/>
      <protection locked="0"/>
    </xf>
    <xf numFmtId="0" fontId="17" fillId="16" borderId="0" xfId="3" applyFont="1" applyFill="1" applyBorder="1" applyAlignment="1" applyProtection="1">
      <alignment horizontal="left" vertical="center" wrapText="1"/>
    </xf>
    <xf numFmtId="0" fontId="17" fillId="16" borderId="0" xfId="3" applyFont="1" applyFill="1" applyBorder="1" applyAlignment="1" applyProtection="1">
      <alignment horizontal="center" vertical="center" wrapText="1"/>
    </xf>
    <xf numFmtId="0" fontId="21" fillId="16" borderId="0" xfId="0" applyFont="1" applyFill="1" applyProtection="1">
      <protection locked="0"/>
    </xf>
    <xf numFmtId="0" fontId="6" fillId="16" borderId="0" xfId="0" applyFont="1" applyFill="1" applyAlignment="1">
      <alignment horizontal="left" vertical="center"/>
    </xf>
    <xf numFmtId="1" fontId="6" fillId="16" borderId="0" xfId="0" applyNumberFormat="1" applyFont="1" applyFill="1" applyAlignment="1">
      <alignment horizontal="center" vertical="center"/>
    </xf>
    <xf numFmtId="174" fontId="6" fillId="16" borderId="0" xfId="0" applyNumberFormat="1" applyFont="1" applyFill="1" applyAlignment="1">
      <alignment horizontal="center" vertical="center"/>
    </xf>
    <xf numFmtId="0" fontId="6" fillId="16" borderId="0" xfId="2" applyNumberFormat="1" applyFont="1" applyFill="1" applyBorder="1" applyAlignment="1" applyProtection="1">
      <alignment horizontal="left" vertical="center" indent="1"/>
      <protection locked="0"/>
    </xf>
    <xf numFmtId="0" fontId="30" fillId="16" borderId="0" xfId="0" applyFont="1" applyFill="1" applyAlignment="1" applyProtection="1">
      <alignment vertical="center"/>
      <protection locked="0"/>
    </xf>
    <xf numFmtId="1" fontId="6" fillId="16" borderId="0" xfId="2" applyNumberFormat="1" applyFont="1" applyFill="1" applyBorder="1" applyAlignment="1" applyProtection="1">
      <alignment horizontal="left" vertical="center" indent="1"/>
      <protection locked="0"/>
    </xf>
    <xf numFmtId="1" fontId="11" fillId="16" borderId="0" xfId="0" applyNumberFormat="1" applyFont="1" applyFill="1" applyAlignment="1">
      <alignment horizontal="center" vertical="center"/>
    </xf>
    <xf numFmtId="174" fontId="11" fillId="16" borderId="0" xfId="0" applyNumberFormat="1" applyFont="1" applyFill="1" applyAlignment="1">
      <alignment horizontal="center" vertical="center"/>
    </xf>
    <xf numFmtId="14" fontId="30" fillId="16" borderId="0" xfId="0" applyNumberFormat="1" applyFont="1" applyFill="1" applyAlignment="1" applyProtection="1">
      <alignment horizontal="left"/>
      <protection locked="0"/>
    </xf>
    <xf numFmtId="0" fontId="6" fillId="16" borderId="0" xfId="0" applyFont="1" applyFill="1" applyAlignment="1" applyProtection="1">
      <alignment horizontal="center" vertical="center"/>
      <protection locked="0"/>
    </xf>
    <xf numFmtId="0" fontId="6" fillId="16" borderId="0" xfId="0" applyFont="1" applyFill="1" applyAlignment="1" applyProtection="1">
      <alignment horizontal="left"/>
      <protection locked="0"/>
    </xf>
    <xf numFmtId="0" fontId="6" fillId="16" borderId="0" xfId="0" applyFont="1" applyFill="1" applyAlignment="1">
      <alignment horizontal="left"/>
    </xf>
    <xf numFmtId="0" fontId="30" fillId="16" borderId="0" xfId="5" applyFont="1" applyFill="1"/>
    <xf numFmtId="9" fontId="6" fillId="16" borderId="0" xfId="6" applyFont="1" applyFill="1" applyBorder="1" applyAlignment="1">
      <alignment horizontal="center" vertical="center"/>
    </xf>
    <xf numFmtId="9" fontId="6" fillId="16" borderId="0" xfId="6" applyFont="1" applyFill="1" applyBorder="1" applyAlignment="1">
      <alignment horizontal="center"/>
    </xf>
    <xf numFmtId="0" fontId="6" fillId="16" borderId="44" xfId="0" applyFont="1" applyFill="1" applyBorder="1"/>
    <xf numFmtId="0" fontId="11" fillId="16" borderId="63" xfId="0" applyFont="1" applyFill="1" applyBorder="1" applyAlignment="1">
      <alignment horizontal="center" vertical="center"/>
    </xf>
    <xf numFmtId="0" fontId="11" fillId="16" borderId="45" xfId="0" applyFont="1" applyFill="1" applyBorder="1" applyAlignment="1">
      <alignment horizontal="center" vertical="center"/>
    </xf>
    <xf numFmtId="0" fontId="11" fillId="16" borderId="66" xfId="0" applyFont="1" applyFill="1" applyBorder="1" applyAlignment="1">
      <alignment horizontal="center" vertical="center"/>
    </xf>
    <xf numFmtId="0" fontId="11" fillId="16" borderId="68" xfId="0" applyFont="1" applyFill="1" applyBorder="1" applyAlignment="1">
      <alignment vertical="center"/>
    </xf>
    <xf numFmtId="0" fontId="6" fillId="16" borderId="73" xfId="0" applyFont="1" applyFill="1" applyBorder="1" applyAlignment="1">
      <alignment horizontal="left"/>
    </xf>
    <xf numFmtId="0" fontId="11" fillId="16" borderId="59" xfId="0" applyFont="1" applyFill="1" applyBorder="1" applyAlignment="1">
      <alignment vertical="center"/>
    </xf>
    <xf numFmtId="170" fontId="6" fillId="16" borderId="2" xfId="2" applyNumberFormat="1" applyFont="1" applyFill="1" applyBorder="1"/>
    <xf numFmtId="0" fontId="48" fillId="16" borderId="0" xfId="0" applyFont="1" applyFill="1" applyAlignment="1">
      <alignment vertical="top" wrapText="1"/>
    </xf>
    <xf numFmtId="0" fontId="32" fillId="16" borderId="0" xfId="0" applyFont="1" applyFill="1" applyAlignment="1">
      <alignment wrapText="1"/>
    </xf>
    <xf numFmtId="0" fontId="48" fillId="16" borderId="0" xfId="5" applyFont="1" applyFill="1" applyAlignment="1" applyProtection="1">
      <alignment horizontal="left" vertical="center"/>
      <protection locked="0"/>
    </xf>
    <xf numFmtId="0" fontId="32" fillId="16" borderId="0" xfId="5" applyFont="1" applyFill="1" applyProtection="1">
      <protection locked="0"/>
    </xf>
    <xf numFmtId="0" fontId="6" fillId="16" borderId="0" xfId="0" applyFont="1" applyFill="1" applyAlignment="1" applyProtection="1">
      <alignment horizontal="left" vertical="center"/>
      <protection locked="0"/>
    </xf>
    <xf numFmtId="0" fontId="6" fillId="16" borderId="0" xfId="5" applyFont="1" applyFill="1" applyProtection="1">
      <protection locked="0"/>
    </xf>
    <xf numFmtId="14" fontId="6" fillId="16" borderId="0" xfId="0" applyNumberFormat="1" applyFont="1" applyFill="1" applyAlignment="1">
      <alignment horizontal="center" vertical="center" wrapText="1"/>
    </xf>
    <xf numFmtId="0" fontId="30" fillId="16" borderId="0" xfId="0" applyFont="1" applyFill="1" applyAlignment="1" applyProtection="1">
      <alignment horizontal="center" vertical="center"/>
      <protection locked="0"/>
    </xf>
    <xf numFmtId="0" fontId="84" fillId="16" borderId="0" xfId="0" applyFont="1" applyFill="1"/>
    <xf numFmtId="0" fontId="6" fillId="16" borderId="0" xfId="5" applyFont="1" applyFill="1" applyAlignment="1" applyProtection="1">
      <alignment vertical="center" wrapText="1"/>
      <protection locked="0"/>
    </xf>
    <xf numFmtId="0" fontId="90" fillId="16" borderId="0" xfId="5" applyFont="1" applyFill="1" applyAlignment="1" applyProtection="1">
      <alignment horizontal="right" vertical="center" wrapText="1" indent="2"/>
      <protection locked="0"/>
    </xf>
    <xf numFmtId="170" fontId="90" fillId="16" borderId="0" xfId="2" applyNumberFormat="1" applyFont="1" applyFill="1" applyBorder="1" applyAlignment="1" applyProtection="1">
      <alignment horizontal="right" vertical="center" wrapText="1" indent="2"/>
      <protection locked="0"/>
    </xf>
    <xf numFmtId="164" fontId="90" fillId="16" borderId="0" xfId="5" applyNumberFormat="1" applyFont="1" applyFill="1" applyAlignment="1" applyProtection="1">
      <alignment horizontal="right" vertical="center" wrapText="1" indent="2"/>
      <protection locked="0"/>
    </xf>
    <xf numFmtId="164" fontId="6" fillId="16" borderId="0" xfId="5" applyNumberFormat="1" applyFont="1" applyFill="1" applyAlignment="1" applyProtection="1">
      <alignment horizontal="right" vertical="center" wrapText="1" indent="2"/>
      <protection locked="0"/>
    </xf>
    <xf numFmtId="170" fontId="22" fillId="16" borderId="0" xfId="2" applyNumberFormat="1" applyFont="1" applyFill="1" applyBorder="1" applyAlignment="1" applyProtection="1">
      <alignment horizontal="right" vertical="center" wrapText="1" indent="2"/>
      <protection locked="0"/>
    </xf>
    <xf numFmtId="10" fontId="22" fillId="16" borderId="0" xfId="13" applyNumberFormat="1" applyFont="1" applyFill="1" applyBorder="1" applyAlignment="1" applyProtection="1">
      <alignment vertical="center" wrapText="1"/>
      <protection locked="0"/>
    </xf>
    <xf numFmtId="1" fontId="90" fillId="16" borderId="0" xfId="13" applyNumberFormat="1" applyFont="1" applyFill="1" applyBorder="1" applyAlignment="1" applyProtection="1">
      <alignment horizontal="right" vertical="center" wrapText="1" indent="2"/>
      <protection locked="0"/>
    </xf>
    <xf numFmtId="170" fontId="90" fillId="16" borderId="0" xfId="5" applyNumberFormat="1" applyFont="1" applyFill="1" applyAlignment="1" applyProtection="1">
      <alignment horizontal="right" vertical="center" wrapText="1" indent="2"/>
      <protection locked="0"/>
    </xf>
    <xf numFmtId="170" fontId="6" fillId="16" borderId="0" xfId="5" applyNumberFormat="1" applyFont="1" applyFill="1" applyAlignment="1" applyProtection="1">
      <alignment horizontal="right" vertical="center" wrapText="1" indent="2"/>
      <protection locked="0"/>
    </xf>
    <xf numFmtId="170" fontId="17" fillId="16" borderId="0" xfId="2" applyNumberFormat="1" applyFont="1" applyFill="1" applyBorder="1" applyAlignment="1" applyProtection="1">
      <alignment horizontal="right" vertical="center" wrapText="1" indent="2"/>
      <protection locked="0"/>
    </xf>
    <xf numFmtId="10" fontId="6" fillId="16" borderId="0" xfId="5" applyNumberFormat="1" applyFont="1" applyFill="1" applyAlignment="1" applyProtection="1">
      <alignment vertical="center" wrapText="1"/>
      <protection locked="0"/>
    </xf>
    <xf numFmtId="0" fontId="17" fillId="16" borderId="0" xfId="5" applyFont="1" applyFill="1" applyAlignment="1" applyProtection="1">
      <alignment horizontal="center"/>
      <protection locked="0"/>
    </xf>
    <xf numFmtId="170" fontId="17" fillId="16" borderId="0" xfId="2" applyNumberFormat="1" applyFont="1" applyFill="1" applyBorder="1" applyProtection="1">
      <protection locked="0"/>
    </xf>
    <xf numFmtId="0" fontId="6" fillId="16" borderId="0" xfId="5" applyFont="1" applyFill="1" applyAlignment="1" applyProtection="1">
      <alignment horizontal="right" vertical="center"/>
      <protection locked="0"/>
    </xf>
    <xf numFmtId="173" fontId="22" fillId="16" borderId="0" xfId="2" applyNumberFormat="1" applyFont="1" applyFill="1" applyBorder="1" applyAlignment="1" applyProtection="1">
      <alignment vertical="center" wrapText="1"/>
      <protection locked="0"/>
    </xf>
    <xf numFmtId="0" fontId="6" fillId="16" borderId="0" xfId="5" applyFont="1" applyFill="1" applyAlignment="1" applyProtection="1">
      <alignment horizontal="center"/>
      <protection locked="0"/>
    </xf>
    <xf numFmtId="170" fontId="22" fillId="16" borderId="0" xfId="2" applyNumberFormat="1" applyFont="1" applyFill="1" applyBorder="1" applyProtection="1">
      <protection locked="0"/>
    </xf>
    <xf numFmtId="173" fontId="6" fillId="16" borderId="0" xfId="5" applyNumberFormat="1" applyFont="1" applyFill="1" applyAlignment="1" applyProtection="1">
      <alignment horizontal="center" wrapText="1"/>
      <protection locked="0"/>
    </xf>
    <xf numFmtId="0" fontId="17" fillId="16" borderId="0" xfId="5" applyFont="1" applyFill="1" applyAlignment="1" applyProtection="1">
      <alignment horizontal="right" vertical="center"/>
      <protection locked="0"/>
    </xf>
    <xf numFmtId="164" fontId="6" fillId="16" borderId="0" xfId="5" applyNumberFormat="1" applyFont="1" applyFill="1" applyAlignment="1" applyProtection="1">
      <alignment horizontal="right" indent="2"/>
      <protection locked="0"/>
    </xf>
    <xf numFmtId="0" fontId="55" fillId="16" borderId="0" xfId="5" applyFont="1" applyFill="1" applyAlignment="1" applyProtection="1">
      <alignment horizontal="right" vertical="center"/>
      <protection locked="0"/>
    </xf>
    <xf numFmtId="164" fontId="55" fillId="16" borderId="0" xfId="5" applyNumberFormat="1" applyFont="1" applyFill="1" applyAlignment="1" applyProtection="1">
      <alignment horizontal="right" indent="2"/>
      <protection locked="0"/>
    </xf>
    <xf numFmtId="173" fontId="6" fillId="16" borderId="0" xfId="5" applyNumberFormat="1" applyFont="1" applyFill="1" applyProtection="1">
      <protection locked="0"/>
    </xf>
    <xf numFmtId="0" fontId="17" fillId="16" borderId="0" xfId="5" applyFont="1" applyFill="1" applyProtection="1">
      <protection locked="0"/>
    </xf>
    <xf numFmtId="0" fontId="20" fillId="16" borderId="0" xfId="9" applyFont="1" applyFill="1" applyBorder="1" applyProtection="1">
      <protection locked="0"/>
    </xf>
    <xf numFmtId="15" fontId="31" fillId="16" borderId="0" xfId="0" applyNumberFormat="1" applyFont="1" applyFill="1" applyAlignment="1">
      <alignment horizontal="center"/>
    </xf>
    <xf numFmtId="0" fontId="31" fillId="16" borderId="0" xfId="0" applyFont="1" applyFill="1" applyAlignment="1">
      <alignment horizontal="center"/>
    </xf>
    <xf numFmtId="0" fontId="11" fillId="16" borderId="0" xfId="5" applyFont="1" applyFill="1" applyAlignment="1" applyProtection="1">
      <alignment horizontal="left" vertical="center"/>
      <protection locked="0"/>
    </xf>
    <xf numFmtId="0" fontId="11" fillId="16" borderId="0" xfId="0" applyFont="1" applyFill="1" applyAlignment="1">
      <alignment vertical="center"/>
    </xf>
    <xf numFmtId="0" fontId="48" fillId="16" borderId="0" xfId="0" applyFont="1" applyFill="1" applyAlignment="1">
      <alignment horizontal="center"/>
    </xf>
    <xf numFmtId="0" fontId="11" fillId="16" borderId="50" xfId="0" applyFont="1" applyFill="1" applyBorder="1" applyAlignment="1">
      <alignment vertical="center"/>
    </xf>
    <xf numFmtId="0" fontId="6" fillId="16" borderId="50" xfId="0" applyFont="1" applyFill="1" applyBorder="1" applyAlignment="1">
      <alignment horizontal="center" vertical="center"/>
    </xf>
    <xf numFmtId="0" fontId="48" fillId="16" borderId="50" xfId="0" applyFont="1" applyFill="1" applyBorder="1" applyAlignment="1">
      <alignment horizontal="center"/>
    </xf>
    <xf numFmtId="0" fontId="56" fillId="16" borderId="0" xfId="1" applyNumberFormat="1" applyFont="1" applyFill="1" applyBorder="1" applyAlignment="1">
      <alignment vertical="top"/>
    </xf>
    <xf numFmtId="168" fontId="21" fillId="16" borderId="0" xfId="2" applyFont="1" applyFill="1" applyBorder="1" applyAlignment="1">
      <alignment horizontal="center" vertical="center"/>
    </xf>
    <xf numFmtId="0" fontId="88" fillId="16" borderId="73" xfId="0" quotePrefix="1" applyFont="1" applyFill="1" applyBorder="1"/>
    <xf numFmtId="0" fontId="88" fillId="16" borderId="73" xfId="0" applyFont="1" applyFill="1" applyBorder="1"/>
    <xf numFmtId="0" fontId="88" fillId="16" borderId="0" xfId="0" applyFont="1" applyFill="1"/>
    <xf numFmtId="0" fontId="6" fillId="16" borderId="0" xfId="5" applyFont="1" applyFill="1" applyAlignment="1">
      <alignment horizontal="left"/>
    </xf>
    <xf numFmtId="174" fontId="51" fillId="16" borderId="0" xfId="2" applyNumberFormat="1" applyFont="1" applyFill="1" applyBorder="1" applyAlignment="1" applyProtection="1">
      <alignment horizontal="left"/>
      <protection locked="0"/>
    </xf>
    <xf numFmtId="0" fontId="26" fillId="16" borderId="0" xfId="0" applyFont="1" applyFill="1" applyProtection="1">
      <protection locked="0"/>
    </xf>
    <xf numFmtId="0" fontId="6" fillId="4" borderId="27" xfId="0" applyFont="1" applyFill="1" applyBorder="1"/>
    <xf numFmtId="0" fontId="11" fillId="16" borderId="0" xfId="1" applyNumberFormat="1" applyFont="1" applyFill="1" applyAlignment="1" applyProtection="1">
      <alignment horizontal="left" vertical="top"/>
      <protection locked="0"/>
    </xf>
    <xf numFmtId="0" fontId="17" fillId="16" borderId="0" xfId="8" applyFont="1" applyFill="1" applyAlignment="1" applyProtection="1">
      <alignment vertical="center" wrapText="1"/>
      <protection locked="0"/>
    </xf>
    <xf numFmtId="0" fontId="11" fillId="16" borderId="0" xfId="0" applyFont="1" applyFill="1" applyAlignment="1" applyProtection="1">
      <alignment vertical="center"/>
      <protection locked="0"/>
    </xf>
    <xf numFmtId="0" fontId="11" fillId="16" borderId="50" xfId="1" applyNumberFormat="1" applyFont="1" applyFill="1" applyBorder="1" applyAlignment="1" applyProtection="1">
      <alignment horizontal="left" vertical="top"/>
      <protection locked="0"/>
    </xf>
    <xf numFmtId="0" fontId="17" fillId="16" borderId="50" xfId="8" applyFont="1" applyFill="1" applyBorder="1" applyAlignment="1" applyProtection="1">
      <alignment horizontal="center" vertical="center" wrapText="1"/>
      <protection locked="0"/>
    </xf>
    <xf numFmtId="0" fontId="17" fillId="16" borderId="50" xfId="8" applyFont="1" applyFill="1" applyBorder="1" applyAlignment="1" applyProtection="1">
      <alignment vertical="center" wrapText="1"/>
      <protection locked="0"/>
    </xf>
    <xf numFmtId="0" fontId="56" fillId="16" borderId="73" xfId="1" applyNumberFormat="1" applyFont="1" applyFill="1" applyBorder="1" applyAlignment="1">
      <alignment vertical="top"/>
    </xf>
    <xf numFmtId="0" fontId="88" fillId="16" borderId="50" xfId="0" applyFont="1" applyFill="1" applyBorder="1"/>
    <xf numFmtId="0" fontId="56" fillId="16" borderId="50" xfId="1" applyNumberFormat="1" applyFont="1" applyFill="1" applyBorder="1" applyAlignment="1">
      <alignment vertical="top"/>
    </xf>
    <xf numFmtId="0" fontId="32" fillId="16" borderId="0" xfId="0" applyFont="1" applyFill="1"/>
    <xf numFmtId="10" fontId="17" fillId="16" borderId="0" xfId="13" applyNumberFormat="1" applyFont="1" applyFill="1" applyBorder="1" applyAlignment="1" applyProtection="1">
      <alignment vertical="center" wrapText="1"/>
    </xf>
    <xf numFmtId="0" fontId="31" fillId="16" borderId="0" xfId="0" applyFont="1" applyFill="1" applyAlignment="1">
      <alignment horizontal="left"/>
    </xf>
    <xf numFmtId="174" fontId="31" fillId="16" borderId="0" xfId="2" applyNumberFormat="1" applyFont="1" applyFill="1" applyBorder="1" applyAlignment="1">
      <alignment horizontal="center"/>
    </xf>
    <xf numFmtId="0" fontId="30" fillId="16" borderId="0" xfId="5" applyFont="1" applyFill="1" applyAlignment="1">
      <alignment horizontal="left"/>
    </xf>
    <xf numFmtId="0" fontId="31" fillId="16" borderId="0" xfId="0" applyFont="1" applyFill="1" applyAlignment="1">
      <alignment horizontal="left" vertical="center"/>
    </xf>
    <xf numFmtId="0" fontId="21" fillId="16" borderId="0" xfId="0" applyFont="1" applyFill="1" applyAlignment="1" applyProtection="1">
      <alignment horizontal="left"/>
      <protection locked="0"/>
    </xf>
    <xf numFmtId="9" fontId="21" fillId="16" borderId="0" xfId="0" applyNumberFormat="1" applyFont="1" applyFill="1" applyAlignment="1">
      <alignment horizontal="center"/>
    </xf>
    <xf numFmtId="174" fontId="21" fillId="16" borderId="0" xfId="2" applyNumberFormat="1" applyFont="1" applyFill="1" applyBorder="1" applyAlignment="1">
      <alignment horizontal="center"/>
    </xf>
    <xf numFmtId="0" fontId="84" fillId="16" borderId="0" xfId="5" applyFont="1" applyFill="1" applyAlignment="1">
      <alignment wrapText="1"/>
    </xf>
    <xf numFmtId="1" fontId="21" fillId="16" borderId="0" xfId="0" applyNumberFormat="1" applyFont="1" applyFill="1" applyAlignment="1">
      <alignment horizontal="center"/>
    </xf>
    <xf numFmtId="0" fontId="30" fillId="16" borderId="0" xfId="5" applyFont="1" applyFill="1" applyAlignment="1">
      <alignment vertical="center"/>
    </xf>
    <xf numFmtId="0" fontId="11" fillId="16" borderId="0" xfId="4" applyFont="1" applyFill="1" applyAlignment="1">
      <alignment vertical="center"/>
    </xf>
    <xf numFmtId="14" fontId="21" fillId="16" borderId="0" xfId="0" applyNumberFormat="1" applyFont="1" applyFill="1" applyProtection="1">
      <protection locked="0"/>
    </xf>
    <xf numFmtId="14" fontId="21" fillId="16" borderId="0" xfId="0" applyNumberFormat="1" applyFont="1" applyFill="1" applyAlignment="1" applyProtection="1">
      <alignment horizontal="left"/>
      <protection locked="0"/>
    </xf>
    <xf numFmtId="0" fontId="21" fillId="16" borderId="0" xfId="0" applyFont="1" applyFill="1" applyAlignment="1">
      <alignment vertical="top" wrapText="1"/>
    </xf>
    <xf numFmtId="14" fontId="21" fillId="16" borderId="0" xfId="0" applyNumberFormat="1" applyFont="1" applyFill="1"/>
    <xf numFmtId="14" fontId="21" fillId="16" borderId="0" xfId="0" applyNumberFormat="1" applyFont="1" applyFill="1" applyAlignment="1">
      <alignment horizontal="left"/>
    </xf>
    <xf numFmtId="0" fontId="21" fillId="16" borderId="50" xfId="0" applyFont="1" applyFill="1" applyBorder="1" applyAlignment="1">
      <alignment horizontal="left"/>
    </xf>
    <xf numFmtId="0" fontId="21" fillId="16" borderId="50" xfId="0" applyFont="1" applyFill="1" applyBorder="1" applyAlignment="1">
      <alignment vertical="top" wrapText="1"/>
    </xf>
    <xf numFmtId="0" fontId="21" fillId="16" borderId="0" xfId="0" applyFont="1" applyFill="1" applyAlignment="1">
      <alignment horizontal="left"/>
    </xf>
    <xf numFmtId="0" fontId="17" fillId="16" borderId="0" xfId="3" applyFont="1" applyFill="1" applyBorder="1" applyAlignment="1" applyProtection="1">
      <alignment horizontal="left" vertical="center"/>
    </xf>
    <xf numFmtId="9" fontId="6" fillId="16" borderId="0" xfId="6" applyFont="1" applyFill="1" applyBorder="1" applyAlignment="1" applyProtection="1">
      <alignment vertical="center"/>
    </xf>
    <xf numFmtId="170" fontId="54" fillId="16" borderId="0" xfId="0" applyNumberFormat="1" applyFont="1" applyFill="1" applyAlignment="1" applyProtection="1">
      <alignment vertical="center"/>
      <protection locked="0"/>
    </xf>
    <xf numFmtId="0" fontId="11" fillId="16" borderId="0" xfId="0" applyFont="1" applyFill="1" applyAlignment="1">
      <alignment horizontal="left" vertical="center"/>
    </xf>
    <xf numFmtId="0" fontId="59" fillId="16" borderId="0" xfId="0" applyFont="1" applyFill="1" applyAlignment="1">
      <alignment horizontal="center" vertical="center"/>
    </xf>
    <xf numFmtId="165" fontId="21" fillId="16" borderId="0" xfId="0" applyNumberFormat="1" applyFont="1" applyFill="1" applyAlignment="1">
      <alignment horizontal="center" vertical="center"/>
    </xf>
    <xf numFmtId="0" fontId="48" fillId="16" borderId="0" xfId="0" applyFont="1" applyFill="1" applyAlignment="1">
      <alignment vertical="center"/>
    </xf>
    <xf numFmtId="0" fontId="31" fillId="16" borderId="0" xfId="0" applyFont="1" applyFill="1"/>
    <xf numFmtId="174" fontId="11" fillId="16" borderId="0" xfId="2" applyNumberFormat="1" applyFont="1" applyFill="1" applyBorder="1" applyAlignment="1">
      <alignment horizontal="center" vertical="center"/>
    </xf>
    <xf numFmtId="0" fontId="6" fillId="16" borderId="0" xfId="5" applyFont="1" applyFill="1" applyAlignment="1" applyProtection="1">
      <alignment horizontal="left" vertical="center" wrapText="1"/>
      <protection locked="0"/>
    </xf>
    <xf numFmtId="1" fontId="29" fillId="16" borderId="0" xfId="0" applyNumberFormat="1" applyFont="1" applyFill="1" applyAlignment="1">
      <alignment horizontal="left"/>
    </xf>
    <xf numFmtId="9" fontId="21" fillId="16" borderId="0" xfId="6" applyFont="1" applyFill="1" applyBorder="1" applyAlignment="1">
      <alignment horizontal="center" vertical="center"/>
    </xf>
    <xf numFmtId="174" fontId="29" fillId="16" borderId="0" xfId="2" applyNumberFormat="1" applyFont="1" applyFill="1" applyBorder="1" applyAlignment="1">
      <alignment horizontal="left"/>
    </xf>
    <xf numFmtId="9" fontId="21" fillId="16" borderId="0" xfId="6" applyFont="1" applyFill="1" applyBorder="1" applyAlignment="1">
      <alignment horizontal="center"/>
    </xf>
    <xf numFmtId="0" fontId="11" fillId="16" borderId="0" xfId="0" applyFont="1" applyFill="1" applyAlignment="1" applyProtection="1">
      <alignment horizontal="center"/>
      <protection locked="0"/>
    </xf>
    <xf numFmtId="0" fontId="11" fillId="16" borderId="0" xfId="0" applyFont="1" applyFill="1" applyAlignment="1" applyProtection="1">
      <alignment horizontal="left" vertical="center"/>
      <protection locked="0"/>
    </xf>
    <xf numFmtId="0" fontId="11" fillId="16" borderId="0" xfId="0" applyFont="1" applyFill="1" applyAlignment="1" applyProtection="1">
      <alignment horizontal="center" vertical="center"/>
      <protection locked="0"/>
    </xf>
    <xf numFmtId="9" fontId="6" fillId="16" borderId="0" xfId="6" applyFont="1" applyFill="1" applyBorder="1" applyAlignment="1" applyProtection="1">
      <alignment horizontal="center" vertical="center"/>
      <protection locked="0"/>
    </xf>
    <xf numFmtId="0" fontId="84" fillId="42" borderId="0" xfId="0" applyFont="1" applyFill="1" applyProtection="1">
      <protection locked="0"/>
    </xf>
    <xf numFmtId="0" fontId="84" fillId="42" borderId="0" xfId="0" applyFont="1" applyFill="1" applyAlignment="1">
      <alignment horizontal="left"/>
    </xf>
    <xf numFmtId="0" fontId="69" fillId="42" borderId="0" xfId="1" applyNumberFormat="1" applyFont="1" applyFill="1" applyAlignment="1" applyProtection="1">
      <alignment horizontal="left" vertical="top"/>
      <protection locked="0"/>
    </xf>
    <xf numFmtId="0" fontId="69" fillId="42" borderId="0" xfId="8" applyFont="1" applyFill="1" applyBorder="1" applyAlignment="1" applyProtection="1">
      <alignment horizontal="center" vertical="center" wrapText="1"/>
      <protection locked="0"/>
    </xf>
    <xf numFmtId="0" fontId="69" fillId="42" borderId="109" xfId="0" applyFont="1" applyFill="1" applyBorder="1" applyAlignment="1">
      <alignment horizontal="center" vertical="center"/>
    </xf>
    <xf numFmtId="166" fontId="39" fillId="38" borderId="14" xfId="5" applyNumberFormat="1" applyFont="1" applyFill="1" applyBorder="1" applyAlignment="1">
      <alignment horizontal="right" vertical="center" wrapText="1" indent="2"/>
    </xf>
    <xf numFmtId="0" fontId="6" fillId="16" borderId="0" xfId="0" applyFont="1" applyFill="1" applyAlignment="1">
      <alignment vertical="top"/>
    </xf>
    <xf numFmtId="0" fontId="104" fillId="42" borderId="0" xfId="0" applyFont="1" applyFill="1" applyAlignment="1">
      <alignment vertical="center"/>
    </xf>
    <xf numFmtId="1" fontId="39" fillId="38" borderId="13" xfId="5" applyNumberFormat="1" applyFont="1" applyFill="1" applyBorder="1" applyAlignment="1">
      <alignment horizontal="right" vertical="center" wrapText="1" indent="2"/>
    </xf>
    <xf numFmtId="0" fontId="26" fillId="16" borderId="0" xfId="0" applyFont="1" applyFill="1"/>
    <xf numFmtId="9" fontId="6" fillId="16" borderId="26" xfId="6" applyFont="1" applyFill="1" applyBorder="1" applyAlignment="1">
      <alignment horizontal="center" vertical="center"/>
    </xf>
    <xf numFmtId="9" fontId="6" fillId="16" borderId="0" xfId="6" quotePrefix="1" applyFont="1" applyFill="1" applyBorder="1" applyAlignment="1" applyProtection="1">
      <alignment horizontal="left" vertical="center"/>
      <protection locked="0"/>
    </xf>
    <xf numFmtId="9" fontId="6" fillId="16" borderId="0" xfId="6" applyFont="1" applyFill="1" applyBorder="1" applyAlignment="1" applyProtection="1">
      <alignment horizontal="left" vertical="center"/>
      <protection locked="0"/>
    </xf>
    <xf numFmtId="9" fontId="6" fillId="16" borderId="1" xfId="6" applyFont="1" applyFill="1" applyBorder="1" applyAlignment="1">
      <alignment horizontal="center" vertical="center"/>
    </xf>
    <xf numFmtId="0" fontId="6" fillId="16" borderId="0" xfId="0" applyFont="1" applyFill="1" applyAlignment="1">
      <alignment wrapText="1"/>
    </xf>
    <xf numFmtId="2" fontId="6" fillId="16" borderId="0" xfId="0" applyNumberFormat="1" applyFont="1" applyFill="1" applyAlignment="1">
      <alignment horizontal="right"/>
    </xf>
    <xf numFmtId="9" fontId="6" fillId="16" borderId="0" xfId="6" applyFont="1" applyFill="1" applyAlignment="1">
      <alignment horizontal="right"/>
    </xf>
    <xf numFmtId="2" fontId="6" fillId="16" borderId="0" xfId="0" applyNumberFormat="1" applyFont="1" applyFill="1"/>
    <xf numFmtId="0" fontId="6" fillId="16" borderId="73" xfId="0" applyFont="1" applyFill="1" applyBorder="1" applyAlignment="1">
      <alignment wrapText="1"/>
    </xf>
    <xf numFmtId="2" fontId="6" fillId="16" borderId="73" xfId="0" applyNumberFormat="1" applyFont="1" applyFill="1" applyBorder="1" applyAlignment="1">
      <alignment horizontal="right"/>
    </xf>
    <xf numFmtId="9" fontId="6" fillId="16" borderId="73" xfId="6" applyFont="1" applyFill="1" applyBorder="1" applyAlignment="1">
      <alignment horizontal="right"/>
    </xf>
    <xf numFmtId="2" fontId="6" fillId="16" borderId="73" xfId="0" applyNumberFormat="1" applyFont="1" applyFill="1" applyBorder="1"/>
    <xf numFmtId="9" fontId="6" fillId="16" borderId="0" xfId="6" applyFont="1" applyFill="1" applyAlignment="1" applyProtection="1">
      <alignment horizontal="right"/>
      <protection locked="0"/>
    </xf>
    <xf numFmtId="2" fontId="6" fillId="16" borderId="0" xfId="0" applyNumberFormat="1" applyFont="1" applyFill="1" applyProtection="1">
      <protection locked="0"/>
    </xf>
    <xf numFmtId="174" fontId="42" fillId="16" borderId="0" xfId="2" applyNumberFormat="1" applyFont="1" applyFill="1" applyBorder="1" applyProtection="1">
      <protection locked="0"/>
    </xf>
    <xf numFmtId="0" fontId="6" fillId="16" borderId="0" xfId="0" applyFont="1" applyFill="1" applyAlignment="1" applyProtection="1">
      <alignment horizontal="right" vertical="center"/>
      <protection locked="0"/>
    </xf>
    <xf numFmtId="170" fontId="50" fillId="16" borderId="0" xfId="2" applyNumberFormat="1" applyFont="1" applyFill="1" applyBorder="1" applyAlignment="1" applyProtection="1">
      <alignment horizontal="center" vertical="center"/>
      <protection locked="0"/>
    </xf>
    <xf numFmtId="1" fontId="6" fillId="16" borderId="0" xfId="0" applyNumberFormat="1" applyFont="1" applyFill="1" applyAlignment="1" applyProtection="1">
      <alignment vertical="center"/>
      <protection locked="0"/>
    </xf>
    <xf numFmtId="2" fontId="6" fillId="16" borderId="0" xfId="0" applyNumberFormat="1" applyFont="1" applyFill="1" applyAlignment="1">
      <alignment horizontal="right" wrapText="1"/>
    </xf>
    <xf numFmtId="0" fontId="11" fillId="16" borderId="0" xfId="4" applyFont="1" applyFill="1" applyBorder="1" applyAlignment="1" applyProtection="1">
      <alignment vertical="center"/>
      <protection locked="0"/>
    </xf>
    <xf numFmtId="1" fontId="11" fillId="16" borderId="0" xfId="0" applyNumberFormat="1" applyFont="1" applyFill="1" applyAlignment="1" applyProtection="1">
      <alignment vertical="center"/>
      <protection locked="0"/>
    </xf>
    <xf numFmtId="0" fontId="6" fillId="16" borderId="0" xfId="0" quotePrefix="1" applyFont="1" applyFill="1" applyAlignment="1" applyProtection="1">
      <alignment horizontal="left" vertical="top" wrapText="1"/>
      <protection locked="0"/>
    </xf>
    <xf numFmtId="0" fontId="11" fillId="16" borderId="0" xfId="0" applyFont="1" applyFill="1" applyAlignment="1" applyProtection="1">
      <alignment horizontal="left" vertical="top"/>
      <protection locked="0"/>
    </xf>
    <xf numFmtId="0" fontId="43" fillId="16" borderId="0" xfId="11" applyFont="1" applyFill="1" applyBorder="1" applyProtection="1">
      <protection locked="0"/>
    </xf>
    <xf numFmtId="1" fontId="43" fillId="16" borderId="0" xfId="11" applyNumberFormat="1" applyFont="1" applyFill="1" applyBorder="1" applyProtection="1">
      <protection locked="0"/>
    </xf>
    <xf numFmtId="170" fontId="43" fillId="16" borderId="0" xfId="2" applyNumberFormat="1" applyFont="1" applyFill="1" applyBorder="1" applyProtection="1">
      <protection locked="0"/>
    </xf>
    <xf numFmtId="0" fontId="6" fillId="16" borderId="0" xfId="0" quotePrefix="1" applyFont="1" applyFill="1" applyProtection="1">
      <protection locked="0"/>
    </xf>
    <xf numFmtId="1" fontId="6" fillId="16" borderId="0" xfId="0" applyNumberFormat="1" applyFont="1" applyFill="1" applyProtection="1">
      <protection locked="0"/>
    </xf>
    <xf numFmtId="2" fontId="43" fillId="16" borderId="0" xfId="2" applyNumberFormat="1" applyFont="1" applyFill="1" applyBorder="1" applyProtection="1">
      <protection locked="0"/>
    </xf>
    <xf numFmtId="0" fontId="6" fillId="16" borderId="0" xfId="0" applyFont="1" applyFill="1" applyAlignment="1">
      <alignment horizontal="left" wrapText="1" indent="1"/>
    </xf>
    <xf numFmtId="9" fontId="6" fillId="16" borderId="57" xfId="6" applyFont="1" applyFill="1" applyBorder="1" applyAlignment="1">
      <alignment horizontal="center" vertical="center"/>
    </xf>
    <xf numFmtId="0" fontId="44" fillId="16" borderId="0" xfId="1" applyNumberFormat="1" applyFont="1" applyFill="1" applyAlignment="1">
      <alignment vertical="top"/>
    </xf>
    <xf numFmtId="170" fontId="50" fillId="16" borderId="0" xfId="2" applyNumberFormat="1" applyFont="1" applyFill="1" applyBorder="1"/>
    <xf numFmtId="0" fontId="44" fillId="16" borderId="73" xfId="1" applyNumberFormat="1" applyFont="1" applyFill="1" applyBorder="1" applyAlignment="1">
      <alignment vertical="top"/>
    </xf>
    <xf numFmtId="0" fontId="75" fillId="16" borderId="73" xfId="5" applyFont="1" applyFill="1" applyBorder="1" applyAlignment="1">
      <alignment vertical="center"/>
    </xf>
    <xf numFmtId="170" fontId="14" fillId="16" borderId="73" xfId="2" applyNumberFormat="1" applyFont="1" applyFill="1" applyBorder="1"/>
    <xf numFmtId="0" fontId="75" fillId="16" borderId="0" xfId="5" applyFont="1" applyFill="1" applyAlignment="1">
      <alignment vertical="center"/>
    </xf>
    <xf numFmtId="0" fontId="45" fillId="16" borderId="0" xfId="0" applyFont="1" applyFill="1" applyAlignment="1">
      <alignment horizontal="center"/>
    </xf>
    <xf numFmtId="170" fontId="50" fillId="16" borderId="0" xfId="2" applyNumberFormat="1" applyFont="1" applyFill="1" applyBorder="1" applyProtection="1">
      <protection locked="0"/>
    </xf>
    <xf numFmtId="0" fontId="34" fillId="16" borderId="0" xfId="8" applyFont="1" applyFill="1" applyBorder="1" applyAlignment="1">
      <alignment horizontal="center" vertical="center" wrapText="1"/>
    </xf>
    <xf numFmtId="0" fontId="34" fillId="16" borderId="0" xfId="14" applyFont="1" applyFill="1" applyBorder="1" applyAlignment="1" applyProtection="1">
      <alignment horizontal="left" vertical="center"/>
      <protection locked="0"/>
    </xf>
    <xf numFmtId="0" fontId="77" fillId="16" borderId="0" xfId="5" applyFont="1" applyFill="1" applyAlignment="1">
      <alignment vertical="center"/>
    </xf>
    <xf numFmtId="0" fontId="14" fillId="16" borderId="0" xfId="0" applyFont="1" applyFill="1" applyAlignment="1">
      <alignment horizontal="center" vertical="center" wrapText="1"/>
    </xf>
    <xf numFmtId="1" fontId="6" fillId="16" borderId="0" xfId="0" applyNumberFormat="1" applyFont="1" applyFill="1" applyAlignment="1" applyProtection="1">
      <alignment horizontal="left" vertical="center"/>
      <protection locked="0"/>
    </xf>
    <xf numFmtId="0" fontId="78" fillId="16" borderId="0" xfId="5" applyFont="1" applyFill="1" applyAlignment="1">
      <alignment vertical="center"/>
    </xf>
    <xf numFmtId="170" fontId="14" fillId="16" borderId="0" xfId="2" applyNumberFormat="1" applyFont="1" applyFill="1" applyBorder="1" applyProtection="1">
      <protection locked="0"/>
    </xf>
    <xf numFmtId="0" fontId="46" fillId="16" borderId="0" xfId="0" applyFont="1" applyFill="1" applyAlignment="1">
      <alignment horizontal="center" vertical="center" wrapText="1"/>
    </xf>
    <xf numFmtId="0" fontId="11" fillId="16" borderId="0" xfId="4" applyFont="1" applyFill="1" applyBorder="1" applyAlignment="1" applyProtection="1">
      <alignment vertical="center" wrapText="1"/>
      <protection locked="0"/>
    </xf>
    <xf numFmtId="170" fontId="14" fillId="16" borderId="0" xfId="2" applyNumberFormat="1" applyFont="1" applyFill="1" applyBorder="1" applyAlignment="1" applyProtection="1">
      <alignment vertical="center"/>
      <protection locked="0"/>
    </xf>
    <xf numFmtId="0" fontId="31" fillId="16" borderId="0" xfId="0" applyFont="1" applyFill="1" applyAlignment="1" applyProtection="1">
      <alignment horizontal="left"/>
      <protection locked="0"/>
    </xf>
    <xf numFmtId="170" fontId="50" fillId="16" borderId="0" xfId="2" applyNumberFormat="1" applyFont="1" applyFill="1" applyBorder="1" applyAlignment="1" applyProtection="1">
      <alignment vertical="center"/>
      <protection locked="0"/>
    </xf>
    <xf numFmtId="1" fontId="21" fillId="16" borderId="0" xfId="0" applyNumberFormat="1" applyFont="1" applyFill="1" applyAlignment="1" applyProtection="1">
      <alignment horizontal="left" indent="1"/>
      <protection locked="0"/>
    </xf>
    <xf numFmtId="0" fontId="31" fillId="16" borderId="0" xfId="0" applyFont="1" applyFill="1" applyAlignment="1" applyProtection="1">
      <alignment horizontal="left" vertical="center"/>
      <protection locked="0"/>
    </xf>
    <xf numFmtId="0" fontId="13" fillId="16" borderId="0" xfId="0" applyFont="1" applyFill="1"/>
    <xf numFmtId="1" fontId="6" fillId="16" borderId="0" xfId="0" applyNumberFormat="1" applyFont="1" applyFill="1" applyAlignment="1">
      <alignment horizontal="left" vertical="center"/>
    </xf>
    <xf numFmtId="0" fontId="11" fillId="16" borderId="0" xfId="4" applyFont="1" applyFill="1" applyBorder="1" applyAlignment="1">
      <alignment vertical="center"/>
    </xf>
    <xf numFmtId="170" fontId="52" fillId="16" borderId="0" xfId="2" applyNumberFormat="1" applyFont="1" applyFill="1" applyBorder="1"/>
    <xf numFmtId="0" fontId="13" fillId="16" borderId="73" xfId="4" applyFont="1" applyFill="1" applyBorder="1" applyProtection="1"/>
    <xf numFmtId="0" fontId="13" fillId="16" borderId="73" xfId="0" applyFont="1" applyFill="1" applyBorder="1"/>
    <xf numFmtId="2" fontId="6" fillId="16" borderId="73" xfId="10" applyNumberFormat="1" applyFont="1" applyFill="1" applyBorder="1" applyAlignment="1" applyProtection="1">
      <alignment horizontal="right" wrapText="1"/>
    </xf>
    <xf numFmtId="0" fontId="6" fillId="16" borderId="73" xfId="0" quotePrefix="1" applyFont="1" applyFill="1" applyBorder="1" applyAlignment="1">
      <alignment horizontal="left" wrapText="1" indent="1"/>
    </xf>
    <xf numFmtId="0" fontId="11" fillId="44" borderId="26" xfId="8" applyFont="1" applyFill="1" applyBorder="1" applyAlignment="1">
      <alignment horizontal="center" vertical="center" wrapText="1"/>
    </xf>
    <xf numFmtId="0" fontId="14" fillId="20" borderId="27" xfId="0" applyFont="1" applyFill="1" applyBorder="1" applyAlignment="1">
      <alignment horizontal="center" vertical="center" wrapText="1"/>
    </xf>
    <xf numFmtId="0" fontId="14" fillId="20" borderId="80" xfId="10" applyFont="1" applyFill="1" applyBorder="1" applyAlignment="1" applyProtection="1">
      <alignment horizontal="center" vertical="center" wrapText="1"/>
      <protection locked="0"/>
    </xf>
    <xf numFmtId="0" fontId="14" fillId="20" borderId="81" xfId="0" applyFont="1" applyFill="1" applyBorder="1" applyAlignment="1" applyProtection="1">
      <alignment horizontal="center" vertical="center" wrapText="1"/>
      <protection locked="0"/>
    </xf>
    <xf numFmtId="0" fontId="14" fillId="20" borderId="81" xfId="10" applyFont="1" applyFill="1" applyBorder="1" applyAlignment="1" applyProtection="1">
      <alignment horizontal="center" vertical="center" wrapText="1"/>
      <protection locked="0"/>
    </xf>
    <xf numFmtId="2" fontId="14" fillId="20" borderId="81" xfId="10" applyNumberFormat="1" applyFont="1" applyFill="1" applyBorder="1" applyAlignment="1" applyProtection="1">
      <alignment horizontal="center" vertical="center" wrapText="1"/>
      <protection locked="0"/>
    </xf>
    <xf numFmtId="0" fontId="14" fillId="20" borderId="82" xfId="0" applyFont="1" applyFill="1" applyBorder="1" applyAlignment="1">
      <alignment horizontal="center" vertical="center" wrapText="1"/>
    </xf>
    <xf numFmtId="0" fontId="14" fillId="20" borderId="82" xfId="0" quotePrefix="1" applyFont="1" applyFill="1" applyBorder="1" applyAlignment="1">
      <alignment horizontal="center" vertical="center" wrapText="1"/>
    </xf>
    <xf numFmtId="0" fontId="69" fillId="42" borderId="0" xfId="0" applyFont="1" applyFill="1" applyAlignment="1">
      <alignment vertical="center"/>
    </xf>
    <xf numFmtId="0" fontId="105" fillId="42" borderId="0" xfId="1" applyNumberFormat="1" applyFont="1" applyFill="1" applyAlignment="1">
      <alignment vertical="top"/>
    </xf>
    <xf numFmtId="2" fontId="84" fillId="42" borderId="0" xfId="0" applyNumberFormat="1" applyFont="1" applyFill="1" applyAlignment="1">
      <alignment horizontal="right"/>
    </xf>
    <xf numFmtId="9" fontId="84" fillId="42" borderId="0" xfId="6" applyFont="1" applyFill="1" applyAlignment="1">
      <alignment horizontal="right"/>
    </xf>
    <xf numFmtId="0" fontId="103" fillId="42" borderId="0" xfId="0" applyFont="1" applyFill="1" applyAlignment="1">
      <alignment vertical="center"/>
    </xf>
    <xf numFmtId="2" fontId="84" fillId="42" borderId="0" xfId="0" applyNumberFormat="1" applyFont="1" applyFill="1"/>
    <xf numFmtId="170" fontId="83" fillId="42" borderId="0" xfId="2" applyNumberFormat="1" applyFont="1" applyFill="1" applyBorder="1"/>
    <xf numFmtId="9" fontId="52" fillId="22" borderId="0" xfId="6" applyFont="1" applyFill="1" applyBorder="1" applyAlignment="1">
      <alignment vertical="center"/>
    </xf>
    <xf numFmtId="9" fontId="52" fillId="16" borderId="0" xfId="6" applyFont="1" applyFill="1" applyBorder="1"/>
    <xf numFmtId="0" fontId="104" fillId="42" borderId="0" xfId="1" applyNumberFormat="1" applyFont="1" applyFill="1" applyAlignment="1">
      <alignment horizontal="left" vertical="top"/>
    </xf>
    <xf numFmtId="2" fontId="6" fillId="0" borderId="58" xfId="5" applyNumberFormat="1" applyFont="1" applyBorder="1" applyAlignment="1" applyProtection="1">
      <alignment vertical="center" wrapText="1"/>
      <protection locked="0"/>
    </xf>
    <xf numFmtId="2" fontId="6" fillId="0" borderId="13" xfId="5" applyNumberFormat="1" applyFont="1" applyBorder="1" applyAlignment="1" applyProtection="1">
      <alignment vertical="center" wrapText="1"/>
      <protection locked="0"/>
    </xf>
    <xf numFmtId="2" fontId="6" fillId="0" borderId="14" xfId="5" applyNumberFormat="1" applyFont="1" applyBorder="1" applyAlignment="1" applyProtection="1">
      <alignment vertical="center" wrapText="1"/>
      <protection locked="0"/>
    </xf>
    <xf numFmtId="0" fontId="22" fillId="16" borderId="0" xfId="1" applyNumberFormat="1" applyFont="1" applyFill="1" applyBorder="1" applyAlignment="1">
      <alignment horizontal="left" vertical="top" wrapText="1"/>
    </xf>
    <xf numFmtId="10" fontId="22" fillId="4" borderId="3" xfId="0" applyNumberFormat="1" applyFont="1" applyFill="1" applyBorder="1" applyAlignment="1">
      <alignment vertical="center" wrapText="1"/>
    </xf>
    <xf numFmtId="0" fontId="11" fillId="20" borderId="4" xfId="0" applyFont="1" applyFill="1" applyBorder="1" applyAlignment="1">
      <alignment horizontal="center" vertical="center"/>
    </xf>
    <xf numFmtId="168" fontId="6" fillId="0" borderId="3" xfId="2" applyFont="1" applyBorder="1" applyAlignment="1" applyProtection="1">
      <alignment horizontal="center"/>
    </xf>
    <xf numFmtId="170" fontId="11" fillId="16" borderId="0" xfId="5" applyNumberFormat="1" applyFont="1" applyFill="1" applyAlignment="1">
      <alignment vertical="center"/>
    </xf>
    <xf numFmtId="9" fontId="6" fillId="16" borderId="50" xfId="6" applyFont="1" applyFill="1" applyBorder="1" applyAlignment="1" applyProtection="1">
      <alignment vertical="center"/>
      <protection locked="0"/>
    </xf>
    <xf numFmtId="0" fontId="11" fillId="16" borderId="50" xfId="0" applyFont="1" applyFill="1" applyBorder="1"/>
    <xf numFmtId="10" fontId="22" fillId="16" borderId="50" xfId="0" applyNumberFormat="1" applyFont="1" applyFill="1" applyBorder="1" applyAlignment="1" applyProtection="1">
      <alignment vertical="center" wrapText="1"/>
      <protection locked="0"/>
    </xf>
    <xf numFmtId="0" fontId="11" fillId="20" borderId="3" xfId="0" applyFont="1" applyFill="1" applyBorder="1" applyAlignment="1">
      <alignment vertical="center"/>
    </xf>
    <xf numFmtId="165" fontId="31" fillId="20" borderId="3" xfId="0" applyNumberFormat="1" applyFont="1" applyFill="1" applyBorder="1" applyAlignment="1">
      <alignment horizontal="center" vertical="center"/>
    </xf>
    <xf numFmtId="0" fontId="11" fillId="20" borderId="3" xfId="0" applyFont="1" applyFill="1" applyBorder="1" applyAlignment="1">
      <alignment horizontal="center" vertical="center"/>
    </xf>
    <xf numFmtId="9" fontId="31" fillId="20" borderId="3" xfId="0" applyNumberFormat="1" applyFont="1" applyFill="1" applyBorder="1" applyAlignment="1">
      <alignment horizontal="center" vertical="center"/>
    </xf>
    <xf numFmtId="167" fontId="31" fillId="20" borderId="3" xfId="0" applyNumberFormat="1" applyFont="1" applyFill="1" applyBorder="1" applyAlignment="1">
      <alignment horizontal="center" vertical="center"/>
    </xf>
    <xf numFmtId="0" fontId="11" fillId="20" borderId="3" xfId="0" applyFont="1" applyFill="1" applyBorder="1" applyAlignment="1">
      <alignment horizontal="left" vertical="center"/>
    </xf>
    <xf numFmtId="0" fontId="17" fillId="20" borderId="0" xfId="0" applyFont="1" applyFill="1"/>
    <xf numFmtId="0" fontId="17" fillId="20" borderId="43" xfId="0" applyFont="1" applyFill="1" applyBorder="1"/>
    <xf numFmtId="0" fontId="17" fillId="20" borderId="85" xfId="0" applyFont="1" applyFill="1" applyBorder="1"/>
    <xf numFmtId="1" fontId="17" fillId="20" borderId="86" xfId="0" applyNumberFormat="1" applyFont="1" applyFill="1" applyBorder="1"/>
    <xf numFmtId="0" fontId="22" fillId="20" borderId="0" xfId="0" applyFont="1" applyFill="1"/>
    <xf numFmtId="0" fontId="22" fillId="42" borderId="0" xfId="0" applyFont="1" applyFill="1" applyAlignment="1">
      <alignment horizontal="center"/>
    </xf>
    <xf numFmtId="0" fontId="6" fillId="42" borderId="0" xfId="0" applyFont="1" applyFill="1" applyAlignment="1">
      <alignment horizontal="center"/>
    </xf>
    <xf numFmtId="0" fontId="102" fillId="42" borderId="0" xfId="5" applyFont="1" applyFill="1" applyAlignment="1">
      <alignment vertical="center"/>
    </xf>
    <xf numFmtId="0" fontId="22" fillId="42" borderId="0" xfId="0" applyFont="1" applyFill="1" applyAlignment="1">
      <alignment horizontal="center" vertical="center"/>
    </xf>
    <xf numFmtId="0" fontId="84" fillId="42" borderId="0" xfId="0" applyFont="1" applyFill="1" applyAlignment="1">
      <alignment horizontal="center" vertical="center"/>
    </xf>
    <xf numFmtId="0" fontId="17" fillId="42" borderId="0" xfId="8" applyFont="1" applyFill="1" applyBorder="1" applyAlignment="1" applyProtection="1">
      <alignment horizontal="center" vertical="center" wrapText="1"/>
      <protection locked="0"/>
    </xf>
    <xf numFmtId="0" fontId="17" fillId="42" borderId="114" xfId="8" applyFont="1" applyFill="1" applyBorder="1" applyAlignment="1" applyProtection="1">
      <alignment horizontal="center" vertical="center" wrapText="1"/>
      <protection locked="0"/>
    </xf>
    <xf numFmtId="0" fontId="54" fillId="42" borderId="0" xfId="0" applyFont="1" applyFill="1" applyAlignment="1">
      <alignment horizontal="center"/>
    </xf>
    <xf numFmtId="0" fontId="89" fillId="42" borderId="0" xfId="0" applyFont="1" applyFill="1" applyAlignment="1">
      <alignment horizontal="center"/>
    </xf>
    <xf numFmtId="0" fontId="69" fillId="42" borderId="0" xfId="5" applyFont="1" applyFill="1" applyAlignment="1">
      <alignment vertical="center"/>
    </xf>
    <xf numFmtId="0" fontId="17" fillId="42" borderId="108" xfId="8" applyFont="1" applyFill="1" applyBorder="1" applyAlignment="1" applyProtection="1">
      <alignment vertical="center" wrapText="1"/>
      <protection locked="0"/>
    </xf>
    <xf numFmtId="0" fontId="106" fillId="16" borderId="50" xfId="5" applyFont="1" applyFill="1" applyBorder="1" applyAlignment="1">
      <alignment vertical="center"/>
    </xf>
    <xf numFmtId="0" fontId="106" fillId="16" borderId="73" xfId="1" applyNumberFormat="1" applyFont="1" applyFill="1" applyBorder="1" applyAlignment="1">
      <alignment vertical="top"/>
    </xf>
    <xf numFmtId="0" fontId="54" fillId="4" borderId="116" xfId="0" applyFont="1" applyFill="1" applyBorder="1" applyAlignment="1">
      <alignment horizontal="center" vertical="center"/>
    </xf>
    <xf numFmtId="0" fontId="84" fillId="42" borderId="117" xfId="0" applyFont="1" applyFill="1" applyBorder="1" applyAlignment="1">
      <alignment vertical="center"/>
    </xf>
    <xf numFmtId="0" fontId="83" fillId="42" borderId="0" xfId="0" applyFont="1" applyFill="1" applyAlignment="1">
      <alignment vertical="center"/>
    </xf>
    <xf numFmtId="0" fontId="84" fillId="42" borderId="0" xfId="0" applyFont="1" applyFill="1" applyAlignment="1">
      <alignment wrapText="1"/>
    </xf>
    <xf numFmtId="0" fontId="17" fillId="0" borderId="114" xfId="8" applyFont="1" applyFill="1" applyBorder="1" applyAlignment="1" applyProtection="1">
      <alignment horizontal="center" vertical="center" wrapText="1"/>
      <protection locked="0"/>
    </xf>
    <xf numFmtId="0" fontId="69" fillId="42" borderId="0" xfId="1" applyNumberFormat="1" applyFont="1" applyFill="1" applyBorder="1" applyAlignment="1" applyProtection="1">
      <alignment vertical="top"/>
    </xf>
    <xf numFmtId="0" fontId="14" fillId="16" borderId="50" xfId="0" applyFont="1" applyFill="1" applyBorder="1" applyAlignment="1">
      <alignment vertical="center"/>
    </xf>
    <xf numFmtId="0" fontId="14" fillId="16" borderId="0" xfId="0" applyFont="1" applyFill="1" applyAlignment="1">
      <alignment vertical="center"/>
    </xf>
    <xf numFmtId="1" fontId="14" fillId="16" borderId="0" xfId="2" applyNumberFormat="1" applyFont="1" applyFill="1" applyBorder="1" applyAlignment="1" applyProtection="1">
      <alignment horizontal="left" vertical="center" indent="1"/>
    </xf>
    <xf numFmtId="0" fontId="22" fillId="16" borderId="0" xfId="0" applyFont="1" applyFill="1" applyAlignment="1">
      <alignment horizontal="center" vertical="center" wrapText="1"/>
    </xf>
    <xf numFmtId="0" fontId="22" fillId="16" borderId="0" xfId="0" applyFont="1" applyFill="1" applyAlignment="1">
      <alignment horizontal="right" vertical="center" wrapText="1"/>
    </xf>
    <xf numFmtId="0" fontId="22" fillId="16" borderId="0" xfId="0" applyFont="1" applyFill="1" applyAlignment="1">
      <alignment vertical="center" wrapText="1"/>
    </xf>
    <xf numFmtId="0" fontId="69" fillId="16" borderId="0" xfId="0" applyFont="1" applyFill="1"/>
    <xf numFmtId="1" fontId="14" fillId="16" borderId="0" xfId="2" applyNumberFormat="1" applyFont="1" applyFill="1" applyBorder="1" applyAlignment="1" applyProtection="1">
      <alignment vertical="center"/>
    </xf>
    <xf numFmtId="0" fontId="106" fillId="16" borderId="50" xfId="0" applyFont="1" applyFill="1" applyBorder="1" applyAlignment="1">
      <alignment vertical="top"/>
    </xf>
    <xf numFmtId="1" fontId="84" fillId="42" borderId="0" xfId="0" applyNumberFormat="1" applyFont="1" applyFill="1"/>
    <xf numFmtId="14" fontId="84" fillId="42" borderId="0" xfId="0" applyNumberFormat="1" applyFont="1" applyFill="1"/>
    <xf numFmtId="0" fontId="42" fillId="4" borderId="0" xfId="0" applyFont="1" applyFill="1" applyAlignment="1">
      <alignment vertical="center"/>
    </xf>
    <xf numFmtId="0" fontId="106" fillId="16" borderId="73" xfId="0" applyFont="1" applyFill="1" applyBorder="1" applyAlignment="1">
      <alignment vertical="center"/>
    </xf>
    <xf numFmtId="169" fontId="84" fillId="42" borderId="7" xfId="1" applyFont="1" applyFill="1" applyBorder="1" applyAlignment="1">
      <alignment vertical="center"/>
    </xf>
    <xf numFmtId="0" fontId="84" fillId="42" borderId="8" xfId="5" applyFont="1" applyFill="1" applyBorder="1" applyAlignment="1">
      <alignment vertical="center"/>
    </xf>
    <xf numFmtId="169" fontId="84" fillId="42" borderId="8" xfId="1" applyFont="1" applyFill="1" applyBorder="1" applyAlignment="1">
      <alignment vertical="center"/>
    </xf>
    <xf numFmtId="0" fontId="84" fillId="42" borderId="8" xfId="5" applyFont="1" applyFill="1" applyBorder="1" applyAlignment="1">
      <alignment horizontal="center" vertical="center"/>
    </xf>
    <xf numFmtId="0" fontId="84" fillId="42" borderId="9" xfId="5" applyFont="1" applyFill="1" applyBorder="1" applyAlignment="1">
      <alignment vertical="center"/>
    </xf>
    <xf numFmtId="169" fontId="84" fillId="42" borderId="10" xfId="1" applyFont="1" applyFill="1" applyBorder="1" applyAlignment="1">
      <alignment vertical="center"/>
    </xf>
    <xf numFmtId="0" fontId="84" fillId="42" borderId="11" xfId="5" applyFont="1" applyFill="1" applyBorder="1" applyAlignment="1">
      <alignment vertical="center"/>
    </xf>
    <xf numFmtId="0" fontId="84" fillId="46" borderId="0" xfId="0" applyFont="1" applyFill="1" applyAlignment="1">
      <alignment vertical="center"/>
    </xf>
    <xf numFmtId="169" fontId="22" fillId="16" borderId="10" xfId="1" applyFont="1" applyFill="1" applyBorder="1" applyAlignment="1">
      <alignment vertical="center"/>
    </xf>
    <xf numFmtId="0" fontId="22" fillId="22" borderId="0" xfId="0" applyFont="1" applyFill="1" applyAlignment="1">
      <alignment vertical="center"/>
    </xf>
    <xf numFmtId="0" fontId="22" fillId="22" borderId="0" xfId="0" applyFont="1" applyFill="1" applyAlignment="1">
      <alignment horizontal="left" vertical="center" indent="1"/>
    </xf>
    <xf numFmtId="0" fontId="22" fillId="16" borderId="11" xfId="5" applyFont="1" applyFill="1" applyBorder="1" applyAlignment="1">
      <alignment vertical="center"/>
    </xf>
    <xf numFmtId="0" fontId="26" fillId="16" borderId="0" xfId="5" applyFont="1" applyFill="1" applyAlignment="1">
      <alignment vertical="top" wrapText="1"/>
    </xf>
    <xf numFmtId="0" fontId="17" fillId="22" borderId="0" xfId="0" applyFont="1" applyFill="1" applyAlignment="1">
      <alignment horizontal="left" vertical="center" wrapText="1"/>
    </xf>
    <xf numFmtId="169" fontId="22" fillId="16" borderId="0" xfId="1" applyFont="1" applyFill="1" applyBorder="1" applyAlignment="1">
      <alignment horizontal="left" vertical="center"/>
    </xf>
    <xf numFmtId="0" fontId="22" fillId="16" borderId="0" xfId="5" applyFont="1" applyFill="1" applyAlignment="1">
      <alignment horizontal="center" vertical="center"/>
    </xf>
    <xf numFmtId="0" fontId="17" fillId="16" borderId="0" xfId="5" applyFont="1" applyFill="1" applyAlignment="1">
      <alignment vertical="center"/>
    </xf>
    <xf numFmtId="0" fontId="11" fillId="16" borderId="0" xfId="5" applyFont="1" applyFill="1" applyAlignment="1">
      <alignment horizontal="left" vertical="center" wrapText="1" indent="1"/>
    </xf>
    <xf numFmtId="0" fontId="22" fillId="16" borderId="0" xfId="5" applyFont="1" applyFill="1" applyAlignment="1">
      <alignment horizontal="left" vertical="center" wrapText="1"/>
    </xf>
    <xf numFmtId="169" fontId="22" fillId="16" borderId="0" xfId="1" applyFont="1" applyFill="1" applyAlignment="1">
      <alignment vertical="center"/>
    </xf>
    <xf numFmtId="169" fontId="109" fillId="42" borderId="10" xfId="1" applyFont="1" applyFill="1" applyBorder="1" applyAlignment="1">
      <alignment vertical="center"/>
    </xf>
    <xf numFmtId="0" fontId="110" fillId="42" borderId="0" xfId="5" applyFont="1" applyFill="1" applyAlignment="1">
      <alignment vertical="center"/>
    </xf>
    <xf numFmtId="169" fontId="109" fillId="42" borderId="0" xfId="1" applyFont="1" applyFill="1" applyBorder="1" applyAlignment="1">
      <alignment vertical="center"/>
    </xf>
    <xf numFmtId="0" fontId="109" fillId="42" borderId="0" xfId="5" applyFont="1" applyFill="1" applyAlignment="1">
      <alignment vertical="center"/>
    </xf>
    <xf numFmtId="0" fontId="109" fillId="42" borderId="11" xfId="5" applyFont="1" applyFill="1" applyBorder="1" applyAlignment="1">
      <alignment vertical="center"/>
    </xf>
    <xf numFmtId="0" fontId="109" fillId="42" borderId="0" xfId="5" applyFont="1" applyFill="1" applyAlignment="1">
      <alignment horizontal="left" vertical="center" wrapText="1" indent="1"/>
    </xf>
    <xf numFmtId="0" fontId="22" fillId="16" borderId="0" xfId="5" applyFont="1" applyFill="1" applyAlignment="1">
      <alignment vertical="top"/>
    </xf>
    <xf numFmtId="0" fontId="6" fillId="16" borderId="50" xfId="0" applyFont="1" applyFill="1" applyBorder="1" applyAlignment="1">
      <alignment horizontal="left"/>
    </xf>
    <xf numFmtId="0" fontId="6" fillId="16" borderId="50" xfId="5" applyFont="1" applyFill="1" applyBorder="1"/>
    <xf numFmtId="169" fontId="17" fillId="16" borderId="0" xfId="1" applyFont="1" applyFill="1" applyBorder="1" applyAlignment="1">
      <alignment vertical="center"/>
    </xf>
    <xf numFmtId="0" fontId="22" fillId="16" borderId="0" xfId="5" applyFont="1" applyFill="1" applyAlignment="1">
      <alignment vertical="center" wrapText="1"/>
    </xf>
    <xf numFmtId="0" fontId="111" fillId="42" borderId="0" xfId="0" applyFont="1" applyFill="1"/>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6" fillId="6" borderId="0" xfId="0" applyFont="1" applyFill="1" applyProtection="1">
      <protection locked="0"/>
    </xf>
    <xf numFmtId="0" fontId="106" fillId="16" borderId="50" xfId="0" applyFont="1" applyFill="1" applyBorder="1" applyAlignment="1">
      <alignment horizontal="left" vertical="center"/>
    </xf>
    <xf numFmtId="0" fontId="106" fillId="16" borderId="50" xfId="0" applyFont="1" applyFill="1" applyBorder="1"/>
    <xf numFmtId="171" fontId="28" fillId="16" borderId="50" xfId="0" applyNumberFormat="1" applyFont="1" applyFill="1" applyBorder="1" applyAlignment="1">
      <alignment vertical="center"/>
    </xf>
    <xf numFmtId="0" fontId="17" fillId="20" borderId="4" xfId="5" applyFont="1" applyFill="1" applyBorder="1" applyAlignment="1" applyProtection="1">
      <alignment horizontal="center" vertical="center" wrapText="1"/>
      <protection locked="0"/>
    </xf>
    <xf numFmtId="0" fontId="106" fillId="16" borderId="50" xfId="9" applyFont="1" applyFill="1" applyBorder="1" applyAlignment="1">
      <alignment vertical="center"/>
    </xf>
    <xf numFmtId="9" fontId="11" fillId="16" borderId="50" xfId="6" applyFont="1" applyFill="1" applyBorder="1"/>
    <xf numFmtId="174" fontId="6" fillId="16" borderId="0" xfId="5" applyNumberFormat="1" applyFont="1" applyFill="1" applyAlignment="1" applyProtection="1">
      <alignment horizontal="center" vertical="center" wrapText="1"/>
      <protection locked="0"/>
    </xf>
    <xf numFmtId="0" fontId="6" fillId="16" borderId="0" xfId="0" applyFont="1" applyFill="1" applyAlignment="1">
      <alignment horizontal="left" vertical="center" indent="1"/>
    </xf>
    <xf numFmtId="0" fontId="69" fillId="16" borderId="0" xfId="5" applyFont="1" applyFill="1" applyAlignment="1">
      <alignment horizontal="center" vertical="center"/>
    </xf>
    <xf numFmtId="0" fontId="84" fillId="16" borderId="50" xfId="0" applyFont="1" applyFill="1" applyBorder="1"/>
    <xf numFmtId="0" fontId="105" fillId="16" borderId="50" xfId="1" applyNumberFormat="1" applyFont="1" applyFill="1" applyBorder="1" applyAlignment="1">
      <alignment vertical="top"/>
    </xf>
    <xf numFmtId="2" fontId="84" fillId="16" borderId="50" xfId="0" applyNumberFormat="1" applyFont="1" applyFill="1" applyBorder="1" applyAlignment="1">
      <alignment horizontal="right"/>
    </xf>
    <xf numFmtId="9" fontId="84" fillId="16" borderId="50" xfId="6" applyFont="1" applyFill="1" applyBorder="1" applyAlignment="1">
      <alignment horizontal="right"/>
    </xf>
    <xf numFmtId="0" fontId="69" fillId="16" borderId="50" xfId="5" applyFont="1" applyFill="1" applyBorder="1" applyAlignment="1">
      <alignment horizontal="center" vertical="center"/>
    </xf>
    <xf numFmtId="170" fontId="83" fillId="16" borderId="50" xfId="2" applyNumberFormat="1" applyFont="1" applyFill="1" applyBorder="1"/>
    <xf numFmtId="0" fontId="84" fillId="16" borderId="0" xfId="0" applyFont="1" applyFill="1" applyAlignment="1">
      <alignment vertical="center"/>
    </xf>
    <xf numFmtId="0" fontId="105" fillId="16" borderId="0" xfId="1" applyNumberFormat="1" applyFont="1" applyFill="1" applyAlignment="1">
      <alignment vertical="center"/>
    </xf>
    <xf numFmtId="2" fontId="84" fillId="16" borderId="0" xfId="0" applyNumberFormat="1" applyFont="1" applyFill="1" applyAlignment="1">
      <alignment horizontal="right" vertical="center"/>
    </xf>
    <xf numFmtId="9" fontId="84" fillId="16" borderId="0" xfId="6" applyFont="1" applyFill="1" applyAlignment="1">
      <alignment horizontal="right" vertical="center"/>
    </xf>
    <xf numFmtId="170" fontId="83" fillId="16" borderId="0" xfId="2" applyNumberFormat="1" applyFont="1" applyFill="1" applyBorder="1" applyAlignment="1">
      <alignment vertical="center"/>
    </xf>
    <xf numFmtId="0" fontId="22" fillId="16" borderId="0" xfId="1" quotePrefix="1" applyNumberFormat="1" applyFont="1" applyFill="1" applyAlignment="1">
      <alignment vertical="center"/>
    </xf>
    <xf numFmtId="0" fontId="84" fillId="42" borderId="0" xfId="1" applyNumberFormat="1" applyFont="1" applyFill="1" applyAlignment="1">
      <alignment vertical="top"/>
    </xf>
    <xf numFmtId="1" fontId="11" fillId="16" borderId="0" xfId="0" applyNumberFormat="1" applyFont="1" applyFill="1"/>
    <xf numFmtId="9" fontId="6" fillId="16" borderId="0" xfId="6" applyFont="1" applyFill="1" applyBorder="1" applyAlignment="1" applyProtection="1">
      <protection locked="0"/>
    </xf>
    <xf numFmtId="0" fontId="17" fillId="20" borderId="3" xfId="3" applyFont="1" applyFill="1" applyBorder="1" applyAlignment="1">
      <alignment horizontal="left" vertical="center" wrapText="1"/>
    </xf>
    <xf numFmtId="0" fontId="11" fillId="16" borderId="0" xfId="0" applyFont="1" applyFill="1" applyAlignment="1">
      <alignment vertical="top"/>
    </xf>
    <xf numFmtId="1" fontId="17" fillId="16" borderId="0" xfId="11" applyNumberFormat="1" applyFont="1" applyFill="1" applyBorder="1" applyProtection="1"/>
    <xf numFmtId="0" fontId="17" fillId="16" borderId="0" xfId="11" applyFont="1" applyFill="1" applyBorder="1" applyProtection="1"/>
    <xf numFmtId="0" fontId="48" fillId="16" borderId="0" xfId="0" applyFont="1" applyFill="1" applyAlignment="1">
      <alignment vertical="center" wrapText="1"/>
    </xf>
    <xf numFmtId="0" fontId="103" fillId="42" borderId="0" xfId="0" applyFont="1" applyFill="1" applyAlignment="1">
      <alignment vertical="center" wrapText="1"/>
    </xf>
    <xf numFmtId="0" fontId="84" fillId="42" borderId="0" xfId="0" applyFont="1" applyFill="1" applyAlignment="1" applyProtection="1">
      <alignment vertical="center"/>
      <protection locked="0"/>
    </xf>
    <xf numFmtId="0" fontId="104" fillId="46" borderId="0" xfId="0" applyFont="1" applyFill="1" applyAlignment="1">
      <alignment vertical="center"/>
    </xf>
    <xf numFmtId="0" fontId="11" fillId="16" borderId="50" xfId="1" applyNumberFormat="1" applyFont="1" applyFill="1" applyBorder="1" applyAlignment="1"/>
    <xf numFmtId="0" fontId="106" fillId="16" borderId="73" xfId="0" applyFont="1" applyFill="1" applyBorder="1"/>
    <xf numFmtId="170" fontId="6" fillId="16" borderId="0" xfId="2" applyNumberFormat="1" applyFont="1" applyFill="1"/>
    <xf numFmtId="0" fontId="6" fillId="47" borderId="115" xfId="0" applyFont="1" applyFill="1" applyBorder="1" applyAlignment="1">
      <alignment horizontal="center" vertical="center"/>
    </xf>
    <xf numFmtId="0" fontId="22" fillId="47" borderId="117" xfId="5" applyFont="1" applyFill="1" applyBorder="1" applyAlignment="1">
      <alignment horizontal="center" vertical="center" wrapText="1"/>
    </xf>
    <xf numFmtId="0" fontId="22" fillId="48" borderId="115" xfId="5" applyFont="1" applyFill="1" applyBorder="1" applyAlignment="1">
      <alignment horizontal="center" vertical="center" wrapText="1"/>
    </xf>
    <xf numFmtId="0" fontId="112" fillId="45" borderId="117" xfId="5" applyFont="1" applyFill="1" applyBorder="1" applyAlignment="1">
      <alignment horizontal="center" vertical="center" wrapText="1"/>
    </xf>
    <xf numFmtId="0" fontId="22" fillId="4" borderId="116" xfId="0" applyFont="1" applyFill="1" applyBorder="1" applyAlignment="1">
      <alignment horizontal="center" vertical="center"/>
    </xf>
    <xf numFmtId="0" fontId="6" fillId="16" borderId="0" xfId="0" applyFont="1" applyFill="1" applyAlignment="1">
      <alignment horizontal="center" vertical="top"/>
    </xf>
    <xf numFmtId="0" fontId="6" fillId="16" borderId="0" xfId="0" applyFont="1" applyFill="1" applyAlignment="1" applyProtection="1">
      <alignment vertical="top"/>
      <protection locked="0"/>
    </xf>
    <xf numFmtId="9" fontId="6" fillId="16" borderId="0" xfId="6" applyFont="1" applyFill="1" applyBorder="1" applyAlignment="1" applyProtection="1">
      <alignment vertical="top"/>
      <protection locked="0"/>
    </xf>
    <xf numFmtId="10" fontId="22" fillId="16" borderId="0" xfId="0" applyNumberFormat="1" applyFont="1" applyFill="1" applyAlignment="1" applyProtection="1">
      <alignment vertical="top" wrapText="1"/>
      <protection locked="0"/>
    </xf>
    <xf numFmtId="0" fontId="30" fillId="16" borderId="0" xfId="0" applyFont="1" applyFill="1" applyAlignment="1">
      <alignment vertical="top" wrapText="1"/>
    </xf>
    <xf numFmtId="0" fontId="30" fillId="16" borderId="0" xfId="0" applyFont="1" applyFill="1" applyAlignment="1">
      <alignment vertical="top"/>
    </xf>
    <xf numFmtId="0" fontId="32" fillId="16" borderId="0" xfId="0" applyFont="1" applyFill="1" applyAlignment="1">
      <alignment vertical="top" wrapText="1"/>
    </xf>
    <xf numFmtId="0" fontId="48" fillId="16" borderId="0" xfId="0" applyFont="1" applyFill="1" applyAlignment="1">
      <alignment horizontal="center" vertical="top" wrapText="1"/>
    </xf>
    <xf numFmtId="0" fontId="89" fillId="16" borderId="0" xfId="5" applyFont="1" applyFill="1" applyAlignment="1">
      <alignment vertical="top"/>
    </xf>
    <xf numFmtId="0" fontId="22" fillId="16" borderId="0" xfId="5" applyFont="1" applyFill="1" applyAlignment="1">
      <alignment horizontal="left" vertical="top"/>
    </xf>
    <xf numFmtId="0" fontId="58" fillId="16" borderId="0" xfId="5" applyFont="1" applyFill="1" applyAlignment="1">
      <alignment vertical="top"/>
    </xf>
    <xf numFmtId="0" fontId="22" fillId="16" borderId="0" xfId="0" applyFont="1" applyFill="1" applyAlignment="1">
      <alignment vertical="top"/>
    </xf>
    <xf numFmtId="171" fontId="6" fillId="16" borderId="0" xfId="0" applyNumberFormat="1" applyFont="1" applyFill="1" applyAlignment="1" applyProtection="1">
      <alignment vertical="top"/>
      <protection locked="0"/>
    </xf>
    <xf numFmtId="0" fontId="0" fillId="16" borderId="0" xfId="0" applyFill="1" applyAlignment="1" applyProtection="1">
      <alignment vertical="top"/>
      <protection locked="0"/>
    </xf>
    <xf numFmtId="0" fontId="0" fillId="16" borderId="0" xfId="0" applyFill="1" applyAlignment="1">
      <alignment vertical="top"/>
    </xf>
    <xf numFmtId="0" fontId="22" fillId="16" borderId="0" xfId="0" applyFont="1" applyFill="1" applyAlignment="1">
      <alignment wrapText="1"/>
    </xf>
    <xf numFmtId="0" fontId="17" fillId="16" borderId="0" xfId="1" applyNumberFormat="1" applyFont="1" applyFill="1" applyBorder="1" applyAlignment="1" applyProtection="1">
      <alignment horizontal="left" vertical="top" wrapText="1"/>
    </xf>
    <xf numFmtId="0" fontId="6" fillId="16" borderId="0" xfId="5" applyFont="1" applyFill="1" applyAlignment="1">
      <alignment vertical="top" wrapText="1"/>
    </xf>
    <xf numFmtId="0" fontId="104" fillId="42" borderId="0" xfId="1" applyNumberFormat="1" applyFont="1" applyFill="1" applyAlignment="1">
      <alignment vertical="center"/>
    </xf>
    <xf numFmtId="0" fontId="104" fillId="42" borderId="0" xfId="1" applyNumberFormat="1" applyFont="1" applyFill="1" applyBorder="1" applyAlignment="1">
      <alignment vertical="center"/>
    </xf>
    <xf numFmtId="0" fontId="53" fillId="16" borderId="73" xfId="1" applyNumberFormat="1" applyFont="1" applyFill="1" applyBorder="1" applyAlignment="1">
      <alignment vertical="center"/>
    </xf>
    <xf numFmtId="0" fontId="69" fillId="42" borderId="0" xfId="1" applyNumberFormat="1" applyFont="1" applyFill="1" applyAlignment="1" applyProtection="1">
      <alignment horizontal="left" vertical="center"/>
      <protection locked="0"/>
    </xf>
    <xf numFmtId="0" fontId="106" fillId="16" borderId="73" xfId="1" applyNumberFormat="1" applyFont="1" applyFill="1" applyBorder="1" applyAlignment="1">
      <alignment vertical="center"/>
    </xf>
    <xf numFmtId="0" fontId="106" fillId="16" borderId="50" xfId="1" applyNumberFormat="1" applyFont="1" applyFill="1" applyBorder="1" applyAlignment="1">
      <alignment vertical="center"/>
    </xf>
    <xf numFmtId="0" fontId="106" fillId="16" borderId="73" xfId="1" applyNumberFormat="1" applyFont="1" applyFill="1" applyBorder="1" applyAlignment="1"/>
    <xf numFmtId="0" fontId="104" fillId="42" borderId="0" xfId="1" applyNumberFormat="1" applyFont="1" applyFill="1" applyAlignment="1" applyProtection="1">
      <alignment vertical="center"/>
    </xf>
    <xf numFmtId="170" fontId="27" fillId="49" borderId="66" xfId="2" applyNumberFormat="1" applyFont="1" applyFill="1" applyBorder="1" applyProtection="1"/>
    <xf numFmtId="170" fontId="27" fillId="49" borderId="14" xfId="2" applyNumberFormat="1" applyFont="1" applyFill="1" applyBorder="1" applyProtection="1">
      <protection locked="0"/>
    </xf>
    <xf numFmtId="0" fontId="31" fillId="4" borderId="124" xfId="0" applyFont="1" applyFill="1" applyBorder="1" applyAlignment="1">
      <alignment horizontal="left" vertical="center"/>
    </xf>
    <xf numFmtId="170" fontId="54" fillId="47" borderId="125" xfId="2" applyNumberFormat="1" applyFont="1" applyFill="1" applyBorder="1" applyProtection="1">
      <protection locked="0"/>
    </xf>
    <xf numFmtId="0" fontId="31" fillId="4" borderId="126" xfId="0" applyFont="1" applyFill="1" applyBorder="1" applyAlignment="1">
      <alignment horizontal="left" vertical="center"/>
    </xf>
    <xf numFmtId="170" fontId="54" fillId="47" borderId="127" xfId="2" applyNumberFormat="1" applyFont="1" applyFill="1" applyBorder="1" applyAlignment="1" applyProtection="1">
      <alignment vertical="center"/>
      <protection locked="0"/>
    </xf>
    <xf numFmtId="0" fontId="11" fillId="4" borderId="126" xfId="4" applyFont="1" applyFill="1" applyBorder="1" applyAlignment="1" applyProtection="1">
      <alignment vertical="center"/>
    </xf>
    <xf numFmtId="170" fontId="54" fillId="47" borderId="127" xfId="2" applyNumberFormat="1" applyFont="1" applyFill="1" applyBorder="1" applyProtection="1">
      <protection locked="0"/>
    </xf>
    <xf numFmtId="0" fontId="11" fillId="4" borderId="126" xfId="4" applyFont="1" applyFill="1" applyBorder="1" applyAlignment="1" applyProtection="1">
      <alignment vertical="center" wrapText="1"/>
    </xf>
    <xf numFmtId="14" fontId="54" fillId="47" borderId="127" xfId="2" applyNumberFormat="1" applyFont="1" applyFill="1" applyBorder="1" applyAlignment="1" applyProtection="1">
      <alignment horizontal="left" vertical="center"/>
      <protection locked="0"/>
    </xf>
    <xf numFmtId="0" fontId="11" fillId="4" borderId="124" xfId="4" applyFont="1" applyFill="1" applyBorder="1" applyAlignment="1" applyProtection="1">
      <alignment vertical="center"/>
    </xf>
    <xf numFmtId="170" fontId="54" fillId="4" borderId="125" xfId="2" applyNumberFormat="1" applyFont="1" applyFill="1" applyBorder="1" applyAlignment="1" applyProtection="1">
      <alignment vertical="center"/>
      <protection locked="0"/>
    </xf>
    <xf numFmtId="170" fontId="54" fillId="4" borderId="127" xfId="2" applyNumberFormat="1" applyFont="1" applyFill="1" applyBorder="1" applyAlignment="1" applyProtection="1">
      <alignment vertical="center"/>
      <protection locked="0"/>
    </xf>
    <xf numFmtId="0" fontId="11" fillId="4" borderId="128" xfId="4" applyFont="1" applyFill="1" applyBorder="1" applyAlignment="1" applyProtection="1">
      <alignment vertical="center"/>
    </xf>
    <xf numFmtId="170" fontId="54" fillId="4" borderId="129" xfId="2" applyNumberFormat="1" applyFont="1" applyFill="1" applyBorder="1" applyAlignment="1" applyProtection="1">
      <alignment vertical="center"/>
      <protection locked="0"/>
    </xf>
    <xf numFmtId="0" fontId="31" fillId="4" borderId="5" xfId="0" applyFont="1" applyFill="1" applyBorder="1" applyAlignment="1" applyProtection="1">
      <alignment horizontal="left" vertical="center"/>
      <protection locked="0"/>
    </xf>
    <xf numFmtId="170" fontId="6" fillId="4" borderId="5" xfId="2" applyNumberFormat="1" applyFont="1" applyFill="1" applyBorder="1" applyAlignment="1" applyProtection="1">
      <alignment vertical="center"/>
      <protection locked="0"/>
    </xf>
    <xf numFmtId="0" fontId="54" fillId="47" borderId="65" xfId="0" applyFont="1" applyFill="1" applyBorder="1" applyAlignment="1" applyProtection="1">
      <alignment horizontal="center" vertical="center"/>
      <protection locked="0"/>
    </xf>
    <xf numFmtId="0" fontId="6" fillId="4" borderId="65" xfId="0" applyFont="1" applyFill="1" applyBorder="1" applyAlignment="1" applyProtection="1">
      <alignment horizontal="center" vertical="center"/>
      <protection locked="0"/>
    </xf>
    <xf numFmtId="1" fontId="6" fillId="47" borderId="65" xfId="0" applyNumberFormat="1" applyFont="1" applyFill="1" applyBorder="1" applyAlignment="1" applyProtection="1">
      <alignment horizontal="center"/>
      <protection locked="0"/>
    </xf>
    <xf numFmtId="14" fontId="26" fillId="0" borderId="64" xfId="0" applyNumberFormat="1" applyFont="1" applyBorder="1" applyAlignment="1">
      <alignment vertical="center"/>
    </xf>
    <xf numFmtId="0" fontId="6" fillId="20" borderId="4" xfId="0" applyFont="1" applyFill="1" applyBorder="1"/>
    <xf numFmtId="184" fontId="22" fillId="4" borderId="65" xfId="2" applyNumberFormat="1" applyFont="1" applyFill="1" applyBorder="1" applyAlignment="1">
      <alignment horizontal="center" vertical="center" wrapText="1"/>
    </xf>
    <xf numFmtId="184" fontId="22" fillId="4" borderId="65" xfId="0" applyNumberFormat="1" applyFont="1" applyFill="1" applyBorder="1" applyAlignment="1">
      <alignment horizontal="center"/>
    </xf>
    <xf numFmtId="1" fontId="6" fillId="4" borderId="65" xfId="5" applyNumberFormat="1" applyFont="1" applyFill="1" applyBorder="1" applyAlignment="1" applyProtection="1">
      <alignment horizontal="center" vertical="center" wrapText="1"/>
      <protection locked="0"/>
    </xf>
    <xf numFmtId="184" fontId="17" fillId="4" borderId="65" xfId="2" applyNumberFormat="1" applyFont="1" applyFill="1" applyBorder="1" applyAlignment="1">
      <alignment horizontal="center" vertical="center" wrapText="1"/>
    </xf>
    <xf numFmtId="174" fontId="22" fillId="4" borderId="65" xfId="0" applyNumberFormat="1" applyFont="1" applyFill="1" applyBorder="1" applyAlignment="1">
      <alignment horizontal="center"/>
    </xf>
    <xf numFmtId="0" fontId="54" fillId="47" borderId="130" xfId="0" applyFont="1" applyFill="1" applyBorder="1" applyAlignment="1" applyProtection="1">
      <alignment horizontal="center" vertical="center"/>
      <protection locked="0"/>
    </xf>
    <xf numFmtId="0" fontId="6" fillId="4" borderId="125" xfId="0" applyFont="1" applyFill="1" applyBorder="1" applyAlignment="1" applyProtection="1">
      <alignment horizontal="center" vertical="center"/>
      <protection locked="0"/>
    </xf>
    <xf numFmtId="0" fontId="6" fillId="4" borderId="127" xfId="0" applyFont="1" applyFill="1" applyBorder="1" applyAlignment="1" applyProtection="1">
      <alignment horizontal="center" vertical="center"/>
      <protection locked="0"/>
    </xf>
    <xf numFmtId="0" fontId="54" fillId="47" borderId="119" xfId="0" applyFont="1" applyFill="1" applyBorder="1" applyAlignment="1" applyProtection="1">
      <alignment horizontal="center" vertical="center"/>
      <protection locked="0"/>
    </xf>
    <xf numFmtId="0" fontId="6" fillId="4" borderId="119" xfId="0" applyFont="1" applyFill="1" applyBorder="1" applyAlignment="1" applyProtection="1">
      <alignment horizontal="center" vertical="center"/>
      <protection locked="0"/>
    </xf>
    <xf numFmtId="0" fontId="6" fillId="4" borderId="129" xfId="0" applyFont="1" applyFill="1" applyBorder="1" applyAlignment="1" applyProtection="1">
      <alignment horizontal="center" vertical="center"/>
      <protection locked="0"/>
    </xf>
    <xf numFmtId="0" fontId="6" fillId="4" borderId="126" xfId="0" applyFont="1" applyFill="1" applyBorder="1"/>
    <xf numFmtId="14" fontId="26" fillId="0" borderId="80" xfId="0" applyNumberFormat="1" applyFont="1" applyBorder="1" applyAlignment="1">
      <alignment vertical="center"/>
    </xf>
    <xf numFmtId="1" fontId="6" fillId="47" borderId="119" xfId="0" applyNumberFormat="1" applyFont="1" applyFill="1" applyBorder="1" applyAlignment="1" applyProtection="1">
      <alignment horizontal="center"/>
      <protection locked="0"/>
    </xf>
    <xf numFmtId="1" fontId="11" fillId="0" borderId="3" xfId="12" applyNumberFormat="1" applyFont="1" applyBorder="1" applyAlignment="1" applyProtection="1">
      <alignment horizontal="center" vertical="center"/>
    </xf>
    <xf numFmtId="1" fontId="6" fillId="47" borderId="130" xfId="0" applyNumberFormat="1" applyFont="1" applyFill="1" applyBorder="1" applyAlignment="1" applyProtection="1">
      <alignment horizontal="center"/>
      <protection locked="0"/>
    </xf>
    <xf numFmtId="14" fontId="26" fillId="0" borderId="135" xfId="0" applyNumberFormat="1" applyFont="1" applyBorder="1" applyAlignment="1">
      <alignment vertical="center"/>
    </xf>
    <xf numFmtId="0" fontId="6" fillId="20" borderId="3" xfId="0" applyFont="1" applyFill="1" applyBorder="1" applyAlignment="1">
      <alignment horizontal="center"/>
    </xf>
    <xf numFmtId="0" fontId="6" fillId="20" borderId="3" xfId="5" applyFont="1" applyFill="1" applyBorder="1" applyAlignment="1">
      <alignment horizontal="center" vertical="center"/>
    </xf>
    <xf numFmtId="0" fontId="11" fillId="6" borderId="3" xfId="0" applyFont="1" applyFill="1" applyBorder="1" applyAlignment="1">
      <alignment horizontal="center" vertical="center"/>
    </xf>
    <xf numFmtId="168" fontId="6" fillId="4" borderId="3" xfId="2" applyFont="1" applyFill="1" applyBorder="1" applyAlignment="1" applyProtection="1">
      <alignment horizontal="center" vertical="center"/>
    </xf>
    <xf numFmtId="168" fontId="6" fillId="4" borderId="3" xfId="2" applyFont="1" applyFill="1" applyBorder="1" applyAlignment="1">
      <alignment horizontal="center" vertical="center"/>
    </xf>
    <xf numFmtId="0" fontId="11" fillId="20" borderId="3" xfId="5" applyFont="1" applyFill="1" applyBorder="1" applyAlignment="1" applyProtection="1">
      <alignment horizontal="right" vertical="center"/>
      <protection locked="0"/>
    </xf>
    <xf numFmtId="174" fontId="11" fillId="0" borderId="3" xfId="5" applyNumberFormat="1" applyFont="1" applyBorder="1" applyAlignment="1">
      <alignment horizontal="center" vertical="center"/>
    </xf>
    <xf numFmtId="184" fontId="22" fillId="4" borderId="130" xfId="2" applyNumberFormat="1" applyFont="1" applyFill="1" applyBorder="1" applyAlignment="1">
      <alignment horizontal="center" vertical="center" wrapText="1"/>
    </xf>
    <xf numFmtId="184" fontId="22" fillId="4" borderId="130" xfId="0" applyNumberFormat="1" applyFont="1" applyFill="1" applyBorder="1" applyAlignment="1">
      <alignment horizontal="center"/>
    </xf>
    <xf numFmtId="1" fontId="6" fillId="4" borderId="130" xfId="5" applyNumberFormat="1" applyFont="1" applyFill="1" applyBorder="1" applyAlignment="1" applyProtection="1">
      <alignment horizontal="center" vertical="center" wrapText="1"/>
      <protection locked="0"/>
    </xf>
    <xf numFmtId="0" fontId="6" fillId="4" borderId="125" xfId="5" applyFont="1" applyFill="1" applyBorder="1" applyAlignment="1" applyProtection="1">
      <alignment horizontal="center" vertical="center" wrapText="1"/>
      <protection locked="0"/>
    </xf>
    <xf numFmtId="0" fontId="6" fillId="4" borderId="127" xfId="5" applyFont="1" applyFill="1" applyBorder="1" applyAlignment="1" applyProtection="1">
      <alignment horizontal="center" vertical="center" wrapText="1"/>
      <protection locked="0"/>
    </xf>
    <xf numFmtId="184" fontId="17" fillId="4" borderId="119" xfId="2" applyNumberFormat="1" applyFont="1" applyFill="1" applyBorder="1" applyAlignment="1">
      <alignment horizontal="center" vertical="center" wrapText="1"/>
    </xf>
    <xf numFmtId="174" fontId="22" fillId="4" borderId="119" xfId="0" applyNumberFormat="1" applyFont="1" applyFill="1" applyBorder="1" applyAlignment="1">
      <alignment horizontal="center"/>
    </xf>
    <xf numFmtId="1" fontId="6" fillId="4" borderId="119" xfId="5" applyNumberFormat="1" applyFont="1" applyFill="1" applyBorder="1" applyAlignment="1" applyProtection="1">
      <alignment horizontal="center" vertical="center" wrapText="1"/>
      <protection locked="0"/>
    </xf>
    <xf numFmtId="184" fontId="22" fillId="4" borderId="136" xfId="2" applyNumberFormat="1" applyFont="1" applyFill="1" applyBorder="1" applyAlignment="1">
      <alignment horizontal="center" vertical="center" wrapText="1"/>
    </xf>
    <xf numFmtId="184" fontId="22" fillId="4" borderId="120" xfId="2" applyNumberFormat="1" applyFont="1" applyFill="1" applyBorder="1" applyAlignment="1">
      <alignment horizontal="center" vertical="center" wrapText="1"/>
    </xf>
    <xf numFmtId="0" fontId="6" fillId="4" borderId="126" xfId="0" applyFont="1" applyFill="1" applyBorder="1" applyAlignment="1">
      <alignment horizontal="left" vertical="center" indent="1"/>
    </xf>
    <xf numFmtId="0" fontId="11" fillId="4" borderId="128" xfId="0" applyFont="1" applyFill="1" applyBorder="1"/>
    <xf numFmtId="1" fontId="11" fillId="4" borderId="119" xfId="0" applyNumberFormat="1" applyFont="1" applyFill="1" applyBorder="1" applyAlignment="1">
      <alignment horizontal="center" vertical="center"/>
    </xf>
    <xf numFmtId="0" fontId="11" fillId="4" borderId="119" xfId="0" applyFont="1" applyFill="1" applyBorder="1" applyAlignment="1">
      <alignment horizontal="center" vertical="center"/>
    </xf>
    <xf numFmtId="1" fontId="11" fillId="4" borderId="129" xfId="0" applyNumberFormat="1" applyFont="1" applyFill="1" applyBorder="1" applyAlignment="1">
      <alignment horizontal="center" vertical="center"/>
    </xf>
    <xf numFmtId="0" fontId="6" fillId="4" borderId="132" xfId="0" applyFont="1" applyFill="1" applyBorder="1" applyAlignment="1">
      <alignment horizontal="left" vertical="center" indent="1"/>
    </xf>
    <xf numFmtId="1" fontId="6" fillId="4" borderId="121" xfId="0" applyNumberFormat="1" applyFont="1" applyFill="1" applyBorder="1" applyAlignment="1">
      <alignment horizontal="center" vertical="center"/>
    </xf>
    <xf numFmtId="0" fontId="6" fillId="4" borderId="121" xfId="0" applyFont="1" applyFill="1" applyBorder="1" applyAlignment="1">
      <alignment horizontal="center" vertical="center"/>
    </xf>
    <xf numFmtId="1" fontId="6" fillId="4" borderId="133" xfId="0" applyNumberFormat="1" applyFont="1" applyFill="1" applyBorder="1" applyAlignment="1">
      <alignment horizontal="center" vertical="center"/>
    </xf>
    <xf numFmtId="9" fontId="21" fillId="4" borderId="65" xfId="6" applyFont="1" applyFill="1" applyBorder="1" applyAlignment="1">
      <alignment horizontal="center" vertical="center"/>
    </xf>
    <xf numFmtId="9" fontId="54" fillId="4" borderId="65" xfId="6" applyFont="1" applyFill="1" applyBorder="1" applyAlignment="1" applyProtection="1">
      <alignment horizontal="left" vertical="center"/>
      <protection locked="0"/>
    </xf>
    <xf numFmtId="174" fontId="54" fillId="4" borderId="65" xfId="2" applyNumberFormat="1" applyFont="1" applyFill="1" applyBorder="1" applyAlignment="1" applyProtection="1">
      <alignment horizontal="left"/>
      <protection locked="0"/>
    </xf>
    <xf numFmtId="0" fontId="6" fillId="4" borderId="124" xfId="0" applyFont="1" applyFill="1" applyBorder="1"/>
    <xf numFmtId="174" fontId="6" fillId="4" borderId="125" xfId="2" applyNumberFormat="1" applyFont="1" applyFill="1" applyBorder="1"/>
    <xf numFmtId="0" fontId="6" fillId="4" borderId="128" xfId="0" applyFont="1" applyFill="1" applyBorder="1"/>
    <xf numFmtId="0" fontId="31" fillId="20" borderId="124" xfId="0" applyFont="1" applyFill="1" applyBorder="1" applyAlignment="1">
      <alignment horizontal="center" vertical="center"/>
    </xf>
    <xf numFmtId="0" fontId="31" fillId="20" borderId="130" xfId="0" applyFont="1" applyFill="1" applyBorder="1" applyAlignment="1">
      <alignment horizontal="center" vertical="center"/>
    </xf>
    <xf numFmtId="0" fontId="11" fillId="20" borderId="125" xfId="0" applyFont="1" applyFill="1" applyBorder="1" applyAlignment="1">
      <alignment horizontal="center" vertical="center"/>
    </xf>
    <xf numFmtId="9" fontId="21" fillId="4" borderId="128" xfId="6" applyFont="1" applyFill="1" applyBorder="1" applyAlignment="1">
      <alignment horizontal="center" vertical="center"/>
    </xf>
    <xf numFmtId="9" fontId="31" fillId="4" borderId="119" xfId="0" applyNumberFormat="1" applyFont="1" applyFill="1" applyBorder="1" applyAlignment="1">
      <alignment horizontal="center" vertical="center"/>
    </xf>
    <xf numFmtId="9" fontId="21" fillId="4" borderId="119" xfId="6" applyFont="1" applyFill="1" applyBorder="1" applyAlignment="1">
      <alignment horizontal="center" vertical="center"/>
    </xf>
    <xf numFmtId="171" fontId="21" fillId="4" borderId="129" xfId="2" applyNumberFormat="1" applyFont="1" applyFill="1" applyBorder="1" applyAlignment="1">
      <alignment horizontal="center" vertical="center"/>
    </xf>
    <xf numFmtId="0" fontId="11" fillId="4" borderId="124" xfId="7" applyFont="1" applyFill="1" applyBorder="1" applyAlignment="1">
      <alignment horizontal="left"/>
    </xf>
    <xf numFmtId="9" fontId="54" fillId="4" borderId="130" xfId="7" applyNumberFormat="1" applyFont="1" applyFill="1" applyBorder="1" applyAlignment="1" applyProtection="1">
      <alignment horizontal="center"/>
      <protection locked="0"/>
    </xf>
    <xf numFmtId="9" fontId="54" fillId="4" borderId="125" xfId="7" applyNumberFormat="1" applyFont="1" applyFill="1" applyBorder="1" applyAlignment="1" applyProtection="1">
      <alignment horizontal="center"/>
      <protection locked="0"/>
    </xf>
    <xf numFmtId="0" fontId="11" fillId="4" borderId="126" xfId="7" applyFont="1" applyFill="1" applyBorder="1" applyAlignment="1">
      <alignment horizontal="left"/>
    </xf>
    <xf numFmtId="0" fontId="11" fillId="4" borderId="128" xfId="7" applyFont="1" applyFill="1" applyBorder="1" applyAlignment="1">
      <alignment horizontal="left"/>
    </xf>
    <xf numFmtId="0" fontId="6" fillId="4" borderId="124" xfId="0" applyFont="1" applyFill="1" applyBorder="1" applyAlignment="1" applyProtection="1">
      <alignment horizontal="left" vertical="center"/>
      <protection locked="0"/>
    </xf>
    <xf numFmtId="174" fontId="6" fillId="4" borderId="125" xfId="0" applyNumberFormat="1" applyFont="1" applyFill="1" applyBorder="1" applyAlignment="1" applyProtection="1">
      <alignment horizontal="left" vertical="center"/>
      <protection locked="0"/>
    </xf>
    <xf numFmtId="0" fontId="6" fillId="4" borderId="126" xfId="0" applyFont="1" applyFill="1" applyBorder="1" applyAlignment="1" applyProtection="1">
      <alignment horizontal="left" vertical="center"/>
      <protection locked="0"/>
    </xf>
    <xf numFmtId="9" fontId="54" fillId="4" borderId="127" xfId="6" applyFont="1" applyFill="1" applyBorder="1" applyAlignment="1" applyProtection="1">
      <alignment horizontal="left" vertical="center"/>
      <protection locked="0"/>
    </xf>
    <xf numFmtId="0" fontId="6" fillId="4" borderId="126" xfId="5" applyFont="1" applyFill="1" applyBorder="1" applyAlignment="1">
      <alignment horizontal="left"/>
    </xf>
    <xf numFmtId="0" fontId="26" fillId="4" borderId="127" xfId="0" applyFont="1" applyFill="1" applyBorder="1" applyProtection="1">
      <protection locked="0"/>
    </xf>
    <xf numFmtId="0" fontId="31" fillId="20" borderId="3" xfId="0" applyFont="1" applyFill="1" applyBorder="1" applyAlignment="1">
      <alignment vertical="center"/>
    </xf>
    <xf numFmtId="170" fontId="54" fillId="4" borderId="124" xfId="2" applyNumberFormat="1" applyFont="1" applyFill="1" applyBorder="1" applyAlignment="1">
      <alignment vertical="center"/>
    </xf>
    <xf numFmtId="170" fontId="54" fillId="4" borderId="126" xfId="2" applyNumberFormat="1" applyFont="1" applyFill="1" applyBorder="1" applyAlignment="1">
      <alignment vertical="center"/>
    </xf>
    <xf numFmtId="0" fontId="17" fillId="20" borderId="122" xfId="3" applyFont="1" applyFill="1" applyBorder="1" applyAlignment="1">
      <alignment horizontal="left" vertical="center" wrapText="1"/>
    </xf>
    <xf numFmtId="0" fontId="31" fillId="4" borderId="5" xfId="0" applyFont="1" applyFill="1" applyBorder="1" applyAlignment="1">
      <alignment horizontal="left"/>
    </xf>
    <xf numFmtId="0" fontId="21" fillId="4" borderId="5" xfId="0" applyFont="1" applyFill="1" applyBorder="1" applyAlignment="1">
      <alignment horizontal="left"/>
    </xf>
    <xf numFmtId="174" fontId="29" fillId="4" borderId="65" xfId="2" applyNumberFormat="1" applyFont="1" applyFill="1" applyBorder="1" applyAlignment="1">
      <alignment horizontal="left"/>
    </xf>
    <xf numFmtId="9" fontId="64" fillId="4" borderId="65" xfId="6" applyFont="1" applyFill="1" applyBorder="1" applyAlignment="1">
      <alignment horizontal="center" vertical="center"/>
    </xf>
    <xf numFmtId="168" fontId="63" fillId="4" borderId="65" xfId="2" applyFont="1" applyFill="1" applyBorder="1" applyAlignment="1">
      <alignment horizontal="center" vertical="center"/>
    </xf>
    <xf numFmtId="0" fontId="31" fillId="4" borderId="126" xfId="0" applyFont="1" applyFill="1" applyBorder="1" applyAlignment="1">
      <alignment horizontal="left"/>
    </xf>
    <xf numFmtId="0" fontId="11" fillId="4" borderId="126" xfId="4" applyFont="1" applyFill="1" applyBorder="1" applyAlignment="1">
      <alignment vertical="center"/>
    </xf>
    <xf numFmtId="0" fontId="31" fillId="4" borderId="128" xfId="0" applyFont="1" applyFill="1" applyBorder="1" applyAlignment="1">
      <alignment horizontal="left"/>
    </xf>
    <xf numFmtId="0" fontId="31" fillId="4" borderId="124" xfId="0" applyFont="1" applyFill="1" applyBorder="1" applyAlignment="1">
      <alignment horizontal="left"/>
    </xf>
    <xf numFmtId="0" fontId="11" fillId="4" borderId="126" xfId="5" applyFont="1" applyFill="1" applyBorder="1" applyAlignment="1">
      <alignment horizontal="left" vertical="center"/>
    </xf>
    <xf numFmtId="0" fontId="31" fillId="4" borderId="124" xfId="0" applyFont="1" applyFill="1" applyBorder="1"/>
    <xf numFmtId="0" fontId="31" fillId="4" borderId="126" xfId="0" applyFont="1" applyFill="1" applyBorder="1"/>
    <xf numFmtId="0" fontId="31" fillId="4" borderId="122" xfId="0" applyFont="1" applyFill="1" applyBorder="1"/>
    <xf numFmtId="0" fontId="31" fillId="4" borderId="141" xfId="0" applyFont="1" applyFill="1" applyBorder="1"/>
    <xf numFmtId="9" fontId="6" fillId="4" borderId="127" xfId="6" applyFont="1" applyFill="1" applyBorder="1"/>
    <xf numFmtId="1" fontId="6" fillId="4" borderId="127" xfId="0" applyNumberFormat="1" applyFont="1" applyFill="1" applyBorder="1"/>
    <xf numFmtId="1" fontId="6" fillId="4" borderId="127" xfId="6" applyNumberFormat="1" applyFont="1" applyFill="1" applyBorder="1"/>
    <xf numFmtId="0" fontId="6" fillId="4" borderId="126" xfId="0" applyFont="1" applyFill="1" applyBorder="1" applyAlignment="1">
      <alignment horizontal="left"/>
    </xf>
    <xf numFmtId="0" fontId="6" fillId="4" borderId="126" xfId="5" applyFont="1" applyFill="1" applyBorder="1" applyAlignment="1" applyProtection="1">
      <alignment horizontal="left" vertical="center" wrapText="1"/>
      <protection locked="0"/>
    </xf>
    <xf numFmtId="0" fontId="6" fillId="4" borderId="126" xfId="5" applyFont="1" applyFill="1" applyBorder="1" applyAlignment="1" applyProtection="1">
      <alignment horizontal="left" vertical="center"/>
      <protection locked="0"/>
    </xf>
    <xf numFmtId="168" fontId="63" fillId="4" borderId="127" xfId="2" applyFont="1" applyFill="1" applyBorder="1" applyAlignment="1">
      <alignment horizontal="center" vertical="center"/>
    </xf>
    <xf numFmtId="0" fontId="6" fillId="4" borderId="128" xfId="5" applyFont="1" applyFill="1" applyBorder="1" applyAlignment="1" applyProtection="1">
      <alignment horizontal="left" vertical="center" wrapText="1"/>
      <protection locked="0"/>
    </xf>
    <xf numFmtId="0" fontId="11" fillId="4" borderId="126" xfId="0" applyFont="1" applyFill="1" applyBorder="1" applyAlignment="1">
      <alignment horizontal="left" vertical="center"/>
    </xf>
    <xf numFmtId="0" fontId="11" fillId="4" borderId="128" xfId="0" applyFont="1" applyFill="1" applyBorder="1" applyAlignment="1">
      <alignment horizontal="left" vertical="center"/>
    </xf>
    <xf numFmtId="0" fontId="17" fillId="20" borderId="138" xfId="3" applyFont="1" applyFill="1" applyBorder="1" applyAlignment="1">
      <alignment horizontal="left" vertical="center"/>
    </xf>
    <xf numFmtId="0" fontId="17" fillId="20" borderId="138" xfId="3" applyFont="1" applyFill="1" applyBorder="1" applyAlignment="1">
      <alignment horizontal="center" vertical="center" wrapText="1"/>
    </xf>
    <xf numFmtId="0" fontId="17" fillId="20" borderId="123" xfId="3" applyFont="1" applyFill="1" applyBorder="1" applyAlignment="1">
      <alignment horizontal="center" vertical="center" wrapText="1"/>
    </xf>
    <xf numFmtId="0" fontId="6" fillId="4" borderId="124" xfId="0" applyFont="1" applyFill="1" applyBorder="1" applyAlignment="1">
      <alignment horizontal="left" vertical="center"/>
    </xf>
    <xf numFmtId="0" fontId="6" fillId="4" borderId="126" xfId="0" applyFont="1" applyFill="1" applyBorder="1" applyAlignment="1">
      <alignment horizontal="left" vertical="center"/>
    </xf>
    <xf numFmtId="0" fontId="6" fillId="4" borderId="128" xfId="0" applyFont="1" applyFill="1" applyBorder="1" applyAlignment="1">
      <alignment horizontal="left" vertical="center"/>
    </xf>
    <xf numFmtId="0" fontId="11" fillId="4" borderId="132" xfId="0" applyFont="1" applyFill="1" applyBorder="1" applyAlignment="1">
      <alignment horizontal="left" vertical="center"/>
    </xf>
    <xf numFmtId="0" fontId="29" fillId="47" borderId="3" xfId="0" applyFont="1" applyFill="1" applyBorder="1" applyProtection="1">
      <protection locked="0"/>
    </xf>
    <xf numFmtId="0" fontId="6" fillId="0" borderId="65" xfId="0" applyFont="1" applyBorder="1" applyAlignment="1">
      <alignment vertical="center"/>
    </xf>
    <xf numFmtId="0" fontId="6" fillId="0" borderId="65" xfId="0" applyFont="1" applyBorder="1" applyAlignment="1">
      <alignment vertical="center" wrapText="1"/>
    </xf>
    <xf numFmtId="0" fontId="6" fillId="4" borderId="126" xfId="0" applyFont="1" applyFill="1" applyBorder="1" applyAlignment="1">
      <alignment horizontal="center" vertical="center" wrapText="1"/>
    </xf>
    <xf numFmtId="0" fontId="6" fillId="4" borderId="127" xfId="0" applyFont="1" applyFill="1" applyBorder="1" applyAlignment="1">
      <alignment vertical="center"/>
    </xf>
    <xf numFmtId="0" fontId="6" fillId="4" borderId="127" xfId="0" applyFont="1" applyFill="1" applyBorder="1" applyAlignment="1">
      <alignment vertical="center" wrapText="1"/>
    </xf>
    <xf numFmtId="0" fontId="6" fillId="4" borderId="128" xfId="0" applyFont="1" applyFill="1" applyBorder="1" applyAlignment="1">
      <alignment horizontal="center" vertical="center" wrapText="1"/>
    </xf>
    <xf numFmtId="0" fontId="6" fillId="4" borderId="132" xfId="0" applyFont="1" applyFill="1" applyBorder="1" applyAlignment="1">
      <alignment horizontal="center" vertical="center" wrapText="1"/>
    </xf>
    <xf numFmtId="0" fontId="6" fillId="0" borderId="121" xfId="0" applyFont="1" applyBorder="1" applyAlignment="1">
      <alignment vertical="center"/>
    </xf>
    <xf numFmtId="0" fontId="6" fillId="4" borderId="133" xfId="0" applyFont="1" applyFill="1" applyBorder="1" applyAlignment="1">
      <alignment vertical="center"/>
    </xf>
    <xf numFmtId="0" fontId="71" fillId="0" borderId="65" xfId="0" applyFont="1" applyBorder="1" applyAlignment="1">
      <alignment horizontal="center" vertical="center" wrapText="1" readingOrder="1"/>
    </xf>
    <xf numFmtId="0" fontId="70" fillId="4" borderId="124" xfId="0" applyFont="1" applyFill="1" applyBorder="1" applyAlignment="1">
      <alignment horizontal="left" vertical="center" wrapText="1" readingOrder="1"/>
    </xf>
    <xf numFmtId="0" fontId="70" fillId="4" borderId="126" xfId="0" applyFont="1" applyFill="1" applyBorder="1" applyAlignment="1">
      <alignment horizontal="left" vertical="center" wrapText="1" readingOrder="1"/>
    </xf>
    <xf numFmtId="0" fontId="70" fillId="4" borderId="128" xfId="0" applyFont="1" applyFill="1" applyBorder="1" applyAlignment="1">
      <alignment horizontal="left" vertical="center" wrapText="1" readingOrder="1"/>
    </xf>
    <xf numFmtId="0" fontId="22" fillId="16" borderId="135" xfId="0" applyFont="1" applyFill="1" applyBorder="1" applyAlignment="1">
      <alignment horizontal="center" vertical="center" wrapText="1"/>
    </xf>
    <xf numFmtId="0" fontId="22" fillId="16" borderId="135" xfId="0" applyFont="1" applyFill="1" applyBorder="1" applyAlignment="1">
      <alignment horizontal="right" vertical="center" wrapText="1"/>
    </xf>
    <xf numFmtId="0" fontId="22" fillId="16" borderId="135" xfId="0" applyFont="1" applyFill="1" applyBorder="1" applyAlignment="1">
      <alignment vertical="center" wrapText="1"/>
    </xf>
    <xf numFmtId="9" fontId="71" fillId="0" borderId="119" xfId="0" applyNumberFormat="1" applyFont="1" applyBorder="1" applyAlignment="1">
      <alignment horizontal="center" vertical="center" wrapText="1" readingOrder="1"/>
    </xf>
    <xf numFmtId="0" fontId="71" fillId="16" borderId="130" xfId="0" applyFont="1" applyFill="1" applyBorder="1" applyAlignment="1">
      <alignment horizontal="center" vertical="center" wrapText="1" readingOrder="1"/>
    </xf>
    <xf numFmtId="0" fontId="71" fillId="4" borderId="126" xfId="0" applyFont="1" applyFill="1" applyBorder="1" applyAlignment="1">
      <alignment horizontal="left" vertical="center" wrapText="1" indent="2" readingOrder="1"/>
    </xf>
    <xf numFmtId="0" fontId="56" fillId="20" borderId="145" xfId="8" applyFont="1" applyFill="1" applyBorder="1" applyAlignment="1" applyProtection="1">
      <alignment horizontal="center" vertical="center" wrapText="1"/>
      <protection locked="0"/>
    </xf>
    <xf numFmtId="0" fontId="56" fillId="20" borderId="61" xfId="8" applyFont="1" applyFill="1" applyBorder="1" applyAlignment="1" applyProtection="1">
      <alignment horizontal="center" vertical="center" wrapText="1"/>
      <protection locked="0"/>
    </xf>
    <xf numFmtId="2" fontId="56" fillId="20" borderId="61" xfId="8" applyNumberFormat="1" applyFont="1" applyFill="1" applyBorder="1" applyAlignment="1" applyProtection="1">
      <alignment horizontal="center" vertical="center" wrapText="1"/>
      <protection locked="0"/>
    </xf>
    <xf numFmtId="2" fontId="56" fillId="20" borderId="61" xfId="8" applyNumberFormat="1" applyFont="1" applyFill="1" applyBorder="1" applyAlignment="1">
      <alignment horizontal="center" vertical="center" wrapText="1"/>
    </xf>
    <xf numFmtId="0" fontId="56" fillId="20" borderId="146" xfId="8" applyFont="1" applyFill="1" applyBorder="1" applyAlignment="1" applyProtection="1">
      <alignment horizontal="center" vertical="center" wrapText="1"/>
      <protection locked="0"/>
    </xf>
    <xf numFmtId="9" fontId="6" fillId="4" borderId="65" xfId="6" applyFont="1" applyFill="1" applyBorder="1" applyAlignment="1" applyProtection="1">
      <alignment horizontal="center" vertical="center"/>
      <protection locked="0"/>
    </xf>
    <xf numFmtId="1" fontId="6" fillId="4" borderId="65" xfId="6" applyNumberFormat="1" applyFont="1" applyFill="1" applyBorder="1" applyAlignment="1" applyProtection="1">
      <alignment horizontal="center" vertical="center"/>
      <protection locked="0"/>
    </xf>
    <xf numFmtId="1" fontId="22" fillId="4" borderId="65" xfId="6" applyNumberFormat="1" applyFont="1" applyFill="1" applyBorder="1" applyAlignment="1" applyProtection="1">
      <alignment horizontal="center" vertical="center"/>
      <protection locked="0"/>
    </xf>
    <xf numFmtId="2" fontId="6" fillId="4" borderId="65" xfId="6" applyNumberFormat="1" applyFont="1" applyFill="1" applyBorder="1" applyAlignment="1" applyProtection="1">
      <alignment horizontal="center" vertical="center"/>
      <protection locked="0"/>
    </xf>
    <xf numFmtId="0" fontId="54" fillId="4" borderId="65" xfId="0" applyFont="1" applyFill="1" applyBorder="1" applyAlignment="1" applyProtection="1">
      <alignment horizontal="left" vertical="top"/>
      <protection locked="0"/>
    </xf>
    <xf numFmtId="0" fontId="6" fillId="4" borderId="65" xfId="0" applyFont="1" applyFill="1" applyBorder="1" applyAlignment="1" applyProtection="1">
      <alignment horizontal="left" vertical="top"/>
      <protection locked="0"/>
    </xf>
    <xf numFmtId="0" fontId="54" fillId="4" borderId="65" xfId="0" applyFont="1" applyFill="1" applyBorder="1" applyProtection="1">
      <protection locked="0"/>
    </xf>
    <xf numFmtId="0" fontId="54" fillId="4" borderId="65" xfId="0" applyFont="1" applyFill="1" applyBorder="1" applyAlignment="1" applyProtection="1">
      <alignment wrapText="1"/>
      <protection locked="0"/>
    </xf>
    <xf numFmtId="49" fontId="6" fillId="4" borderId="125" xfId="0" applyNumberFormat="1" applyFont="1" applyFill="1" applyBorder="1" applyAlignment="1">
      <alignment horizontal="left" vertical="center"/>
    </xf>
    <xf numFmtId="0" fontId="6" fillId="4" borderId="127" xfId="0" applyFont="1" applyFill="1" applyBorder="1" applyAlignment="1">
      <alignment horizontal="left" vertical="center"/>
    </xf>
    <xf numFmtId="0" fontId="11" fillId="4" borderId="126" xfId="4" applyFont="1" applyFill="1" applyBorder="1" applyAlignment="1">
      <alignment vertical="center" wrapText="1"/>
    </xf>
    <xf numFmtId="14" fontId="6" fillId="4" borderId="127" xfId="0" applyNumberFormat="1" applyFont="1" applyFill="1" applyBorder="1" applyAlignment="1">
      <alignment horizontal="left" vertical="center"/>
    </xf>
    <xf numFmtId="1" fontId="6" fillId="4" borderId="127" xfId="0" applyNumberFormat="1" applyFont="1" applyFill="1" applyBorder="1" applyAlignment="1">
      <alignment horizontal="left" vertical="center"/>
    </xf>
    <xf numFmtId="0" fontId="11" fillId="4" borderId="128" xfId="4" applyFont="1" applyFill="1" applyBorder="1" applyAlignment="1">
      <alignment vertical="center"/>
    </xf>
    <xf numFmtId="0" fontId="11" fillId="20" borderId="3" xfId="0" applyFont="1" applyFill="1" applyBorder="1"/>
    <xf numFmtId="0" fontId="6" fillId="4" borderId="98" xfId="0" applyFont="1" applyFill="1" applyBorder="1" applyAlignment="1">
      <alignment vertical="center"/>
    </xf>
    <xf numFmtId="0" fontId="6" fillId="4" borderId="99" xfId="0" applyFont="1" applyFill="1" applyBorder="1" applyAlignment="1">
      <alignment vertical="center"/>
    </xf>
    <xf numFmtId="0" fontId="6" fillId="4" borderId="100" xfId="0" applyFont="1" applyFill="1" applyBorder="1" applyAlignment="1">
      <alignment vertical="center"/>
    </xf>
    <xf numFmtId="0" fontId="6" fillId="4" borderId="124" xfId="0" applyFont="1" applyFill="1" applyBorder="1" applyAlignment="1">
      <alignment horizontal="left" vertical="center" indent="1"/>
    </xf>
    <xf numFmtId="0" fontId="6" fillId="4" borderId="126" xfId="0" applyFont="1" applyFill="1" applyBorder="1" applyAlignment="1">
      <alignment horizontal="left" vertical="center" wrapText="1" indent="1"/>
    </xf>
    <xf numFmtId="0" fontId="6" fillId="4" borderId="141" xfId="0" applyFont="1" applyFill="1" applyBorder="1" applyAlignment="1">
      <alignment horizontal="left" vertical="center" wrapText="1" indent="1"/>
    </xf>
    <xf numFmtId="0" fontId="11" fillId="4" borderId="122" xfId="0" applyFont="1" applyFill="1" applyBorder="1" applyAlignment="1">
      <alignment horizontal="left" vertical="center" indent="1"/>
    </xf>
    <xf numFmtId="0" fontId="6" fillId="20" borderId="124" xfId="0" applyFont="1" applyFill="1" applyBorder="1" applyAlignment="1">
      <alignment vertical="center"/>
    </xf>
    <xf numFmtId="0" fontId="6" fillId="20" borderId="130" xfId="0" applyFont="1" applyFill="1" applyBorder="1" applyAlignment="1">
      <alignment horizontal="center" vertical="center"/>
    </xf>
    <xf numFmtId="0" fontId="6" fillId="20" borderId="130" xfId="0" applyFont="1" applyFill="1" applyBorder="1" applyAlignment="1">
      <alignment horizontal="center" vertical="center" wrapText="1"/>
    </xf>
    <xf numFmtId="2" fontId="6" fillId="20" borderId="125" xfId="0" applyNumberFormat="1" applyFont="1" applyFill="1" applyBorder="1" applyAlignment="1">
      <alignment horizontal="center" vertical="center"/>
    </xf>
    <xf numFmtId="0" fontId="6" fillId="4" borderId="126" xfId="0" applyFont="1" applyFill="1" applyBorder="1" applyProtection="1">
      <protection locked="0"/>
    </xf>
    <xf numFmtId="1" fontId="22" fillId="4" borderId="127" xfId="0" applyNumberFormat="1" applyFont="1" applyFill="1" applyBorder="1" applyAlignment="1" applyProtection="1">
      <alignment horizontal="right"/>
      <protection locked="0"/>
    </xf>
    <xf numFmtId="0" fontId="6" fillId="4" borderId="141" xfId="0" applyFont="1" applyFill="1" applyBorder="1" applyProtection="1">
      <protection locked="0"/>
    </xf>
    <xf numFmtId="0" fontId="54" fillId="4" borderId="134" xfId="0" applyFont="1" applyFill="1" applyBorder="1" applyProtection="1">
      <protection locked="0"/>
    </xf>
    <xf numFmtId="0" fontId="54" fillId="4" borderId="134" xfId="0" applyFont="1" applyFill="1" applyBorder="1" applyAlignment="1" applyProtection="1">
      <alignment wrapText="1"/>
      <protection locked="0"/>
    </xf>
    <xf numFmtId="1" fontId="22" fillId="4" borderId="142" xfId="0" applyNumberFormat="1" applyFont="1" applyFill="1" applyBorder="1" applyAlignment="1" applyProtection="1">
      <alignment horizontal="right"/>
      <protection locked="0"/>
    </xf>
    <xf numFmtId="0" fontId="11" fillId="4" borderId="122" xfId="0" applyFont="1" applyFill="1" applyBorder="1"/>
    <xf numFmtId="0" fontId="11" fillId="4" borderId="138" xfId="0" applyFont="1" applyFill="1" applyBorder="1"/>
    <xf numFmtId="0" fontId="11" fillId="4" borderId="138" xfId="0" applyFont="1" applyFill="1" applyBorder="1" applyAlignment="1">
      <alignment wrapText="1"/>
    </xf>
    <xf numFmtId="1" fontId="11" fillId="4" borderId="123" xfId="0" applyNumberFormat="1" applyFont="1" applyFill="1" applyBorder="1" applyAlignment="1">
      <alignment horizontal="right"/>
    </xf>
    <xf numFmtId="9" fontId="6" fillId="4" borderId="27" xfId="6" applyFont="1" applyFill="1" applyBorder="1" applyAlignment="1" applyProtection="1">
      <alignment horizontal="right"/>
      <protection locked="0"/>
    </xf>
    <xf numFmtId="9" fontId="6" fillId="4" borderId="0" xfId="6" applyFont="1" applyFill="1" applyBorder="1" applyAlignment="1" applyProtection="1">
      <alignment horizontal="right"/>
      <protection locked="0"/>
    </xf>
    <xf numFmtId="9" fontId="6" fillId="4" borderId="69" xfId="6" applyFont="1" applyFill="1" applyBorder="1" applyAlignment="1" applyProtection="1">
      <alignment horizontal="right"/>
      <protection locked="0"/>
    </xf>
    <xf numFmtId="9" fontId="6" fillId="4" borderId="50" xfId="6" applyFont="1" applyFill="1" applyBorder="1" applyAlignment="1" applyProtection="1">
      <alignment horizontal="right"/>
      <protection locked="0"/>
    </xf>
    <xf numFmtId="9" fontId="11" fillId="20" borderId="26" xfId="6" applyFont="1" applyFill="1" applyBorder="1" applyAlignment="1" applyProtection="1">
      <alignment horizontal="right"/>
      <protection locked="0"/>
    </xf>
    <xf numFmtId="9" fontId="6" fillId="20" borderId="118" xfId="6" applyFont="1" applyFill="1" applyBorder="1" applyAlignment="1" applyProtection="1">
      <alignment horizontal="right"/>
      <protection locked="0"/>
    </xf>
    <xf numFmtId="9" fontId="6" fillId="4" borderId="124" xfId="6" applyFont="1" applyFill="1" applyBorder="1" applyAlignment="1" applyProtection="1">
      <alignment horizontal="center" vertical="center"/>
      <protection locked="0"/>
    </xf>
    <xf numFmtId="9" fontId="54" fillId="4" borderId="130" xfId="6" applyFont="1" applyFill="1" applyBorder="1" applyAlignment="1" applyProtection="1">
      <alignment horizontal="left" vertical="center"/>
      <protection locked="0"/>
    </xf>
    <xf numFmtId="0" fontId="54" fillId="23" borderId="130" xfId="0" applyFont="1" applyFill="1" applyBorder="1" applyAlignment="1" applyProtection="1">
      <alignment horizontal="left" vertical="top"/>
      <protection locked="0"/>
    </xf>
    <xf numFmtId="1" fontId="6" fillId="4" borderId="130" xfId="6" applyNumberFormat="1" applyFont="1" applyFill="1" applyBorder="1" applyAlignment="1" applyProtection="1">
      <alignment horizontal="center" vertical="center"/>
      <protection locked="0"/>
    </xf>
    <xf numFmtId="9" fontId="6" fillId="4" borderId="130" xfId="6" applyFont="1" applyFill="1" applyBorder="1" applyAlignment="1" applyProtection="1">
      <alignment horizontal="center" vertical="center"/>
      <protection locked="0"/>
    </xf>
    <xf numFmtId="1" fontId="22" fillId="4" borderId="130" xfId="6" applyNumberFormat="1" applyFont="1" applyFill="1" applyBorder="1" applyAlignment="1" applyProtection="1">
      <alignment horizontal="center" vertical="center"/>
      <protection locked="0"/>
    </xf>
    <xf numFmtId="9" fontId="51" fillId="4" borderId="130" xfId="6" applyFont="1" applyFill="1" applyBorder="1" applyAlignment="1" applyProtection="1">
      <alignment horizontal="center" vertical="center"/>
      <protection locked="0"/>
    </xf>
    <xf numFmtId="9" fontId="51" fillId="4" borderId="125" xfId="6" applyFont="1" applyFill="1" applyBorder="1" applyAlignment="1" applyProtection="1">
      <alignment horizontal="center" vertical="center"/>
      <protection locked="0"/>
    </xf>
    <xf numFmtId="9" fontId="6" fillId="4" borderId="126" xfId="6" applyFont="1" applyFill="1" applyBorder="1" applyAlignment="1" applyProtection="1">
      <alignment horizontal="center" vertical="center"/>
      <protection locked="0"/>
    </xf>
    <xf numFmtId="9" fontId="6" fillId="4" borderId="127" xfId="6" applyFont="1" applyFill="1" applyBorder="1" applyAlignment="1" applyProtection="1">
      <alignment horizontal="center" vertical="center"/>
      <protection locked="0"/>
    </xf>
    <xf numFmtId="9" fontId="6" fillId="4" borderId="128" xfId="6" applyFont="1" applyFill="1" applyBorder="1" applyAlignment="1" applyProtection="1">
      <alignment horizontal="center" vertical="center"/>
      <protection locked="0"/>
    </xf>
    <xf numFmtId="0" fontId="54" fillId="4" borderId="119" xfId="0" applyFont="1" applyFill="1" applyBorder="1" applyAlignment="1" applyProtection="1">
      <alignment horizontal="left" vertical="top"/>
      <protection locked="0"/>
    </xf>
    <xf numFmtId="2" fontId="6" fillId="4" borderId="119" xfId="6" applyNumberFormat="1" applyFont="1" applyFill="1" applyBorder="1" applyAlignment="1" applyProtection="1">
      <alignment horizontal="center" vertical="center"/>
      <protection locked="0"/>
    </xf>
    <xf numFmtId="9" fontId="6" fillId="4" borderId="119" xfId="6" applyFont="1" applyFill="1" applyBorder="1" applyAlignment="1" applyProtection="1">
      <alignment horizontal="center" vertical="center"/>
      <protection locked="0"/>
    </xf>
    <xf numFmtId="1" fontId="22" fillId="4" borderId="119" xfId="6" applyNumberFormat="1" applyFont="1" applyFill="1" applyBorder="1" applyAlignment="1" applyProtection="1">
      <alignment horizontal="center" vertical="center"/>
      <protection locked="0"/>
    </xf>
    <xf numFmtId="9" fontId="6" fillId="4" borderId="129" xfId="6" applyFont="1" applyFill="1" applyBorder="1" applyAlignment="1" applyProtection="1">
      <alignment horizontal="center" vertical="center"/>
      <protection locked="0"/>
    </xf>
    <xf numFmtId="0" fontId="83" fillId="42" borderId="0" xfId="5" applyFont="1" applyFill="1" applyAlignment="1">
      <alignment vertical="center"/>
    </xf>
    <xf numFmtId="0" fontId="83" fillId="42" borderId="0" xfId="5" applyFont="1" applyFill="1" applyAlignment="1">
      <alignment horizontal="left" vertical="center"/>
    </xf>
    <xf numFmtId="0" fontId="83" fillId="16" borderId="0" xfId="5" applyFont="1" applyFill="1" applyAlignment="1">
      <alignment vertical="center"/>
    </xf>
    <xf numFmtId="0" fontId="83" fillId="16" borderId="0" xfId="5" applyFont="1" applyFill="1" applyAlignment="1">
      <alignment horizontal="left" vertical="center"/>
    </xf>
    <xf numFmtId="0" fontId="27" fillId="16" borderId="0" xfId="5" applyFont="1" applyFill="1" applyAlignment="1">
      <alignment vertical="center"/>
    </xf>
    <xf numFmtId="0" fontId="27" fillId="16" borderId="0" xfId="5" applyFont="1" applyFill="1" applyAlignment="1">
      <alignment horizontal="left" vertical="center"/>
    </xf>
    <xf numFmtId="0" fontId="37" fillId="16" borderId="0" xfId="5" applyFont="1" applyFill="1" applyAlignment="1">
      <alignment vertical="center"/>
    </xf>
    <xf numFmtId="0" fontId="52" fillId="16" borderId="0" xfId="5" applyFont="1" applyFill="1" applyAlignment="1">
      <alignment vertical="center"/>
    </xf>
    <xf numFmtId="0" fontId="83" fillId="16" borderId="50" xfId="5" applyFont="1" applyFill="1" applyBorder="1" applyAlignment="1">
      <alignment vertical="center"/>
    </xf>
    <xf numFmtId="0" fontId="83" fillId="16" borderId="50" xfId="5" applyFont="1" applyFill="1" applyBorder="1" applyAlignment="1">
      <alignment horizontal="left" vertical="center"/>
    </xf>
    <xf numFmtId="1" fontId="17" fillId="4" borderId="65" xfId="11" applyNumberFormat="1" applyFont="1" applyFill="1" applyBorder="1" applyProtection="1"/>
    <xf numFmtId="1" fontId="6" fillId="4" borderId="65" xfId="0" applyNumberFormat="1" applyFont="1" applyFill="1" applyBorder="1"/>
    <xf numFmtId="0" fontId="6" fillId="4" borderId="124" xfId="4" applyFont="1" applyFill="1" applyBorder="1" applyProtection="1"/>
    <xf numFmtId="0" fontId="6" fillId="4" borderId="125" xfId="0" applyFont="1" applyFill="1" applyBorder="1"/>
    <xf numFmtId="0" fontId="6" fillId="4" borderId="126" xfId="4" applyFont="1" applyFill="1" applyBorder="1" applyProtection="1"/>
    <xf numFmtId="0" fontId="6" fillId="4" borderId="128" xfId="4" applyFont="1" applyFill="1" applyBorder="1" applyProtection="1"/>
    <xf numFmtId="1" fontId="6" fillId="4" borderId="129" xfId="0" applyNumberFormat="1" applyFont="1" applyFill="1" applyBorder="1" applyAlignment="1">
      <alignment horizontal="left"/>
    </xf>
    <xf numFmtId="0" fontId="6" fillId="4" borderId="125" xfId="0" applyFont="1" applyFill="1" applyBorder="1" applyAlignment="1">
      <alignment horizontal="left"/>
    </xf>
    <xf numFmtId="0" fontId="11" fillId="20" borderId="122" xfId="0" applyFont="1" applyFill="1" applyBorder="1" applyAlignment="1">
      <alignment vertical="top"/>
    </xf>
    <xf numFmtId="0" fontId="11" fillId="20" borderId="138" xfId="0" applyFont="1" applyFill="1" applyBorder="1" applyAlignment="1">
      <alignment vertical="top"/>
    </xf>
    <xf numFmtId="0" fontId="11" fillId="20" borderId="123" xfId="0" applyFont="1" applyFill="1" applyBorder="1" applyAlignment="1">
      <alignment vertical="top"/>
    </xf>
    <xf numFmtId="0" fontId="17" fillId="4" borderId="126" xfId="11" applyFont="1" applyFill="1" applyBorder="1" applyProtection="1"/>
    <xf numFmtId="0" fontId="17" fillId="4" borderId="127" xfId="11" applyFont="1" applyFill="1" applyBorder="1" applyProtection="1"/>
    <xf numFmtId="1" fontId="11" fillId="4" borderId="119" xfId="0" applyNumberFormat="1" applyFont="1" applyFill="1" applyBorder="1"/>
    <xf numFmtId="1" fontId="6" fillId="4" borderId="129" xfId="0" applyNumberFormat="1" applyFont="1" applyFill="1" applyBorder="1"/>
    <xf numFmtId="170" fontId="40" fillId="4" borderId="65" xfId="2" applyNumberFormat="1" applyFont="1" applyFill="1" applyBorder="1" applyAlignment="1">
      <alignment vertical="center"/>
    </xf>
    <xf numFmtId="170" fontId="52" fillId="4" borderId="65" xfId="2" applyNumberFormat="1" applyFont="1" applyFill="1" applyBorder="1" applyAlignment="1">
      <alignment horizontal="center" vertical="center"/>
    </xf>
    <xf numFmtId="168" fontId="52" fillId="4" borderId="65" xfId="2" applyFont="1" applyFill="1" applyBorder="1" applyAlignment="1">
      <alignment horizontal="center" vertical="center"/>
    </xf>
    <xf numFmtId="9" fontId="6" fillId="4" borderId="65" xfId="6" applyFont="1" applyFill="1" applyBorder="1"/>
    <xf numFmtId="170" fontId="6" fillId="4" borderId="65" xfId="2" applyNumberFormat="1" applyFont="1" applyFill="1" applyBorder="1"/>
    <xf numFmtId="174" fontId="6" fillId="4" borderId="65" xfId="2" applyNumberFormat="1" applyFont="1" applyFill="1" applyBorder="1"/>
    <xf numFmtId="1" fontId="6" fillId="4" borderId="65" xfId="6" applyNumberFormat="1" applyFont="1" applyFill="1" applyBorder="1"/>
    <xf numFmtId="174" fontId="49" fillId="4" borderId="65" xfId="2" applyNumberFormat="1" applyFont="1" applyFill="1" applyBorder="1" applyAlignment="1">
      <alignment horizontal="left"/>
    </xf>
    <xf numFmtId="0" fontId="21" fillId="4" borderId="124" xfId="0" applyFont="1" applyFill="1" applyBorder="1" applyAlignment="1">
      <alignment vertical="center"/>
    </xf>
    <xf numFmtId="170" fontId="40" fillId="4" borderId="130" xfId="2" applyNumberFormat="1" applyFont="1" applyFill="1" applyBorder="1" applyAlignment="1">
      <alignment vertical="center"/>
    </xf>
    <xf numFmtId="170" fontId="40" fillId="4" borderId="125" xfId="2" applyNumberFormat="1" applyFont="1" applyFill="1" applyBorder="1" applyAlignment="1">
      <alignment vertical="center"/>
    </xf>
    <xf numFmtId="0" fontId="21" fillId="4" borderId="126" xfId="0" applyFont="1" applyFill="1" applyBorder="1" applyAlignment="1">
      <alignment vertical="center"/>
    </xf>
    <xf numFmtId="170" fontId="40" fillId="4" borderId="127" xfId="2" applyNumberFormat="1" applyFont="1" applyFill="1" applyBorder="1" applyAlignment="1">
      <alignment vertical="center"/>
    </xf>
    <xf numFmtId="0" fontId="40" fillId="4" borderId="126" xfId="0" applyFont="1" applyFill="1" applyBorder="1" applyAlignment="1">
      <alignment vertical="center"/>
    </xf>
    <xf numFmtId="168" fontId="52" fillId="4" borderId="127" xfId="2" applyFont="1" applyFill="1" applyBorder="1" applyAlignment="1">
      <alignment horizontal="center" vertical="center"/>
    </xf>
    <xf numFmtId="0" fontId="40" fillId="4" borderId="128" xfId="0" applyFont="1" applyFill="1" applyBorder="1" applyAlignment="1">
      <alignment vertical="center"/>
    </xf>
    <xf numFmtId="9" fontId="52" fillId="23" borderId="119" xfId="6" applyFont="1" applyFill="1" applyBorder="1" applyAlignment="1">
      <alignment horizontal="center" vertical="center"/>
    </xf>
    <xf numFmtId="9" fontId="52" fillId="23" borderId="129" xfId="6" applyFont="1" applyFill="1" applyBorder="1" applyAlignment="1">
      <alignment horizontal="center" vertical="center"/>
    </xf>
    <xf numFmtId="0" fontId="31" fillId="4" borderId="122" xfId="0" applyFont="1" applyFill="1" applyBorder="1" applyAlignment="1">
      <alignment vertical="center"/>
    </xf>
    <xf numFmtId="170" fontId="41" fillId="4" borderId="138" xfId="2" applyNumberFormat="1" applyFont="1" applyFill="1" applyBorder="1" applyAlignment="1">
      <alignment vertical="center"/>
    </xf>
    <xf numFmtId="170" fontId="41" fillId="4" borderId="123" xfId="2" applyNumberFormat="1" applyFont="1" applyFill="1" applyBorder="1" applyAlignment="1">
      <alignment vertical="center"/>
    </xf>
    <xf numFmtId="9" fontId="6" fillId="4" borderId="130" xfId="6" applyFont="1" applyFill="1" applyBorder="1"/>
    <xf numFmtId="9" fontId="6" fillId="4" borderId="125" xfId="6" applyFont="1" applyFill="1" applyBorder="1"/>
    <xf numFmtId="170" fontId="6" fillId="4" borderId="127" xfId="2" applyNumberFormat="1" applyFont="1" applyFill="1" applyBorder="1"/>
    <xf numFmtId="9" fontId="6" fillId="4" borderId="119" xfId="6" applyFont="1" applyFill="1" applyBorder="1"/>
    <xf numFmtId="9" fontId="6" fillId="4" borderId="129" xfId="6" applyFont="1" applyFill="1" applyBorder="1"/>
    <xf numFmtId="0" fontId="11" fillId="4" borderId="122" xfId="0" applyFont="1" applyFill="1" applyBorder="1" applyAlignment="1">
      <alignment horizontal="left"/>
    </xf>
    <xf numFmtId="1" fontId="11" fillId="4" borderId="138" xfId="0" applyNumberFormat="1" applyFont="1" applyFill="1" applyBorder="1"/>
    <xf numFmtId="1" fontId="11" fillId="4" borderId="123" xfId="0" applyNumberFormat="1" applyFont="1" applyFill="1" applyBorder="1"/>
    <xf numFmtId="0" fontId="6" fillId="4" borderId="124" xfId="0" applyFont="1" applyFill="1" applyBorder="1" applyAlignment="1">
      <alignment horizontal="left"/>
    </xf>
    <xf numFmtId="9" fontId="21" fillId="4" borderId="130" xfId="6" applyFont="1" applyFill="1" applyBorder="1" applyAlignment="1">
      <alignment horizontal="center" vertical="center"/>
    </xf>
    <xf numFmtId="174" fontId="49" fillId="4" borderId="130" xfId="2" applyNumberFormat="1" applyFont="1" applyFill="1" applyBorder="1" applyAlignment="1">
      <alignment horizontal="left"/>
    </xf>
    <xf numFmtId="174" fontId="49" fillId="4" borderId="125" xfId="2" applyNumberFormat="1" applyFont="1" applyFill="1" applyBorder="1" applyAlignment="1">
      <alignment horizontal="left"/>
    </xf>
    <xf numFmtId="174" fontId="49" fillId="4" borderId="127" xfId="2" applyNumberFormat="1" applyFont="1" applyFill="1" applyBorder="1" applyAlignment="1">
      <alignment horizontal="left"/>
    </xf>
    <xf numFmtId="174" fontId="49" fillId="4" borderId="119" xfId="2" applyNumberFormat="1" applyFont="1" applyFill="1" applyBorder="1" applyAlignment="1">
      <alignment horizontal="left"/>
    </xf>
    <xf numFmtId="174" fontId="49" fillId="4" borderId="129" xfId="2" applyNumberFormat="1" applyFont="1" applyFill="1" applyBorder="1" applyAlignment="1">
      <alignment horizontal="left"/>
    </xf>
    <xf numFmtId="0" fontId="15" fillId="20" borderId="3" xfId="0" applyFont="1" applyFill="1" applyBorder="1" applyAlignment="1">
      <alignment horizontal="center" vertical="center"/>
    </xf>
    <xf numFmtId="9" fontId="41" fillId="20" borderId="3" xfId="0" applyNumberFormat="1" applyFont="1" applyFill="1" applyBorder="1" applyAlignment="1">
      <alignment horizontal="center" vertical="center"/>
    </xf>
    <xf numFmtId="0" fontId="11" fillId="20" borderId="4" xfId="5" applyFont="1" applyFill="1" applyBorder="1" applyAlignment="1">
      <alignment horizontal="left" vertical="center"/>
    </xf>
    <xf numFmtId="169" fontId="17" fillId="20" borderId="4" xfId="1" applyFont="1" applyFill="1" applyBorder="1" applyAlignment="1">
      <alignment vertical="center"/>
    </xf>
    <xf numFmtId="0" fontId="11" fillId="4" borderId="98" xfId="5" applyFont="1" applyFill="1" applyBorder="1" applyAlignment="1">
      <alignment horizontal="left" vertical="center" wrapText="1" indent="1"/>
    </xf>
    <xf numFmtId="0" fontId="11" fillId="4" borderId="99" xfId="5" applyFont="1" applyFill="1" applyBorder="1" applyAlignment="1">
      <alignment horizontal="left" vertical="center" wrapText="1" indent="1"/>
    </xf>
    <xf numFmtId="0" fontId="11" fillId="4" borderId="100" xfId="5" applyFont="1" applyFill="1" applyBorder="1" applyAlignment="1">
      <alignment horizontal="left" vertical="center" wrapText="1" indent="1"/>
    </xf>
    <xf numFmtId="0" fontId="6" fillId="4" borderId="141" xfId="0" applyFont="1" applyFill="1" applyBorder="1"/>
    <xf numFmtId="174" fontId="54" fillId="4" borderId="142" xfId="2" applyNumberFormat="1" applyFont="1" applyFill="1" applyBorder="1" applyAlignment="1">
      <alignment horizontal="right"/>
    </xf>
    <xf numFmtId="9" fontId="54" fillId="4" borderId="142" xfId="6" applyFont="1" applyFill="1" applyBorder="1" applyAlignment="1">
      <alignment horizontal="right" vertical="center"/>
    </xf>
    <xf numFmtId="174" fontId="11" fillId="4" borderId="123" xfId="2" applyNumberFormat="1" applyFont="1" applyFill="1" applyBorder="1"/>
    <xf numFmtId="0" fontId="6" fillId="4" borderId="141" xfId="0" applyFont="1" applyFill="1" applyBorder="1" applyAlignment="1" applyProtection="1">
      <alignment horizontal="left" vertical="center"/>
      <protection locked="0"/>
    </xf>
    <xf numFmtId="0" fontId="54" fillId="4" borderId="142" xfId="0" applyFont="1" applyFill="1" applyBorder="1" applyAlignment="1" applyProtection="1">
      <alignment horizontal="left" vertical="center"/>
      <protection locked="0"/>
    </xf>
    <xf numFmtId="174" fontId="11" fillId="4" borderId="123" xfId="0" applyNumberFormat="1" applyFont="1" applyFill="1" applyBorder="1" applyAlignment="1" applyProtection="1">
      <alignment horizontal="left" vertical="center"/>
      <protection locked="0"/>
    </xf>
    <xf numFmtId="170" fontId="54" fillId="4" borderId="141" xfId="2" applyNumberFormat="1" applyFont="1" applyFill="1" applyBorder="1" applyAlignment="1">
      <alignment vertical="center"/>
    </xf>
    <xf numFmtId="0" fontId="26" fillId="4" borderId="142" xfId="0" applyFont="1" applyFill="1" applyBorder="1" applyProtection="1">
      <protection locked="0"/>
    </xf>
    <xf numFmtId="0" fontId="17" fillId="4" borderId="122" xfId="5" applyFont="1" applyFill="1" applyBorder="1" applyAlignment="1">
      <alignment horizontal="left" vertical="center"/>
    </xf>
    <xf numFmtId="0" fontId="11" fillId="4" borderId="124" xfId="0" applyFont="1" applyFill="1" applyBorder="1"/>
    <xf numFmtId="0" fontId="11" fillId="4" borderId="126" xfId="0" applyFont="1" applyFill="1" applyBorder="1"/>
    <xf numFmtId="0" fontId="11" fillId="4" borderId="141" xfId="0" applyFont="1" applyFill="1" applyBorder="1"/>
    <xf numFmtId="0" fontId="11" fillId="4" borderId="132" xfId="0" applyFont="1" applyFill="1" applyBorder="1" applyAlignment="1">
      <alignment horizontal="left"/>
    </xf>
    <xf numFmtId="0" fontId="11" fillId="4" borderId="126" xfId="0" applyFont="1" applyFill="1" applyBorder="1" applyAlignment="1">
      <alignment horizontal="left"/>
    </xf>
    <xf numFmtId="0" fontId="11" fillId="4" borderId="126" xfId="5" applyFont="1" applyFill="1" applyBorder="1" applyAlignment="1" applyProtection="1">
      <alignment horizontal="left" vertical="center" wrapText="1"/>
      <protection locked="0"/>
    </xf>
    <xf numFmtId="0" fontId="11" fillId="4" borderId="126" xfId="5" applyFont="1" applyFill="1" applyBorder="1" applyAlignment="1" applyProtection="1">
      <alignment horizontal="left" vertical="center"/>
      <protection locked="0"/>
    </xf>
    <xf numFmtId="0" fontId="11" fillId="4" borderId="128" xfId="5" applyFont="1" applyFill="1" applyBorder="1" applyAlignment="1" applyProtection="1">
      <alignment horizontal="left" vertical="center" wrapText="1"/>
      <protection locked="0"/>
    </xf>
    <xf numFmtId="0" fontId="69" fillId="28" borderId="139" xfId="8" applyFont="1" applyFill="1" applyBorder="1" applyAlignment="1" applyProtection="1">
      <alignment horizontal="center" vertical="center" wrapText="1"/>
    </xf>
    <xf numFmtId="0" fontId="11" fillId="16" borderId="118" xfId="0" applyFont="1" applyFill="1" applyBorder="1" applyAlignment="1">
      <alignment vertical="center"/>
    </xf>
    <xf numFmtId="1" fontId="6" fillId="16" borderId="118" xfId="2" applyNumberFormat="1" applyFont="1" applyFill="1" applyBorder="1" applyAlignment="1" applyProtection="1">
      <alignment vertical="center" wrapText="1"/>
    </xf>
    <xf numFmtId="1" fontId="6" fillId="16" borderId="0" xfId="2" applyNumberFormat="1" applyFont="1" applyFill="1" applyBorder="1" applyAlignment="1" applyProtection="1">
      <alignment vertical="center" wrapText="1"/>
    </xf>
    <xf numFmtId="0" fontId="11" fillId="4" borderId="151" xfId="0" applyFont="1" applyFill="1" applyBorder="1" applyAlignment="1">
      <alignment horizontal="center" vertical="center"/>
    </xf>
    <xf numFmtId="0" fontId="106" fillId="16" borderId="73" xfId="9" applyFont="1" applyFill="1" applyBorder="1" applyAlignment="1" applyProtection="1">
      <alignment vertical="center"/>
    </xf>
    <xf numFmtId="0" fontId="106" fillId="16" borderId="50" xfId="0" applyFont="1" applyFill="1" applyBorder="1" applyAlignment="1">
      <alignment vertical="center"/>
    </xf>
    <xf numFmtId="9" fontId="6" fillId="11" borderId="126" xfId="6" applyFont="1" applyFill="1" applyBorder="1" applyAlignment="1" applyProtection="1">
      <alignment horizontal="center" vertical="center"/>
      <protection locked="0"/>
    </xf>
    <xf numFmtId="9" fontId="54" fillId="11" borderId="65" xfId="6" applyFont="1" applyFill="1" applyBorder="1" applyAlignment="1" applyProtection="1">
      <alignment horizontal="left" vertical="center"/>
      <protection locked="0"/>
    </xf>
    <xf numFmtId="0" fontId="54" fillId="11" borderId="65" xfId="0" applyFont="1" applyFill="1" applyBorder="1" applyAlignment="1" applyProtection="1">
      <alignment horizontal="left" vertical="top"/>
      <protection locked="0"/>
    </xf>
    <xf numFmtId="1" fontId="6" fillId="11" borderId="65" xfId="6" applyNumberFormat="1" applyFont="1" applyFill="1" applyBorder="1" applyAlignment="1" applyProtection="1">
      <alignment horizontal="center" vertical="center"/>
      <protection locked="0"/>
    </xf>
    <xf numFmtId="9" fontId="6" fillId="11" borderId="65" xfId="6" applyFont="1" applyFill="1" applyBorder="1" applyAlignment="1" applyProtection="1">
      <alignment horizontal="center" vertical="center"/>
      <protection locked="0"/>
    </xf>
    <xf numFmtId="1" fontId="22" fillId="11" borderId="65" xfId="6" applyNumberFormat="1" applyFont="1" applyFill="1" applyBorder="1" applyAlignment="1" applyProtection="1">
      <alignment horizontal="center" vertical="center"/>
      <protection locked="0"/>
    </xf>
    <xf numFmtId="2" fontId="6" fillId="11" borderId="65" xfId="6" applyNumberFormat="1" applyFont="1" applyFill="1" applyBorder="1" applyAlignment="1" applyProtection="1">
      <alignment horizontal="center" vertical="center"/>
      <protection locked="0"/>
    </xf>
    <xf numFmtId="9" fontId="51" fillId="11" borderId="65" xfId="6" applyFont="1" applyFill="1" applyBorder="1" applyAlignment="1" applyProtection="1">
      <alignment horizontal="center" vertical="center"/>
      <protection locked="0"/>
    </xf>
    <xf numFmtId="9" fontId="51" fillId="11" borderId="127" xfId="6" applyFont="1" applyFill="1" applyBorder="1" applyAlignment="1" applyProtection="1">
      <alignment horizontal="center" vertical="center"/>
      <protection locked="0"/>
    </xf>
    <xf numFmtId="9" fontId="6" fillId="11" borderId="127" xfId="6" applyFont="1" applyFill="1" applyBorder="1" applyAlignment="1" applyProtection="1">
      <alignment horizontal="center" vertical="center"/>
      <protection locked="0"/>
    </xf>
    <xf numFmtId="0" fontId="6" fillId="11" borderId="65" xfId="0" applyFont="1" applyFill="1" applyBorder="1" applyAlignment="1" applyProtection="1">
      <alignment horizontal="left" vertical="top"/>
      <protection locked="0"/>
    </xf>
    <xf numFmtId="0" fontId="6" fillId="11" borderId="65" xfId="0" applyFont="1" applyFill="1" applyBorder="1" applyAlignment="1" applyProtection="1">
      <alignment horizontal="center" vertical="center"/>
      <protection locked="0"/>
    </xf>
    <xf numFmtId="9" fontId="6" fillId="11" borderId="141" xfId="6" applyFont="1" applyFill="1" applyBorder="1" applyAlignment="1" applyProtection="1">
      <alignment horizontal="center" vertical="center"/>
      <protection locked="0"/>
    </xf>
    <xf numFmtId="0" fontId="54" fillId="11" borderId="134" xfId="0" applyFont="1" applyFill="1" applyBorder="1" applyAlignment="1" applyProtection="1">
      <alignment horizontal="left" vertical="top"/>
      <protection locked="0"/>
    </xf>
    <xf numFmtId="2" fontId="6" fillId="11" borderId="134" xfId="6" applyNumberFormat="1" applyFont="1" applyFill="1" applyBorder="1" applyAlignment="1" applyProtection="1">
      <alignment horizontal="center" vertical="center"/>
      <protection locked="0"/>
    </xf>
    <xf numFmtId="9" fontId="6" fillId="11" borderId="134" xfId="6" applyFont="1" applyFill="1" applyBorder="1" applyAlignment="1" applyProtection="1">
      <alignment horizontal="center" vertical="center"/>
      <protection locked="0"/>
    </xf>
    <xf numFmtId="1" fontId="22" fillId="11" borderId="134" xfId="6" applyNumberFormat="1" applyFont="1" applyFill="1" applyBorder="1" applyAlignment="1" applyProtection="1">
      <alignment horizontal="center" vertical="center"/>
      <protection locked="0"/>
    </xf>
    <xf numFmtId="0" fontId="6" fillId="11" borderId="134" xfId="0" applyFont="1" applyFill="1" applyBorder="1" applyAlignment="1" applyProtection="1">
      <alignment horizontal="center" vertical="center"/>
      <protection locked="0"/>
    </xf>
    <xf numFmtId="9" fontId="6" fillId="11" borderId="142" xfId="6" applyFont="1" applyFill="1" applyBorder="1" applyAlignment="1" applyProtection="1">
      <alignment horizontal="center" vertical="center"/>
      <protection locked="0"/>
    </xf>
    <xf numFmtId="0" fontId="54" fillId="47" borderId="124" xfId="0" applyFont="1" applyFill="1" applyBorder="1" applyAlignment="1" applyProtection="1">
      <alignment horizontal="left" vertical="center"/>
      <protection locked="0"/>
    </xf>
    <xf numFmtId="0" fontId="54" fillId="4" borderId="130" xfId="0" applyFont="1" applyFill="1" applyBorder="1" applyAlignment="1" applyProtection="1">
      <alignment horizontal="left" vertical="center"/>
      <protection locked="0"/>
    </xf>
    <xf numFmtId="0" fontId="54" fillId="16" borderId="130" xfId="0" applyFont="1" applyFill="1" applyBorder="1" applyAlignment="1" applyProtection="1">
      <alignment horizontal="left" vertical="center"/>
      <protection locked="0"/>
    </xf>
    <xf numFmtId="0" fontId="54" fillId="4" borderId="130" xfId="0" applyFont="1" applyFill="1" applyBorder="1" applyAlignment="1" applyProtection="1">
      <alignment horizontal="center" vertical="center"/>
      <protection locked="0"/>
    </xf>
    <xf numFmtId="0" fontId="54" fillId="47" borderId="126" xfId="0" applyFont="1" applyFill="1" applyBorder="1" applyAlignment="1" applyProtection="1">
      <alignment horizontal="left" vertical="center"/>
      <protection locked="0"/>
    </xf>
    <xf numFmtId="0" fontId="54" fillId="4" borderId="65" xfId="0" applyFont="1" applyFill="1" applyBorder="1" applyAlignment="1" applyProtection="1">
      <alignment horizontal="left" vertical="center"/>
      <protection locked="0"/>
    </xf>
    <xf numFmtId="0" fontId="54" fillId="16" borderId="65" xfId="0" applyFont="1" applyFill="1" applyBorder="1" applyAlignment="1" applyProtection="1">
      <alignment horizontal="left" vertical="center"/>
      <protection locked="0"/>
    </xf>
    <xf numFmtId="0" fontId="54" fillId="4" borderId="65" xfId="0" applyFont="1" applyFill="1" applyBorder="1" applyAlignment="1" applyProtection="1">
      <alignment vertical="center"/>
      <protection locked="0"/>
    </xf>
    <xf numFmtId="0" fontId="54" fillId="4" borderId="65" xfId="0" applyFont="1" applyFill="1" applyBorder="1" applyAlignment="1" applyProtection="1">
      <alignment horizontal="center" vertical="center"/>
      <protection locked="0"/>
    </xf>
    <xf numFmtId="0" fontId="54" fillId="47" borderId="128" xfId="0" applyFont="1" applyFill="1" applyBorder="1" applyAlignment="1" applyProtection="1">
      <alignment horizontal="left" vertical="center"/>
      <protection locked="0"/>
    </xf>
    <xf numFmtId="0" fontId="54" fillId="4" borderId="119" xfId="0" applyFont="1" applyFill="1" applyBorder="1" applyAlignment="1" applyProtection="1">
      <alignment horizontal="left" vertical="center"/>
      <protection locked="0"/>
    </xf>
    <xf numFmtId="0" fontId="54" fillId="16" borderId="119" xfId="0" applyFont="1" applyFill="1" applyBorder="1" applyAlignment="1" applyProtection="1">
      <alignment horizontal="left" vertical="center"/>
      <protection locked="0"/>
    </xf>
    <xf numFmtId="0" fontId="54" fillId="4" borderId="119" xfId="0" applyFont="1" applyFill="1" applyBorder="1" applyAlignment="1" applyProtection="1">
      <alignment vertical="center"/>
      <protection locked="0"/>
    </xf>
    <xf numFmtId="0" fontId="54" fillId="4" borderId="119" xfId="0" applyFont="1" applyFill="1" applyBorder="1" applyAlignment="1" applyProtection="1">
      <alignment horizontal="center" vertical="center"/>
      <protection locked="0"/>
    </xf>
    <xf numFmtId="0" fontId="22" fillId="16" borderId="0" xfId="0" applyFont="1" applyFill="1" applyAlignment="1" applyProtection="1">
      <alignment horizontal="left" vertical="center"/>
      <protection locked="0"/>
    </xf>
    <xf numFmtId="0" fontId="22" fillId="16" borderId="0" xfId="0" applyFont="1" applyFill="1" applyAlignment="1" applyProtection="1">
      <alignment vertical="center"/>
      <protection locked="0"/>
    </xf>
    <xf numFmtId="0" fontId="22" fillId="16" borderId="0" xfId="0" applyFont="1" applyFill="1" applyAlignment="1" applyProtection="1">
      <alignment horizontal="center" vertical="center"/>
      <protection locked="0"/>
    </xf>
    <xf numFmtId="0" fontId="22" fillId="16" borderId="0" xfId="0" applyFont="1" applyFill="1" applyAlignment="1">
      <alignment horizontal="center" vertical="center"/>
    </xf>
    <xf numFmtId="0" fontId="17" fillId="16" borderId="0" xfId="0" applyFont="1" applyFill="1" applyAlignment="1">
      <alignment horizontal="center" vertical="center"/>
    </xf>
    <xf numFmtId="0" fontId="22" fillId="16" borderId="0" xfId="0" applyFont="1" applyFill="1" applyAlignment="1" applyProtection="1">
      <alignment horizontal="center"/>
      <protection locked="0"/>
    </xf>
    <xf numFmtId="0" fontId="22" fillId="4" borderId="130" xfId="0" applyFont="1" applyFill="1" applyBorder="1" applyAlignment="1" applyProtection="1">
      <alignment vertical="center"/>
      <protection locked="0"/>
    </xf>
    <xf numFmtId="0" fontId="22" fillId="4" borderId="65" xfId="0" applyFont="1" applyFill="1" applyBorder="1" applyAlignment="1" applyProtection="1">
      <alignment vertical="center"/>
      <protection locked="0"/>
    </xf>
    <xf numFmtId="0" fontId="22" fillId="4" borderId="119" xfId="0" applyFont="1" applyFill="1" applyBorder="1" applyAlignment="1" applyProtection="1">
      <alignment vertical="center"/>
      <protection locked="0"/>
    </xf>
    <xf numFmtId="0" fontId="11" fillId="20" borderId="1" xfId="0" applyFont="1" applyFill="1" applyBorder="1" applyAlignment="1">
      <alignment horizontal="left"/>
    </xf>
    <xf numFmtId="0" fontId="6" fillId="16" borderId="0" xfId="0" applyFont="1" applyFill="1" applyAlignment="1">
      <alignment horizontal="left" vertical="top" wrapText="1" indent="4"/>
    </xf>
    <xf numFmtId="0" fontId="11" fillId="16" borderId="0" xfId="0" applyFont="1" applyFill="1" applyAlignment="1">
      <alignment horizontal="left" vertical="top" wrapText="1"/>
    </xf>
    <xf numFmtId="9" fontId="6" fillId="16" borderId="0" xfId="0" applyNumberFormat="1" applyFont="1" applyFill="1" applyAlignment="1">
      <alignment horizontal="center" vertical="top"/>
    </xf>
    <xf numFmtId="0" fontId="26" fillId="16" borderId="0" xfId="0" applyFont="1" applyFill="1" applyAlignment="1">
      <alignment vertical="top"/>
    </xf>
    <xf numFmtId="0" fontId="113" fillId="16" borderId="0" xfId="5" applyFont="1" applyFill="1" applyAlignment="1">
      <alignment horizontal="left" vertical="center" wrapText="1"/>
    </xf>
    <xf numFmtId="0" fontId="6" fillId="6" borderId="0" xfId="0" applyFont="1" applyFill="1"/>
    <xf numFmtId="0" fontId="26" fillId="16" borderId="0" xfId="0" applyFont="1" applyFill="1" applyAlignment="1">
      <alignment horizontal="left" vertical="top" wrapText="1"/>
    </xf>
    <xf numFmtId="0" fontId="6" fillId="16" borderId="0" xfId="0" applyFont="1" applyFill="1" applyAlignment="1">
      <alignment horizontal="left" vertical="top" wrapText="1"/>
    </xf>
    <xf numFmtId="171" fontId="26" fillId="16" borderId="0" xfId="0" applyNumberFormat="1" applyFont="1" applyFill="1" applyAlignment="1">
      <alignment horizontal="center" vertical="top"/>
    </xf>
    <xf numFmtId="14" fontId="26" fillId="0" borderId="0" xfId="0" applyNumberFormat="1" applyFont="1" applyAlignment="1">
      <alignment vertical="center"/>
    </xf>
    <xf numFmtId="0" fontId="6" fillId="16" borderId="0" xfId="0" quotePrefix="1" applyFont="1" applyFill="1" applyAlignment="1">
      <alignment horizontal="left" vertical="top" wrapText="1"/>
    </xf>
    <xf numFmtId="0" fontId="116" fillId="16" borderId="0" xfId="5" applyFont="1" applyFill="1" applyAlignment="1">
      <alignment vertical="center"/>
    </xf>
    <xf numFmtId="0" fontId="26" fillId="16" borderId="0" xfId="0" applyFont="1" applyFill="1" applyAlignment="1">
      <alignment horizontal="left" vertical="top"/>
    </xf>
    <xf numFmtId="0" fontId="26" fillId="16" borderId="0" xfId="0" applyFont="1" applyFill="1" applyAlignment="1">
      <alignment horizontal="left" vertical="top" indent="4"/>
    </xf>
    <xf numFmtId="0" fontId="26" fillId="16" borderId="0" xfId="0" applyFont="1" applyFill="1" applyAlignment="1">
      <alignment horizontal="left" vertical="top" indent="8"/>
    </xf>
    <xf numFmtId="0" fontId="22" fillId="4" borderId="130" xfId="0" applyFont="1" applyFill="1" applyBorder="1" applyAlignment="1" applyProtection="1">
      <alignment horizontal="center" vertical="center"/>
      <protection locked="0"/>
    </xf>
    <xf numFmtId="0" fontId="22" fillId="4" borderId="65" xfId="0" applyFont="1" applyFill="1" applyBorder="1" applyAlignment="1" applyProtection="1">
      <alignment horizontal="center" vertical="center"/>
      <protection locked="0"/>
    </xf>
    <xf numFmtId="0" fontId="106" fillId="16" borderId="50" xfId="9" applyFont="1" applyFill="1" applyBorder="1" applyAlignment="1" applyProtection="1">
      <alignment vertical="center"/>
    </xf>
    <xf numFmtId="0" fontId="26" fillId="16" borderId="0" xfId="0" quotePrefix="1" applyFont="1" applyFill="1" applyAlignment="1" applyProtection="1">
      <alignment horizontal="left" vertical="top" wrapText="1"/>
      <protection locked="0"/>
    </xf>
    <xf numFmtId="14" fontId="26" fillId="0" borderId="61" xfId="0" applyNumberFormat="1" applyFont="1" applyBorder="1" applyAlignment="1">
      <alignment vertical="center"/>
    </xf>
    <xf numFmtId="14" fontId="26" fillId="0" borderId="79" xfId="0" applyNumberFormat="1" applyFont="1" applyBorder="1" applyAlignment="1">
      <alignment vertical="center"/>
    </xf>
    <xf numFmtId="14" fontId="6" fillId="4" borderId="0" xfId="0" applyNumberFormat="1" applyFont="1" applyFill="1" applyAlignment="1">
      <alignment horizontal="right" vertical="center"/>
    </xf>
    <xf numFmtId="172" fontId="26" fillId="16" borderId="0" xfId="0" applyNumberFormat="1" applyFont="1" applyFill="1" applyAlignment="1" applyProtection="1">
      <alignment horizontal="left" vertical="top" wrapText="1"/>
      <protection locked="0"/>
    </xf>
    <xf numFmtId="0" fontId="18" fillId="4" borderId="1" xfId="0" applyFont="1" applyFill="1" applyBorder="1" applyAlignment="1">
      <alignment vertical="center"/>
    </xf>
    <xf numFmtId="0" fontId="113" fillId="16" borderId="0" xfId="1" applyNumberFormat="1" applyFont="1" applyFill="1" applyBorder="1" applyAlignment="1">
      <alignment horizontal="left" vertical="top" wrapText="1"/>
    </xf>
    <xf numFmtId="174" fontId="6" fillId="4" borderId="65" xfId="17" applyNumberFormat="1" applyFont="1" applyFill="1" applyBorder="1" applyAlignment="1">
      <alignment horizontal="center"/>
    </xf>
    <xf numFmtId="174" fontId="6" fillId="4" borderId="127" xfId="17" applyNumberFormat="1" applyFont="1" applyFill="1" applyBorder="1" applyAlignment="1">
      <alignment horizontal="center"/>
    </xf>
    <xf numFmtId="174" fontId="6" fillId="4" borderId="119" xfId="7" applyNumberFormat="1" applyFont="1" applyFill="1" applyBorder="1" applyAlignment="1">
      <alignment horizontal="center"/>
    </xf>
    <xf numFmtId="174" fontId="6" fillId="4" borderId="129" xfId="7" applyNumberFormat="1" applyFont="1" applyFill="1" applyBorder="1" applyAlignment="1">
      <alignment horizontal="center"/>
    </xf>
    <xf numFmtId="0" fontId="106" fillId="16" borderId="0" xfId="1" applyNumberFormat="1" applyFont="1" applyFill="1" applyBorder="1" applyAlignment="1">
      <alignment vertical="center"/>
    </xf>
    <xf numFmtId="0" fontId="31" fillId="4" borderId="141" xfId="0" applyFont="1" applyFill="1" applyBorder="1" applyAlignment="1">
      <alignment horizontal="left" vertical="center"/>
    </xf>
    <xf numFmtId="0" fontId="31" fillId="4" borderId="122" xfId="0" applyFont="1" applyFill="1" applyBorder="1" applyAlignment="1">
      <alignment horizontal="left" vertical="center"/>
    </xf>
    <xf numFmtId="0" fontId="31" fillId="4" borderId="143" xfId="0" applyFont="1" applyFill="1" applyBorder="1" applyAlignment="1">
      <alignment vertical="center"/>
    </xf>
    <xf numFmtId="0" fontId="31" fillId="4" borderId="126" xfId="0" applyFont="1" applyFill="1" applyBorder="1" applyAlignment="1">
      <alignment vertical="center"/>
    </xf>
    <xf numFmtId="0" fontId="31" fillId="4" borderId="124" xfId="0" applyFont="1" applyFill="1" applyBorder="1" applyAlignment="1">
      <alignment vertical="center"/>
    </xf>
    <xf numFmtId="0" fontId="26" fillId="16" borderId="0" xfId="0" applyFont="1" applyFill="1" applyAlignment="1">
      <alignment horizontal="left" vertical="top" wrapText="1" indent="7"/>
    </xf>
    <xf numFmtId="0" fontId="17" fillId="20" borderId="3" xfId="0" applyFont="1" applyFill="1" applyBorder="1" applyAlignment="1">
      <alignment horizontal="center" vertical="center"/>
    </xf>
    <xf numFmtId="0" fontId="26" fillId="16" borderId="0" xfId="1" applyNumberFormat="1" applyFont="1" applyFill="1" applyAlignment="1">
      <alignment vertical="top"/>
    </xf>
    <xf numFmtId="0" fontId="13" fillId="16" borderId="0" xfId="4" applyFont="1" applyFill="1" applyBorder="1" applyProtection="1"/>
    <xf numFmtId="2" fontId="6" fillId="16" borderId="0" xfId="10" applyNumberFormat="1" applyFont="1" applyFill="1" applyBorder="1" applyAlignment="1" applyProtection="1">
      <alignment horizontal="right" wrapText="1"/>
    </xf>
    <xf numFmtId="9" fontId="6" fillId="16" borderId="0" xfId="6" applyFont="1" applyFill="1" applyBorder="1" applyAlignment="1">
      <alignment horizontal="right"/>
    </xf>
    <xf numFmtId="0" fontId="6" fillId="16" borderId="0" xfId="0" quotePrefix="1" applyFont="1" applyFill="1" applyAlignment="1">
      <alignment horizontal="left" wrapText="1" indent="1"/>
    </xf>
    <xf numFmtId="0" fontId="11" fillId="4" borderId="130" xfId="0" applyFont="1" applyFill="1" applyBorder="1" applyAlignment="1">
      <alignment horizontal="center" vertical="center"/>
    </xf>
    <xf numFmtId="1" fontId="6" fillId="4" borderId="65" xfId="6" applyNumberFormat="1" applyFont="1" applyFill="1" applyBorder="1" applyAlignment="1">
      <alignment horizontal="center" vertical="center"/>
    </xf>
    <xf numFmtId="1" fontId="6" fillId="4" borderId="134" xfId="6" applyNumberFormat="1" applyFont="1" applyFill="1" applyBorder="1" applyAlignment="1">
      <alignment horizontal="center"/>
    </xf>
    <xf numFmtId="1" fontId="11" fillId="4" borderId="138" xfId="6" applyNumberFormat="1" applyFont="1" applyFill="1" applyBorder="1" applyAlignment="1">
      <alignment horizontal="center"/>
    </xf>
    <xf numFmtId="9" fontId="6" fillId="4" borderId="125" xfId="6" applyFont="1" applyFill="1" applyBorder="1" applyAlignment="1">
      <alignment horizontal="center"/>
    </xf>
    <xf numFmtId="0" fontId="6" fillId="4" borderId="127" xfId="0" applyFont="1" applyFill="1" applyBorder="1" applyAlignment="1">
      <alignment horizontal="center"/>
    </xf>
    <xf numFmtId="0" fontId="6" fillId="4" borderId="127" xfId="0" applyFont="1" applyFill="1" applyBorder="1" applyAlignment="1">
      <alignment horizontal="center" vertical="center"/>
    </xf>
    <xf numFmtId="0" fontId="6" fillId="4" borderId="142" xfId="0" applyFont="1" applyFill="1" applyBorder="1" applyAlignment="1">
      <alignment horizontal="center"/>
    </xf>
    <xf numFmtId="0" fontId="11" fillId="4" borderId="123" xfId="0" applyFont="1" applyFill="1" applyBorder="1" applyAlignment="1">
      <alignment horizontal="center"/>
    </xf>
    <xf numFmtId="0" fontId="6" fillId="16" borderId="0" xfId="5" applyFont="1" applyFill="1" applyAlignment="1">
      <alignment horizontal="left" vertical="center" wrapText="1"/>
    </xf>
    <xf numFmtId="169" fontId="22" fillId="16" borderId="0" xfId="1" applyFont="1" applyFill="1" applyAlignment="1">
      <alignment horizontal="left" vertical="top" wrapText="1" indent="2"/>
    </xf>
    <xf numFmtId="0" fontId="22" fillId="4" borderId="148" xfId="5" applyFont="1" applyFill="1" applyBorder="1" applyAlignment="1">
      <alignment horizontal="left" vertical="center" wrapText="1" indent="2"/>
    </xf>
    <xf numFmtId="0" fontId="22" fillId="4" borderId="149" xfId="5" applyFont="1" applyFill="1" applyBorder="1" applyAlignment="1">
      <alignment horizontal="left" vertical="center" wrapText="1" indent="2"/>
    </xf>
    <xf numFmtId="0" fontId="22" fillId="4" borderId="150" xfId="5" applyFont="1" applyFill="1" applyBorder="1" applyAlignment="1">
      <alignment horizontal="left" vertical="center" wrapText="1" indent="2"/>
    </xf>
    <xf numFmtId="0" fontId="26" fillId="16" borderId="0" xfId="0" applyFont="1" applyFill="1" applyAlignment="1">
      <alignment vertical="top" wrapText="1"/>
    </xf>
    <xf numFmtId="0" fontId="26" fillId="16" borderId="118" xfId="0" quotePrefix="1" applyFont="1" applyFill="1" applyBorder="1" applyAlignment="1" applyProtection="1">
      <alignment vertical="top" wrapText="1"/>
      <protection locked="0"/>
    </xf>
    <xf numFmtId="172" fontId="26" fillId="16" borderId="0" xfId="0" applyNumberFormat="1" applyFont="1" applyFill="1" applyAlignment="1" applyProtection="1">
      <alignment vertical="top" wrapText="1"/>
      <protection locked="0"/>
    </xf>
    <xf numFmtId="170" fontId="54" fillId="47" borderId="5" xfId="2" applyNumberFormat="1" applyFont="1" applyFill="1" applyBorder="1" applyProtection="1">
      <protection locked="0"/>
    </xf>
    <xf numFmtId="170" fontId="54" fillId="47" borderId="3" xfId="2" applyNumberFormat="1" applyFont="1" applyFill="1" applyBorder="1" applyProtection="1">
      <protection locked="0"/>
    </xf>
    <xf numFmtId="170" fontId="54" fillId="47" borderId="112" xfId="2" applyNumberFormat="1" applyFont="1" applyFill="1" applyBorder="1" applyAlignment="1" applyProtection="1">
      <alignment vertical="center"/>
      <protection locked="0"/>
    </xf>
    <xf numFmtId="0" fontId="54" fillId="47" borderId="113" xfId="0" applyFont="1" applyFill="1" applyBorder="1" applyAlignment="1" applyProtection="1">
      <alignment horizontal="left" indent="1"/>
      <protection locked="0"/>
    </xf>
    <xf numFmtId="0" fontId="120" fillId="42" borderId="0" xfId="5" applyFont="1" applyFill="1" applyAlignment="1">
      <alignment vertical="center"/>
    </xf>
    <xf numFmtId="0" fontId="11" fillId="4" borderId="110" xfId="4" applyFont="1" applyFill="1" applyBorder="1" applyAlignment="1">
      <alignment horizontal="left" vertical="center" wrapText="1" indent="1"/>
    </xf>
    <xf numFmtId="0" fontId="11" fillId="4" borderId="104" xfId="4" applyFont="1" applyFill="1" applyBorder="1" applyAlignment="1">
      <alignment horizontal="left" vertical="center" wrapText="1" indent="1"/>
    </xf>
    <xf numFmtId="0" fontId="11" fillId="4" borderId="111" xfId="4" applyFont="1" applyFill="1" applyBorder="1" applyAlignment="1">
      <alignment horizontal="left" vertical="center" wrapText="1" indent="1"/>
    </xf>
    <xf numFmtId="0" fontId="54" fillId="4" borderId="125" xfId="0" applyFont="1" applyFill="1" applyBorder="1" applyAlignment="1" applyProtection="1">
      <alignment horizontal="center" vertical="center"/>
      <protection locked="0"/>
    </xf>
    <xf numFmtId="0" fontId="54" fillId="4" borderId="127" xfId="0" applyFont="1" applyFill="1" applyBorder="1" applyAlignment="1" applyProtection="1">
      <alignment horizontal="center" vertical="center"/>
      <protection locked="0"/>
    </xf>
    <xf numFmtId="0" fontId="54" fillId="4" borderId="129" xfId="0" applyFont="1" applyFill="1" applyBorder="1" applyAlignment="1" applyProtection="1">
      <alignment horizontal="center" vertical="center"/>
      <protection locked="0"/>
    </xf>
    <xf numFmtId="1" fontId="6" fillId="47" borderId="120" xfId="0" applyNumberFormat="1" applyFont="1" applyFill="1" applyBorder="1" applyAlignment="1" applyProtection="1">
      <alignment horizontal="center"/>
      <protection locked="0"/>
    </xf>
    <xf numFmtId="0" fontId="13" fillId="16" borderId="0" xfId="0" applyFont="1" applyFill="1" applyAlignment="1">
      <alignment horizontal="center" vertical="center"/>
    </xf>
    <xf numFmtId="0" fontId="107" fillId="16" borderId="0" xfId="0" applyFont="1" applyFill="1" applyAlignment="1">
      <alignment horizontal="center" vertical="center" wrapText="1"/>
    </xf>
    <xf numFmtId="0" fontId="18" fillId="20" borderId="3" xfId="3" applyFont="1" applyFill="1" applyBorder="1" applyAlignment="1" applyProtection="1">
      <alignment horizontal="center" vertical="center" wrapText="1"/>
      <protection locked="0"/>
    </xf>
    <xf numFmtId="0" fontId="18" fillId="20" borderId="2" xfId="3" applyFont="1" applyFill="1" applyBorder="1" applyAlignment="1" applyProtection="1">
      <alignment horizontal="center" vertical="center" wrapText="1"/>
      <protection locked="0"/>
    </xf>
    <xf numFmtId="0" fontId="24" fillId="20" borderId="3" xfId="0" applyFont="1" applyFill="1" applyBorder="1" applyAlignment="1">
      <alignment horizontal="center" vertical="center" wrapText="1"/>
    </xf>
    <xf numFmtId="0" fontId="18" fillId="20" borderId="3" xfId="3" applyFont="1" applyFill="1" applyBorder="1" applyAlignment="1" applyProtection="1">
      <alignment vertical="center" wrapText="1"/>
      <protection locked="0"/>
    </xf>
    <xf numFmtId="0" fontId="108" fillId="16" borderId="0" xfId="0" applyFont="1" applyFill="1" applyAlignment="1">
      <alignment horizontal="center" vertical="center" wrapText="1"/>
    </xf>
    <xf numFmtId="0" fontId="13" fillId="16" borderId="0" xfId="0" applyFont="1" applyFill="1" applyAlignment="1" applyProtection="1">
      <alignment horizontal="center" vertical="center"/>
      <protection locked="0"/>
    </xf>
    <xf numFmtId="1" fontId="6" fillId="47" borderId="159" xfId="0" applyNumberFormat="1" applyFont="1" applyFill="1" applyBorder="1" applyAlignment="1" applyProtection="1">
      <alignment horizontal="center"/>
      <protection locked="0"/>
    </xf>
    <xf numFmtId="1" fontId="6" fillId="47" borderId="160" xfId="0" applyNumberFormat="1" applyFont="1" applyFill="1" applyBorder="1" applyAlignment="1" applyProtection="1">
      <alignment horizontal="center"/>
      <protection locked="0"/>
    </xf>
    <xf numFmtId="1" fontId="6" fillId="47" borderId="131" xfId="0" applyNumberFormat="1" applyFont="1" applyFill="1" applyBorder="1" applyAlignment="1" applyProtection="1">
      <alignment horizontal="center"/>
      <protection locked="0"/>
    </xf>
    <xf numFmtId="1" fontId="6" fillId="47" borderId="154" xfId="0" applyNumberFormat="1" applyFont="1" applyFill="1" applyBorder="1" applyAlignment="1" applyProtection="1">
      <alignment horizontal="center"/>
      <protection locked="0"/>
    </xf>
    <xf numFmtId="1" fontId="6" fillId="4" borderId="163" xfId="0" applyNumberFormat="1" applyFont="1" applyFill="1" applyBorder="1"/>
    <xf numFmtId="1" fontId="6" fillId="4" borderId="164" xfId="0" applyNumberFormat="1" applyFont="1" applyFill="1" applyBorder="1"/>
    <xf numFmtId="1" fontId="6" fillId="4" borderId="164" xfId="0" applyNumberFormat="1" applyFont="1" applyFill="1" applyBorder="1" applyProtection="1">
      <protection locked="0"/>
    </xf>
    <xf numFmtId="1" fontId="6" fillId="4" borderId="165" xfId="0" applyNumberFormat="1" applyFont="1" applyFill="1" applyBorder="1" applyProtection="1">
      <protection locked="0"/>
    </xf>
    <xf numFmtId="1" fontId="0" fillId="0" borderId="0" xfId="0" applyNumberFormat="1" applyAlignment="1">
      <alignment horizontal="left" vertical="center"/>
    </xf>
    <xf numFmtId="0" fontId="0" fillId="0" borderId="0" xfId="0" applyAlignment="1">
      <alignment horizontal="left" vertical="center"/>
    </xf>
    <xf numFmtId="185" fontId="0" fillId="0" borderId="0" xfId="0" applyNumberFormat="1" applyAlignment="1">
      <alignment horizontal="left" vertical="center"/>
    </xf>
    <xf numFmtId="0" fontId="0" fillId="0" borderId="0" xfId="0" applyAlignment="1">
      <alignment horizontal="center" vertical="center"/>
    </xf>
    <xf numFmtId="0" fontId="122" fillId="50" borderId="166" xfId="0" applyFont="1" applyFill="1" applyBorder="1" applyAlignment="1">
      <alignment horizontal="left" vertical="center"/>
    </xf>
    <xf numFmtId="0" fontId="122" fillId="0" borderId="166" xfId="0" applyFont="1" applyBorder="1" applyAlignment="1">
      <alignment horizontal="left" vertical="center"/>
    </xf>
    <xf numFmtId="174" fontId="6" fillId="0" borderId="0" xfId="2" applyNumberFormat="1" applyFont="1" applyFill="1" applyBorder="1" applyAlignment="1">
      <alignment horizontal="center"/>
    </xf>
    <xf numFmtId="1" fontId="6" fillId="0" borderId="0" xfId="2" applyNumberFormat="1" applyFont="1" applyFill="1" applyBorder="1" applyAlignment="1">
      <alignment horizontal="center"/>
    </xf>
    <xf numFmtId="1" fontId="6" fillId="0" borderId="0" xfId="0" applyNumberFormat="1" applyFont="1" applyAlignment="1">
      <alignment horizontal="center"/>
    </xf>
    <xf numFmtId="0" fontId="69" fillId="0" borderId="0" xfId="0" applyFont="1"/>
    <xf numFmtId="1" fontId="69" fillId="0" borderId="0" xfId="0" applyNumberFormat="1" applyFont="1"/>
    <xf numFmtId="0" fontId="22" fillId="16" borderId="0" xfId="5" applyFont="1" applyFill="1" applyAlignment="1">
      <alignment horizontal="left" vertical="top" wrapText="1" indent="2"/>
    </xf>
    <xf numFmtId="9" fontId="6" fillId="16" borderId="27" xfId="6" applyFont="1" applyFill="1" applyBorder="1" applyAlignment="1" applyProtection="1">
      <alignment horizontal="right"/>
      <protection locked="0"/>
    </xf>
    <xf numFmtId="9" fontId="11" fillId="16" borderId="0" xfId="6" applyFont="1" applyFill="1" applyBorder="1" applyAlignment="1" applyProtection="1">
      <alignment horizontal="right"/>
      <protection locked="0"/>
    </xf>
    <xf numFmtId="9" fontId="6" fillId="16" borderId="0" xfId="6" applyFont="1" applyFill="1" applyBorder="1" applyAlignment="1" applyProtection="1">
      <alignment horizontal="right"/>
      <protection locked="0"/>
    </xf>
    <xf numFmtId="0" fontId="6" fillId="4" borderId="132" xfId="0" applyFont="1" applyFill="1" applyBorder="1" applyProtection="1">
      <protection locked="0"/>
    </xf>
    <xf numFmtId="0" fontId="54" fillId="4" borderId="121" xfId="0" applyFont="1" applyFill="1" applyBorder="1" applyProtection="1">
      <protection locked="0"/>
    </xf>
    <xf numFmtId="0" fontId="54" fillId="4" borderId="121" xfId="0" applyFont="1" applyFill="1" applyBorder="1" applyAlignment="1" applyProtection="1">
      <alignment wrapText="1"/>
      <protection locked="0"/>
    </xf>
    <xf numFmtId="1" fontId="22" fillId="4" borderId="133" xfId="0" applyNumberFormat="1" applyFont="1" applyFill="1" applyBorder="1" applyAlignment="1" applyProtection="1">
      <alignment horizontal="right"/>
      <protection locked="0"/>
    </xf>
    <xf numFmtId="0" fontId="6" fillId="20" borderId="162" xfId="0" quotePrefix="1" applyFont="1" applyFill="1" applyBorder="1" applyAlignment="1" applyProtection="1">
      <alignment horizontal="left" vertical="center"/>
      <protection locked="0"/>
    </xf>
    <xf numFmtId="1" fontId="6" fillId="4" borderId="0" xfId="0" applyNumberFormat="1" applyFont="1" applyFill="1" applyAlignment="1" applyProtection="1">
      <alignment horizontal="left"/>
      <protection locked="0"/>
    </xf>
    <xf numFmtId="1" fontId="6" fillId="4" borderId="50" xfId="0" applyNumberFormat="1" applyFont="1" applyFill="1" applyBorder="1" applyAlignment="1" applyProtection="1">
      <alignment horizontal="left"/>
      <protection locked="0"/>
    </xf>
    <xf numFmtId="0" fontId="6" fillId="4" borderId="65" xfId="0" applyFont="1" applyFill="1" applyBorder="1" applyAlignment="1">
      <alignment vertical="center"/>
    </xf>
    <xf numFmtId="1" fontId="6" fillId="47" borderId="167" xfId="0" applyNumberFormat="1" applyFont="1" applyFill="1" applyBorder="1" applyAlignment="1" applyProtection="1">
      <alignment horizontal="center"/>
      <protection locked="0"/>
    </xf>
    <xf numFmtId="1" fontId="6" fillId="4" borderId="168" xfId="0" applyNumberFormat="1" applyFont="1" applyFill="1" applyBorder="1"/>
    <xf numFmtId="1" fontId="6" fillId="4" borderId="169" xfId="0" applyNumberFormat="1" applyFont="1" applyFill="1" applyBorder="1"/>
    <xf numFmtId="1" fontId="6" fillId="4" borderId="169" xfId="0" applyNumberFormat="1" applyFont="1" applyFill="1" applyBorder="1" applyProtection="1">
      <protection locked="0"/>
    </xf>
    <xf numFmtId="1" fontId="6" fillId="4" borderId="170" xfId="0" applyNumberFormat="1" applyFont="1" applyFill="1" applyBorder="1" applyProtection="1">
      <protection locked="0"/>
    </xf>
    <xf numFmtId="1" fontId="11" fillId="0" borderId="4" xfId="12" applyNumberFormat="1" applyFont="1" applyBorder="1" applyAlignment="1" applyProtection="1">
      <alignment horizontal="center" vertical="center"/>
    </xf>
    <xf numFmtId="1" fontId="6" fillId="47" borderId="101" xfId="0" applyNumberFormat="1" applyFont="1" applyFill="1" applyBorder="1" applyAlignment="1" applyProtection="1">
      <alignment horizontal="center"/>
      <protection locked="0"/>
    </xf>
    <xf numFmtId="1" fontId="6" fillId="47" borderId="153" xfId="0" applyNumberFormat="1" applyFont="1" applyFill="1" applyBorder="1" applyAlignment="1" applyProtection="1">
      <alignment horizontal="center"/>
      <protection locked="0"/>
    </xf>
    <xf numFmtId="1" fontId="6" fillId="47" borderId="171" xfId="0" applyNumberFormat="1" applyFont="1" applyFill="1" applyBorder="1" applyAlignment="1" applyProtection="1">
      <alignment horizontal="center"/>
      <protection locked="0"/>
    </xf>
    <xf numFmtId="1" fontId="6" fillId="47" borderId="172" xfId="0" applyNumberFormat="1" applyFont="1" applyFill="1" applyBorder="1" applyAlignment="1" applyProtection="1">
      <alignment horizontal="center"/>
      <protection locked="0"/>
    </xf>
    <xf numFmtId="1" fontId="6" fillId="47" borderId="173" xfId="0" applyNumberFormat="1" applyFont="1" applyFill="1" applyBorder="1" applyAlignment="1" applyProtection="1">
      <alignment horizontal="center"/>
      <protection locked="0"/>
    </xf>
    <xf numFmtId="1" fontId="6" fillId="47" borderId="174" xfId="0" applyNumberFormat="1" applyFont="1" applyFill="1" applyBorder="1" applyAlignment="1" applyProtection="1">
      <alignment horizontal="center"/>
      <protection locked="0"/>
    </xf>
    <xf numFmtId="1" fontId="6" fillId="47" borderId="175" xfId="0" applyNumberFormat="1" applyFont="1" applyFill="1" applyBorder="1" applyAlignment="1" applyProtection="1">
      <alignment horizontal="center"/>
      <protection locked="0"/>
    </xf>
    <xf numFmtId="1" fontId="6" fillId="47" borderId="176" xfId="0" applyNumberFormat="1" applyFont="1" applyFill="1" applyBorder="1" applyAlignment="1" applyProtection="1">
      <alignment horizontal="center"/>
      <protection locked="0"/>
    </xf>
    <xf numFmtId="1" fontId="6" fillId="47" borderId="177" xfId="0" applyNumberFormat="1" applyFont="1" applyFill="1" applyBorder="1" applyAlignment="1" applyProtection="1">
      <alignment horizontal="center"/>
      <protection locked="0"/>
    </xf>
    <xf numFmtId="1" fontId="6" fillId="47" borderId="121" xfId="0" applyNumberFormat="1" applyFont="1" applyFill="1" applyBorder="1" applyAlignment="1" applyProtection="1">
      <alignment horizontal="center"/>
      <protection locked="0"/>
    </xf>
    <xf numFmtId="1" fontId="6" fillId="47" borderId="178" xfId="0" applyNumberFormat="1" applyFont="1" applyFill="1" applyBorder="1" applyAlignment="1" applyProtection="1">
      <alignment horizontal="center"/>
      <protection locked="0"/>
    </xf>
    <xf numFmtId="1" fontId="6" fillId="47" borderId="179" xfId="0" applyNumberFormat="1" applyFont="1" applyFill="1" applyBorder="1" applyAlignment="1" applyProtection="1">
      <alignment horizontal="center"/>
      <protection locked="0"/>
    </xf>
    <xf numFmtId="1" fontId="6" fillId="47" borderId="157" xfId="0" applyNumberFormat="1" applyFont="1" applyFill="1" applyBorder="1" applyAlignment="1" applyProtection="1">
      <alignment horizontal="center"/>
      <protection locked="0"/>
    </xf>
    <xf numFmtId="1" fontId="11" fillId="0" borderId="3" xfId="12" applyNumberFormat="1" applyFont="1" applyBorder="1" applyAlignment="1">
      <alignment horizontal="center" vertical="center"/>
    </xf>
    <xf numFmtId="168" fontId="6" fillId="0" borderId="3" xfId="2" applyFont="1" applyBorder="1" applyAlignment="1">
      <alignment horizontal="center"/>
    </xf>
    <xf numFmtId="14" fontId="26" fillId="0" borderId="71" xfId="0" applyNumberFormat="1" applyFont="1" applyBorder="1" applyAlignment="1">
      <alignment vertical="center"/>
    </xf>
    <xf numFmtId="14" fontId="26" fillId="0" borderId="180" xfId="0" applyNumberFormat="1" applyFont="1" applyBorder="1" applyAlignment="1">
      <alignment vertical="center"/>
    </xf>
    <xf numFmtId="14" fontId="26" fillId="0" borderId="91" xfId="0" applyNumberFormat="1" applyFont="1" applyBorder="1" applyAlignment="1">
      <alignment vertical="center"/>
    </xf>
    <xf numFmtId="0" fontId="6" fillId="16" borderId="91" xfId="0" applyFont="1" applyFill="1" applyBorder="1"/>
    <xf numFmtId="1" fontId="6" fillId="47" borderId="156" xfId="0" applyNumberFormat="1" applyFont="1" applyFill="1" applyBorder="1" applyAlignment="1" applyProtection="1">
      <alignment horizontal="center"/>
      <protection locked="0"/>
    </xf>
    <xf numFmtId="1" fontId="6" fillId="47" borderId="134" xfId="0" applyNumberFormat="1" applyFont="1" applyFill="1" applyBorder="1" applyAlignment="1" applyProtection="1">
      <alignment horizontal="center"/>
      <protection locked="0"/>
    </xf>
    <xf numFmtId="1" fontId="6" fillId="47" borderId="181" xfId="0" applyNumberFormat="1" applyFont="1" applyFill="1" applyBorder="1" applyAlignment="1" applyProtection="1">
      <alignment horizontal="center"/>
      <protection locked="0"/>
    </xf>
    <xf numFmtId="1" fontId="6" fillId="47" borderId="182" xfId="0" applyNumberFormat="1" applyFont="1" applyFill="1" applyBorder="1" applyAlignment="1" applyProtection="1">
      <alignment horizontal="center"/>
      <protection locked="0"/>
    </xf>
    <xf numFmtId="1" fontId="6" fillId="47" borderId="184" xfId="0" applyNumberFormat="1" applyFont="1" applyFill="1" applyBorder="1" applyAlignment="1" applyProtection="1">
      <alignment horizontal="center"/>
      <protection locked="0"/>
    </xf>
    <xf numFmtId="1" fontId="6" fillId="47" borderId="183" xfId="0" applyNumberFormat="1" applyFont="1" applyFill="1" applyBorder="1" applyAlignment="1" applyProtection="1">
      <alignment horizontal="center"/>
      <protection locked="0"/>
    </xf>
    <xf numFmtId="1" fontId="6" fillId="47" borderId="185" xfId="0" applyNumberFormat="1" applyFont="1" applyFill="1" applyBorder="1" applyAlignment="1" applyProtection="1">
      <alignment horizontal="center"/>
      <protection locked="0"/>
    </xf>
    <xf numFmtId="1" fontId="6" fillId="47" borderId="186" xfId="0" applyNumberFormat="1" applyFont="1" applyFill="1" applyBorder="1" applyAlignment="1" applyProtection="1">
      <alignment horizontal="center"/>
      <protection locked="0"/>
    </xf>
    <xf numFmtId="1" fontId="121" fillId="16" borderId="0" xfId="5" applyNumberFormat="1" applyFont="1" applyFill="1" applyAlignment="1">
      <alignment horizontal="center" vertical="center"/>
    </xf>
    <xf numFmtId="1" fontId="6" fillId="4" borderId="155" xfId="5" applyNumberFormat="1" applyFont="1" applyFill="1" applyBorder="1" applyAlignment="1" applyProtection="1">
      <alignment horizontal="center" vertical="center" wrapText="1"/>
      <protection locked="0"/>
    </xf>
    <xf numFmtId="184" fontId="54" fillId="4" borderId="154" xfId="5" applyNumberFormat="1" applyFont="1" applyFill="1" applyBorder="1" applyAlignment="1" applyProtection="1">
      <alignment horizontal="center" vertical="center" wrapText="1"/>
      <protection locked="0"/>
    </xf>
    <xf numFmtId="1" fontId="6" fillId="4" borderId="99" xfId="0" applyNumberFormat="1" applyFont="1" applyFill="1" applyBorder="1" applyAlignment="1">
      <alignment horizontal="left" wrapText="1"/>
    </xf>
    <xf numFmtId="1" fontId="6" fillId="4" borderId="98" xfId="0" applyNumberFormat="1" applyFont="1" applyFill="1" applyBorder="1" applyAlignment="1">
      <alignment horizontal="left" wrapText="1"/>
    </xf>
    <xf numFmtId="1" fontId="11" fillId="4" borderId="99" xfId="0" applyNumberFormat="1" applyFont="1" applyFill="1" applyBorder="1" applyAlignment="1">
      <alignment horizontal="left"/>
    </xf>
    <xf numFmtId="1" fontId="6" fillId="4" borderId="188" xfId="5" applyNumberFormat="1" applyFont="1" applyFill="1" applyBorder="1" applyAlignment="1" applyProtection="1">
      <alignment horizontal="center" vertical="center" wrapText="1"/>
      <protection locked="0"/>
    </xf>
    <xf numFmtId="1" fontId="6" fillId="4" borderId="187" xfId="5" applyNumberFormat="1" applyFont="1" applyFill="1" applyBorder="1" applyAlignment="1" applyProtection="1">
      <alignment horizontal="center" vertical="center" wrapText="1"/>
      <protection locked="0"/>
    </xf>
    <xf numFmtId="1" fontId="6" fillId="4" borderId="161" xfId="5" applyNumberFormat="1" applyFont="1" applyFill="1" applyBorder="1" applyAlignment="1" applyProtection="1">
      <alignment horizontal="center" vertical="center" wrapText="1"/>
      <protection locked="0"/>
    </xf>
    <xf numFmtId="1" fontId="6" fillId="4" borderId="189" xfId="5" applyNumberFormat="1" applyFont="1" applyFill="1" applyBorder="1" applyAlignment="1" applyProtection="1">
      <alignment horizontal="center" vertical="center" wrapText="1"/>
      <protection locked="0"/>
    </xf>
    <xf numFmtId="0" fontId="6" fillId="16" borderId="190" xfId="5" applyFont="1" applyFill="1" applyBorder="1" applyAlignment="1" applyProtection="1">
      <alignment horizontal="center" vertical="center" wrapText="1"/>
      <protection locked="0"/>
    </xf>
    <xf numFmtId="0" fontId="6" fillId="4" borderId="155" xfId="5" applyFont="1" applyFill="1" applyBorder="1" applyAlignment="1" applyProtection="1">
      <alignment horizontal="center" vertical="center" wrapText="1"/>
      <protection locked="0"/>
    </xf>
    <xf numFmtId="0" fontId="6" fillId="4" borderId="161" xfId="5" applyFont="1" applyFill="1" applyBorder="1" applyAlignment="1" applyProtection="1">
      <alignment horizontal="center" vertical="center" wrapText="1"/>
      <protection locked="0"/>
    </xf>
    <xf numFmtId="1" fontId="11" fillId="4" borderId="103" xfId="0" applyNumberFormat="1" applyFont="1" applyFill="1" applyBorder="1" applyAlignment="1">
      <alignment horizontal="left"/>
    </xf>
    <xf numFmtId="184" fontId="17" fillId="4" borderId="134" xfId="2" applyNumberFormat="1" applyFont="1" applyFill="1" applyBorder="1" applyAlignment="1">
      <alignment horizontal="center" vertical="center" wrapText="1"/>
    </xf>
    <xf numFmtId="174" fontId="22" fillId="4" borderId="134" xfId="0" applyNumberFormat="1" applyFont="1" applyFill="1" applyBorder="1" applyAlignment="1">
      <alignment horizontal="center"/>
    </xf>
    <xf numFmtId="0" fontId="6" fillId="16" borderId="1" xfId="0" applyFont="1" applyFill="1" applyBorder="1"/>
    <xf numFmtId="0" fontId="6" fillId="16" borderId="159" xfId="0" applyFont="1" applyFill="1" applyBorder="1"/>
    <xf numFmtId="0" fontId="6" fillId="16" borderId="155" xfId="0" applyFont="1" applyFill="1" applyBorder="1"/>
    <xf numFmtId="0" fontId="6" fillId="16" borderId="156" xfId="0" applyFont="1" applyFill="1" applyBorder="1"/>
    <xf numFmtId="0" fontId="17" fillId="16" borderId="27" xfId="3" applyFont="1" applyFill="1" applyBorder="1" applyAlignment="1">
      <alignment horizontal="center" vertical="center" wrapText="1"/>
    </xf>
    <xf numFmtId="1" fontId="6" fillId="16" borderId="27" xfId="0" applyNumberFormat="1" applyFont="1" applyFill="1" applyBorder="1" applyAlignment="1">
      <alignment horizontal="center" vertical="center"/>
    </xf>
    <xf numFmtId="1" fontId="11" fillId="16" borderId="27" xfId="0" applyNumberFormat="1" applyFont="1" applyFill="1" applyBorder="1" applyAlignment="1">
      <alignment horizontal="center" vertical="center"/>
    </xf>
    <xf numFmtId="0" fontId="68" fillId="16" borderId="0" xfId="0" applyFont="1" applyFill="1" applyAlignment="1" applyProtection="1">
      <alignment vertical="center"/>
      <protection locked="0"/>
    </xf>
    <xf numFmtId="0" fontId="68" fillId="47" borderId="94" xfId="0" applyFont="1" applyFill="1" applyBorder="1" applyAlignment="1" applyProtection="1">
      <alignment vertical="center"/>
      <protection locked="0"/>
    </xf>
    <xf numFmtId="0" fontId="17" fillId="20" borderId="5" xfId="3" applyFont="1" applyFill="1" applyBorder="1" applyAlignment="1">
      <alignment horizontal="center" vertical="center"/>
    </xf>
    <xf numFmtId="0" fontId="17" fillId="20" borderId="5" xfId="3" applyFont="1" applyFill="1" applyBorder="1" applyAlignment="1">
      <alignment horizontal="center" vertical="center" wrapText="1"/>
    </xf>
    <xf numFmtId="170" fontId="112" fillId="16" borderId="0" xfId="2" applyNumberFormat="1" applyFont="1" applyFill="1" applyBorder="1" applyAlignment="1"/>
    <xf numFmtId="0" fontId="54" fillId="47" borderId="127" xfId="2" applyNumberFormat="1" applyFont="1" applyFill="1" applyBorder="1" applyAlignment="1" applyProtection="1">
      <alignment horizontal="left" vertical="center"/>
      <protection locked="0"/>
    </xf>
    <xf numFmtId="0" fontId="117" fillId="16" borderId="0" xfId="5" applyFont="1" applyFill="1" applyAlignment="1">
      <alignment horizontal="left" vertical="center"/>
    </xf>
    <xf numFmtId="169" fontId="22" fillId="16" borderId="0" xfId="1" applyFont="1" applyFill="1" applyBorder="1" applyAlignment="1">
      <alignment vertical="center"/>
    </xf>
    <xf numFmtId="0" fontId="106" fillId="16" borderId="191" xfId="5" applyFont="1" applyFill="1" applyBorder="1" applyAlignment="1">
      <alignment vertical="center"/>
    </xf>
    <xf numFmtId="169" fontId="22" fillId="16" borderId="191" xfId="1" applyFont="1" applyFill="1" applyBorder="1" applyAlignment="1">
      <alignment vertical="center"/>
    </xf>
    <xf numFmtId="0" fontId="6" fillId="4" borderId="119" xfId="0" applyFont="1" applyFill="1" applyBorder="1" applyAlignment="1">
      <alignment vertical="center"/>
    </xf>
    <xf numFmtId="0" fontId="6" fillId="4" borderId="129" xfId="0" applyFont="1" applyFill="1" applyBorder="1" applyAlignment="1">
      <alignment vertical="center" wrapText="1"/>
    </xf>
    <xf numFmtId="0" fontId="113" fillId="16" borderId="0" xfId="1" applyNumberFormat="1" applyFont="1" applyFill="1" applyBorder="1" applyAlignment="1">
      <alignment vertical="top" wrapText="1"/>
    </xf>
    <xf numFmtId="0" fontId="118" fillId="16" borderId="99" xfId="5" applyFont="1" applyFill="1" applyBorder="1" applyAlignment="1">
      <alignment horizontal="left" vertical="center" wrapText="1" indent="1"/>
    </xf>
    <xf numFmtId="0" fontId="119" fillId="16" borderId="149" xfId="5" applyFont="1" applyFill="1" applyBorder="1" applyAlignment="1">
      <alignment horizontal="left" vertical="center" wrapText="1" indent="2"/>
    </xf>
    <xf numFmtId="0" fontId="122" fillId="51" borderId="166" xfId="0" applyFont="1" applyFill="1" applyBorder="1" applyAlignment="1">
      <alignment horizontal="left" vertical="center"/>
    </xf>
    <xf numFmtId="14" fontId="30" fillId="16" borderId="0" xfId="0" applyNumberFormat="1" applyFont="1" applyFill="1" applyAlignment="1">
      <alignment horizontal="center" vertical="center"/>
    </xf>
    <xf numFmtId="0" fontId="11" fillId="20" borderId="70" xfId="0" applyFont="1" applyFill="1" applyBorder="1" applyAlignment="1">
      <alignment horizontal="center" vertical="center"/>
    </xf>
    <xf numFmtId="14" fontId="6" fillId="20" borderId="3" xfId="0" applyNumberFormat="1" applyFont="1" applyFill="1" applyBorder="1" applyAlignment="1">
      <alignment horizontal="center" vertical="center"/>
    </xf>
    <xf numFmtId="0" fontId="11" fillId="0" borderId="98" xfId="0" applyFont="1" applyBorder="1" applyAlignment="1">
      <alignment horizontal="center" vertical="center"/>
    </xf>
    <xf numFmtId="0" fontId="11" fillId="0" borderId="101" xfId="0" applyFont="1" applyBorder="1" applyAlignment="1">
      <alignment horizontal="center" vertical="center"/>
    </xf>
    <xf numFmtId="0" fontId="6" fillId="0" borderId="126" xfId="0" applyFont="1" applyBorder="1" applyAlignment="1">
      <alignment horizontal="center" vertical="center"/>
    </xf>
    <xf numFmtId="0" fontId="6" fillId="0" borderId="102" xfId="0" applyFont="1" applyBorder="1" applyAlignment="1">
      <alignment horizontal="center" vertical="center"/>
    </xf>
    <xf numFmtId="0" fontId="6" fillId="0" borderId="99" xfId="0" applyFont="1" applyBorder="1" applyAlignment="1">
      <alignment horizontal="center" vertical="center"/>
    </xf>
    <xf numFmtId="0" fontId="11" fillId="20" borderId="67" xfId="5" applyFont="1" applyFill="1" applyBorder="1" applyAlignment="1" applyProtection="1">
      <alignment horizontal="center" vertical="center" wrapText="1"/>
      <protection locked="0"/>
    </xf>
    <xf numFmtId="0" fontId="11" fillId="20" borderId="4" xfId="5" applyFont="1" applyFill="1" applyBorder="1" applyAlignment="1" applyProtection="1">
      <alignment horizontal="center" vertical="center" wrapText="1"/>
      <protection locked="0"/>
    </xf>
    <xf numFmtId="0" fontId="17" fillId="20" borderId="1" xfId="5"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21" fillId="52" borderId="125" xfId="0" applyFont="1" applyFill="1" applyBorder="1" applyAlignment="1">
      <alignment horizontal="left"/>
    </xf>
    <xf numFmtId="0" fontId="21" fillId="52" borderId="127" xfId="0" applyFont="1" applyFill="1" applyBorder="1"/>
    <xf numFmtId="0" fontId="21" fillId="52" borderId="127" xfId="0" applyFont="1" applyFill="1" applyBorder="1" applyAlignment="1">
      <alignment horizontal="left"/>
    </xf>
    <xf numFmtId="14" fontId="21" fillId="52" borderId="127" xfId="0" applyNumberFormat="1" applyFont="1" applyFill="1" applyBorder="1" applyAlignment="1">
      <alignment horizontal="left"/>
    </xf>
    <xf numFmtId="1" fontId="21" fillId="52" borderId="127" xfId="0" applyNumberFormat="1" applyFont="1" applyFill="1" applyBorder="1" applyAlignment="1">
      <alignment horizontal="left"/>
    </xf>
    <xf numFmtId="0" fontId="21" fillId="52" borderId="129" xfId="0" applyFont="1" applyFill="1" applyBorder="1" applyAlignment="1">
      <alignment horizontal="left"/>
    </xf>
    <xf numFmtId="174" fontId="31" fillId="52" borderId="125" xfId="2" applyNumberFormat="1" applyFont="1" applyFill="1" applyBorder="1" applyAlignment="1">
      <alignment horizontal="center"/>
    </xf>
    <xf numFmtId="9" fontId="21" fillId="52" borderId="129" xfId="0" applyNumberFormat="1" applyFont="1" applyFill="1" applyBorder="1" applyAlignment="1">
      <alignment horizontal="center"/>
    </xf>
    <xf numFmtId="174" fontId="21" fillId="52" borderId="125" xfId="2" applyNumberFormat="1" applyFont="1" applyFill="1" applyBorder="1" applyAlignment="1">
      <alignment horizontal="center"/>
    </xf>
    <xf numFmtId="1" fontId="21" fillId="52" borderId="127" xfId="0" applyNumberFormat="1" applyFont="1" applyFill="1" applyBorder="1" applyAlignment="1">
      <alignment horizontal="center"/>
    </xf>
    <xf numFmtId="1" fontId="21" fillId="52" borderId="129" xfId="0" applyNumberFormat="1" applyFont="1" applyFill="1" applyBorder="1" applyAlignment="1">
      <alignment horizontal="center"/>
    </xf>
    <xf numFmtId="9" fontId="6" fillId="52" borderId="125" xfId="6" applyFont="1" applyFill="1" applyBorder="1" applyAlignment="1">
      <alignment horizontal="left" vertical="center"/>
    </xf>
    <xf numFmtId="174" fontId="49" fillId="52" borderId="127" xfId="2" applyNumberFormat="1" applyFont="1" applyFill="1" applyBorder="1" applyAlignment="1">
      <alignment horizontal="left" vertical="center"/>
    </xf>
    <xf numFmtId="174" fontId="6" fillId="52" borderId="127" xfId="6" applyNumberFormat="1" applyFont="1" applyFill="1" applyBorder="1" applyAlignment="1" applyProtection="1">
      <alignment horizontal="left" vertical="center"/>
      <protection locked="0"/>
    </xf>
    <xf numFmtId="174" fontId="6" fillId="52" borderId="127" xfId="0" applyNumberFormat="1" applyFont="1" applyFill="1" applyBorder="1" applyAlignment="1">
      <alignment horizontal="left" vertical="center"/>
    </xf>
    <xf numFmtId="174" fontId="6" fillId="52" borderId="142" xfId="0" applyNumberFormat="1" applyFont="1" applyFill="1" applyBorder="1" applyAlignment="1">
      <alignment horizontal="left" vertical="center"/>
    </xf>
    <xf numFmtId="165" fontId="21" fillId="52" borderId="125" xfId="0" applyNumberFormat="1" applyFont="1" applyFill="1" applyBorder="1" applyAlignment="1">
      <alignment horizontal="left"/>
    </xf>
    <xf numFmtId="165" fontId="21" fillId="52" borderId="127" xfId="0" applyNumberFormat="1" applyFont="1" applyFill="1" applyBorder="1" applyAlignment="1">
      <alignment horizontal="left"/>
    </xf>
    <xf numFmtId="174" fontId="21" fillId="52" borderId="127" xfId="2" applyNumberFormat="1" applyFont="1" applyFill="1" applyBorder="1" applyAlignment="1">
      <alignment horizontal="left"/>
    </xf>
    <xf numFmtId="174" fontId="21" fillId="52" borderId="142" xfId="2" applyNumberFormat="1" applyFont="1" applyFill="1" applyBorder="1" applyAlignment="1">
      <alignment horizontal="left"/>
    </xf>
    <xf numFmtId="174" fontId="31" fillId="52" borderId="123" xfId="0" applyNumberFormat="1" applyFont="1" applyFill="1" applyBorder="1" applyAlignment="1">
      <alignment horizontal="left"/>
    </xf>
    <xf numFmtId="174" fontId="6" fillId="52" borderId="127" xfId="2" applyNumberFormat="1" applyFont="1" applyFill="1" applyBorder="1" applyAlignment="1">
      <alignment horizontal="center"/>
    </xf>
    <xf numFmtId="9" fontId="6" fillId="52" borderId="127" xfId="6" applyFont="1" applyFill="1" applyBorder="1" applyAlignment="1">
      <alignment horizontal="center"/>
    </xf>
    <xf numFmtId="1" fontId="6" fillId="52" borderId="127" xfId="0" applyNumberFormat="1" applyFont="1" applyFill="1" applyBorder="1" applyAlignment="1">
      <alignment horizontal="center"/>
    </xf>
    <xf numFmtId="1" fontId="6" fillId="52" borderId="127" xfId="6" applyNumberFormat="1" applyFont="1" applyFill="1" applyBorder="1" applyAlignment="1">
      <alignment horizontal="center"/>
    </xf>
    <xf numFmtId="9" fontId="6" fillId="52" borderId="142" xfId="6" applyFont="1" applyFill="1" applyBorder="1" applyAlignment="1">
      <alignment horizontal="center"/>
    </xf>
    <xf numFmtId="1" fontId="11" fillId="52" borderId="123" xfId="0" applyNumberFormat="1" applyFont="1" applyFill="1" applyBorder="1" applyAlignment="1">
      <alignment horizontal="center"/>
    </xf>
    <xf numFmtId="1" fontId="29" fillId="52" borderId="121" xfId="0" applyNumberFormat="1" applyFont="1" applyFill="1" applyBorder="1" applyAlignment="1">
      <alignment horizontal="center"/>
    </xf>
    <xf numFmtId="9" fontId="21" fillId="52" borderId="121" xfId="6" applyFont="1" applyFill="1" applyBorder="1" applyAlignment="1">
      <alignment horizontal="center" vertical="center"/>
    </xf>
    <xf numFmtId="174" fontId="29" fillId="52" borderId="121" xfId="2" applyNumberFormat="1" applyFont="1" applyFill="1" applyBorder="1" applyAlignment="1">
      <alignment horizontal="center"/>
    </xf>
    <xf numFmtId="9" fontId="21" fillId="52" borderId="133" xfId="6" applyFont="1" applyFill="1" applyBorder="1" applyAlignment="1">
      <alignment horizontal="center"/>
    </xf>
    <xf numFmtId="1" fontId="29" fillId="52" borderId="65" xfId="0" applyNumberFormat="1" applyFont="1" applyFill="1" applyBorder="1" applyAlignment="1">
      <alignment horizontal="center"/>
    </xf>
    <xf numFmtId="174" fontId="29" fillId="52" borderId="65" xfId="2" applyNumberFormat="1" applyFont="1" applyFill="1" applyBorder="1" applyAlignment="1">
      <alignment horizontal="center"/>
    </xf>
    <xf numFmtId="9" fontId="21" fillId="52" borderId="127" xfId="6" applyFont="1" applyFill="1" applyBorder="1" applyAlignment="1">
      <alignment horizontal="center"/>
    </xf>
    <xf numFmtId="1" fontId="29" fillId="52" borderId="65" xfId="2" applyNumberFormat="1" applyFont="1" applyFill="1" applyBorder="1" applyAlignment="1">
      <alignment horizontal="center"/>
    </xf>
    <xf numFmtId="0" fontId="63" fillId="52" borderId="65" xfId="0" applyFont="1" applyFill="1" applyBorder="1" applyAlignment="1">
      <alignment horizontal="center"/>
    </xf>
    <xf numFmtId="9" fontId="64" fillId="52" borderId="65" xfId="6" applyFont="1" applyFill="1" applyBorder="1" applyAlignment="1">
      <alignment horizontal="center" vertical="center"/>
    </xf>
    <xf numFmtId="168" fontId="63" fillId="52" borderId="65" xfId="2" applyFont="1" applyFill="1" applyBorder="1" applyAlignment="1">
      <alignment horizontal="center" vertical="center"/>
    </xf>
    <xf numFmtId="168" fontId="63" fillId="52" borderId="127" xfId="2" applyFont="1" applyFill="1" applyBorder="1" applyAlignment="1">
      <alignment horizontal="center" vertical="center"/>
    </xf>
    <xf numFmtId="1" fontId="29" fillId="52" borderId="119" xfId="0" applyNumberFormat="1" applyFont="1" applyFill="1" applyBorder="1" applyAlignment="1">
      <alignment horizontal="center"/>
    </xf>
    <xf numFmtId="9" fontId="21" fillId="52" borderId="119" xfId="6" applyFont="1" applyFill="1" applyBorder="1" applyAlignment="1">
      <alignment horizontal="center" vertical="center"/>
    </xf>
    <xf numFmtId="174" fontId="29" fillId="52" borderId="119" xfId="2" applyNumberFormat="1" applyFont="1" applyFill="1" applyBorder="1" applyAlignment="1">
      <alignment horizontal="center"/>
    </xf>
    <xf numFmtId="9" fontId="21" fillId="52" borderId="129" xfId="6" applyFont="1" applyFill="1" applyBorder="1" applyAlignment="1">
      <alignment horizontal="center"/>
    </xf>
    <xf numFmtId="1" fontId="6" fillId="52" borderId="121" xfId="0" applyNumberFormat="1" applyFont="1" applyFill="1" applyBorder="1" applyAlignment="1">
      <alignment horizontal="center" vertical="center"/>
    </xf>
    <xf numFmtId="9" fontId="6" fillId="52" borderId="133" xfId="6" applyFont="1" applyFill="1" applyBorder="1" applyAlignment="1">
      <alignment horizontal="center" vertical="center"/>
    </xf>
    <xf numFmtId="1" fontId="6" fillId="52" borderId="65" xfId="0" applyNumberFormat="1" applyFont="1" applyFill="1" applyBorder="1" applyAlignment="1">
      <alignment horizontal="center" vertical="center"/>
    </xf>
    <xf numFmtId="9" fontId="6" fillId="52" borderId="127" xfId="6" applyFont="1" applyFill="1" applyBorder="1" applyAlignment="1">
      <alignment horizontal="center" vertical="center"/>
    </xf>
    <xf numFmtId="1" fontId="6" fillId="52" borderId="119" xfId="0" applyNumberFormat="1" applyFont="1" applyFill="1" applyBorder="1" applyAlignment="1">
      <alignment horizontal="center" vertical="center"/>
    </xf>
    <xf numFmtId="9" fontId="6" fillId="52" borderId="129" xfId="6" applyFont="1" applyFill="1" applyBorder="1" applyAlignment="1">
      <alignment horizontal="center" vertical="center"/>
    </xf>
    <xf numFmtId="1" fontId="6" fillId="52" borderId="130" xfId="0" applyNumberFormat="1" applyFont="1" applyFill="1" applyBorder="1" applyAlignment="1">
      <alignment horizontal="center" vertical="center"/>
    </xf>
    <xf numFmtId="174" fontId="6" fillId="52" borderId="130" xfId="2" applyNumberFormat="1" applyFont="1" applyFill="1" applyBorder="1" applyAlignment="1">
      <alignment horizontal="center" vertical="center"/>
    </xf>
    <xf numFmtId="174" fontId="6" fillId="52" borderId="125" xfId="2" applyNumberFormat="1" applyFont="1" applyFill="1" applyBorder="1" applyAlignment="1">
      <alignment horizontal="center" vertical="center"/>
    </xf>
    <xf numFmtId="174" fontId="6" fillId="52" borderId="65" xfId="2" applyNumberFormat="1" applyFont="1" applyFill="1" applyBorder="1" applyAlignment="1">
      <alignment horizontal="center" vertical="center"/>
    </xf>
    <xf numFmtId="174" fontId="6" fillId="52" borderId="127" xfId="2" applyNumberFormat="1" applyFont="1" applyFill="1" applyBorder="1" applyAlignment="1">
      <alignment horizontal="center" vertical="center"/>
    </xf>
    <xf numFmtId="174" fontId="6" fillId="52" borderId="119" xfId="2" applyNumberFormat="1" applyFont="1" applyFill="1" applyBorder="1" applyAlignment="1">
      <alignment horizontal="center" vertical="center"/>
    </xf>
    <xf numFmtId="174" fontId="6" fillId="52" borderId="129" xfId="2" applyNumberFormat="1" applyFont="1" applyFill="1" applyBorder="1" applyAlignment="1">
      <alignment horizontal="center" vertical="center"/>
    </xf>
    <xf numFmtId="170" fontId="6" fillId="16" borderId="49" xfId="2" applyNumberFormat="1" applyFont="1" applyFill="1" applyBorder="1"/>
    <xf numFmtId="0" fontId="11" fillId="16" borderId="39" xfId="0" applyFont="1" applyFill="1" applyBorder="1" applyAlignment="1">
      <alignment vertical="center"/>
    </xf>
    <xf numFmtId="170" fontId="6" fillId="16" borderId="192" xfId="2" applyNumberFormat="1" applyFont="1" applyFill="1" applyBorder="1"/>
    <xf numFmtId="170" fontId="6" fillId="16" borderId="31" xfId="2" applyNumberFormat="1" applyFont="1" applyFill="1" applyBorder="1"/>
    <xf numFmtId="1" fontId="6" fillId="47" borderId="195" xfId="0" applyNumberFormat="1" applyFont="1" applyFill="1" applyBorder="1" applyAlignment="1" applyProtection="1">
      <alignment horizontal="center"/>
      <protection locked="0"/>
    </xf>
    <xf numFmtId="1" fontId="6" fillId="47" borderId="137" xfId="0" applyNumberFormat="1" applyFont="1" applyFill="1" applyBorder="1" applyAlignment="1" applyProtection="1">
      <alignment horizontal="center"/>
      <protection locked="0"/>
    </xf>
    <xf numFmtId="174" fontId="6" fillId="52" borderId="125" xfId="2" applyNumberFormat="1" applyFont="1" applyFill="1" applyBorder="1" applyAlignment="1">
      <alignment horizontal="center"/>
    </xf>
    <xf numFmtId="0" fontId="17" fillId="4" borderId="122" xfId="0" applyFont="1" applyFill="1" applyBorder="1" applyAlignment="1" applyProtection="1">
      <alignment horizontal="left" vertical="center"/>
      <protection locked="0"/>
    </xf>
    <xf numFmtId="0" fontId="22" fillId="16" borderId="73" xfId="0" quotePrefix="1" applyFont="1" applyFill="1" applyBorder="1"/>
    <xf numFmtId="0" fontId="6" fillId="16" borderId="0" xfId="0" applyFont="1" applyFill="1" applyAlignment="1">
      <alignment horizontal="left" vertical="top"/>
    </xf>
    <xf numFmtId="0" fontId="6" fillId="16" borderId="0" xfId="0" applyFont="1" applyFill="1" applyAlignment="1">
      <alignment horizontal="left" vertical="top" indent="4"/>
    </xf>
    <xf numFmtId="0" fontId="6" fillId="16" borderId="0" xfId="0" applyFont="1" applyFill="1" applyAlignment="1">
      <alignment horizontal="left" vertical="center" indent="3"/>
    </xf>
    <xf numFmtId="0" fontId="6" fillId="16" borderId="118" xfId="0" quotePrefix="1" applyFont="1" applyFill="1" applyBorder="1" applyAlignment="1" applyProtection="1">
      <alignment vertical="top" wrapText="1"/>
      <protection locked="0"/>
    </xf>
    <xf numFmtId="9" fontId="84" fillId="16" borderId="0" xfId="6" applyFont="1" applyFill="1" applyBorder="1" applyAlignment="1">
      <alignment horizontal="right"/>
    </xf>
    <xf numFmtId="170" fontId="83" fillId="16" borderId="0" xfId="2" applyNumberFormat="1" applyFont="1" applyFill="1" applyBorder="1"/>
    <xf numFmtId="0" fontId="6" fillId="16" borderId="0" xfId="1" applyNumberFormat="1" applyFont="1" applyFill="1" applyAlignment="1">
      <alignment vertical="top"/>
    </xf>
    <xf numFmtId="0" fontId="52" fillId="4" borderId="127" xfId="2" applyNumberFormat="1" applyFont="1" applyFill="1" applyBorder="1"/>
    <xf numFmtId="0" fontId="52" fillId="4" borderId="129" xfId="2" applyNumberFormat="1" applyFont="1" applyFill="1" applyBorder="1"/>
    <xf numFmtId="0" fontId="6" fillId="39" borderId="0" xfId="0" applyFont="1" applyFill="1"/>
    <xf numFmtId="14" fontId="51" fillId="4" borderId="127" xfId="0" applyNumberFormat="1" applyFont="1" applyFill="1" applyBorder="1" applyAlignment="1">
      <alignment horizontal="left"/>
    </xf>
    <xf numFmtId="0" fontId="6" fillId="16" borderId="0" xfId="4" applyFont="1" applyFill="1" applyBorder="1" applyProtection="1"/>
    <xf numFmtId="0" fontId="51" fillId="16" borderId="0" xfId="0" applyFont="1" applyFill="1" applyAlignment="1">
      <alignment horizontal="left"/>
    </xf>
    <xf numFmtId="172" fontId="106" fillId="16" borderId="50" xfId="0" applyNumberFormat="1" applyFont="1" applyFill="1" applyBorder="1" applyAlignment="1" applyProtection="1">
      <alignment vertical="center"/>
      <protection locked="0"/>
    </xf>
    <xf numFmtId="0" fontId="6" fillId="39" borderId="73" xfId="0" applyFont="1" applyFill="1" applyBorder="1"/>
    <xf numFmtId="0" fontId="6" fillId="16" borderId="73" xfId="0" applyFont="1" applyFill="1" applyBorder="1" applyProtection="1">
      <protection locked="0"/>
    </xf>
    <xf numFmtId="0" fontId="6" fillId="16" borderId="73" xfId="4" applyFont="1" applyFill="1" applyBorder="1" applyProtection="1"/>
    <xf numFmtId="0" fontId="51" fillId="16" borderId="73" xfId="0" applyFont="1" applyFill="1" applyBorder="1" applyAlignment="1">
      <alignment horizontal="left"/>
    </xf>
    <xf numFmtId="0" fontId="6" fillId="39" borderId="0" xfId="0" applyFont="1" applyFill="1" applyProtection="1">
      <protection locked="0"/>
    </xf>
    <xf numFmtId="0" fontId="6" fillId="39" borderId="0" xfId="0" quotePrefix="1" applyFont="1" applyFill="1" applyAlignment="1" applyProtection="1">
      <alignment horizontal="left" vertical="top" wrapText="1"/>
      <protection locked="0"/>
    </xf>
    <xf numFmtId="0" fontId="11" fillId="39" borderId="0" xfId="0" applyFont="1" applyFill="1" applyAlignment="1">
      <alignment vertical="top"/>
    </xf>
    <xf numFmtId="0" fontId="17" fillId="39" borderId="0" xfId="11" applyFont="1" applyFill="1" applyBorder="1" applyProtection="1"/>
    <xf numFmtId="2" fontId="17" fillId="16" borderId="0" xfId="2" applyNumberFormat="1" applyFont="1" applyFill="1" applyBorder="1" applyProtection="1"/>
    <xf numFmtId="1" fontId="6" fillId="39" borderId="0" xfId="0" applyNumberFormat="1" applyFont="1" applyFill="1"/>
    <xf numFmtId="0" fontId="17" fillId="16" borderId="0" xfId="14" applyFont="1" applyFill="1" applyBorder="1" applyAlignment="1" applyProtection="1">
      <alignment horizontal="center" vertical="center" wrapText="1"/>
    </xf>
    <xf numFmtId="0" fontId="6" fillId="16" borderId="0" xfId="0" quotePrefix="1" applyFont="1" applyFill="1" applyAlignment="1" applyProtection="1">
      <alignment vertical="top" wrapText="1"/>
      <protection locked="0"/>
    </xf>
    <xf numFmtId="0" fontId="11" fillId="16" borderId="0" xfId="4" applyFont="1" applyFill="1" applyBorder="1" applyProtection="1"/>
    <xf numFmtId="1" fontId="11" fillId="39" borderId="0" xfId="0" applyNumberFormat="1" applyFont="1" applyFill="1"/>
    <xf numFmtId="170" fontId="17" fillId="16" borderId="0" xfId="2" applyNumberFormat="1" applyFont="1" applyFill="1" applyBorder="1" applyProtection="1"/>
    <xf numFmtId="170" fontId="6" fillId="16" borderId="0" xfId="0" applyNumberFormat="1" applyFont="1" applyFill="1" applyProtection="1">
      <protection locked="0"/>
    </xf>
    <xf numFmtId="0" fontId="6" fillId="16" borderId="0" xfId="0" applyFont="1" applyFill="1" applyAlignment="1">
      <alignment horizontal="right"/>
    </xf>
    <xf numFmtId="9" fontId="6" fillId="39" borderId="0" xfId="6" applyFont="1" applyFill="1" applyBorder="1" applyAlignment="1" applyProtection="1">
      <protection locked="0"/>
    </xf>
    <xf numFmtId="1" fontId="17" fillId="39" borderId="0" xfId="11" applyNumberFormat="1" applyFont="1" applyFill="1" applyBorder="1" applyProtection="1"/>
    <xf numFmtId="0" fontId="17" fillId="39" borderId="0" xfId="3" applyFont="1" applyFill="1" applyBorder="1" applyAlignment="1" applyProtection="1">
      <alignment horizontal="left" vertical="center"/>
    </xf>
    <xf numFmtId="172" fontId="106" fillId="16" borderId="0" xfId="0" applyNumberFormat="1" applyFont="1" applyFill="1" applyAlignment="1" applyProtection="1">
      <alignment vertical="center"/>
      <protection locked="0"/>
    </xf>
    <xf numFmtId="0" fontId="22" fillId="20" borderId="3" xfId="0" applyFont="1" applyFill="1" applyBorder="1"/>
    <xf numFmtId="0" fontId="22" fillId="20" borderId="26" xfId="0" applyFont="1" applyFill="1" applyBorder="1"/>
    <xf numFmtId="0" fontId="6" fillId="0" borderId="0" xfId="0" applyFont="1" applyAlignment="1">
      <alignment horizontal="left"/>
    </xf>
    <xf numFmtId="0" fontId="6" fillId="0" borderId="4" xfId="0" applyFont="1" applyBorder="1"/>
    <xf numFmtId="0" fontId="6" fillId="0" borderId="6" xfId="0" applyFont="1" applyBorder="1"/>
    <xf numFmtId="0" fontId="22" fillId="20" borderId="162" xfId="0" applyFont="1" applyFill="1" applyBorder="1"/>
    <xf numFmtId="0" fontId="6" fillId="0" borderId="1" xfId="0" applyFont="1" applyBorder="1"/>
    <xf numFmtId="0" fontId="6" fillId="0" borderId="2" xfId="0" applyFont="1" applyBorder="1"/>
    <xf numFmtId="0" fontId="22" fillId="53" borderId="26" xfId="0" applyFont="1" applyFill="1" applyBorder="1"/>
    <xf numFmtId="1" fontId="6" fillId="11" borderId="65" xfId="0" applyNumberFormat="1" applyFont="1" applyFill="1" applyBorder="1" applyAlignment="1" applyProtection="1">
      <alignment horizontal="center" vertical="center"/>
      <protection locked="0"/>
    </xf>
    <xf numFmtId="1" fontId="6" fillId="4" borderId="65" xfId="0" applyNumberFormat="1" applyFont="1" applyFill="1" applyBorder="1" applyAlignment="1" applyProtection="1">
      <alignment horizontal="center" vertical="center"/>
      <protection locked="0"/>
    </xf>
    <xf numFmtId="1" fontId="6" fillId="11" borderId="134" xfId="0" applyNumberFormat="1" applyFont="1" applyFill="1" applyBorder="1" applyAlignment="1" applyProtection="1">
      <alignment horizontal="center" vertical="center"/>
      <protection locked="0"/>
    </xf>
    <xf numFmtId="1" fontId="6" fillId="4" borderId="119" xfId="0" applyNumberFormat="1" applyFont="1" applyFill="1" applyBorder="1" applyAlignment="1" applyProtection="1">
      <alignment horizontal="center" vertical="center"/>
      <protection locked="0"/>
    </xf>
    <xf numFmtId="0" fontId="18" fillId="16" borderId="0" xfId="0" applyFont="1" applyFill="1" applyAlignment="1">
      <alignment vertical="center"/>
    </xf>
    <xf numFmtId="9" fontId="54" fillId="16" borderId="0" xfId="6" applyFont="1" applyFill="1" applyBorder="1" applyAlignment="1">
      <alignment horizontal="right" vertical="center"/>
    </xf>
    <xf numFmtId="9" fontId="22" fillId="16" borderId="0" xfId="6" applyFont="1" applyFill="1" applyBorder="1" applyAlignment="1">
      <alignment horizontal="right"/>
    </xf>
    <xf numFmtId="9" fontId="22" fillId="16" borderId="0" xfId="6" applyFont="1" applyFill="1" applyBorder="1" applyAlignment="1">
      <alignment horizontal="left" vertical="center"/>
    </xf>
    <xf numFmtId="9" fontId="17" fillId="4" borderId="124" xfId="6" applyFont="1" applyFill="1" applyBorder="1" applyAlignment="1">
      <alignment horizontal="left" vertical="center"/>
    </xf>
    <xf numFmtId="9" fontId="22" fillId="4" borderId="126" xfId="6" applyFont="1" applyFill="1" applyBorder="1" applyAlignment="1">
      <alignment horizontal="left" vertical="center"/>
    </xf>
    <xf numFmtId="9" fontId="22" fillId="4" borderId="128" xfId="6" applyFont="1" applyFill="1" applyBorder="1" applyAlignment="1">
      <alignment horizontal="left" vertical="center"/>
    </xf>
    <xf numFmtId="9" fontId="17" fillId="4" borderId="125" xfId="6" applyFont="1" applyFill="1" applyBorder="1" applyAlignment="1">
      <alignment horizontal="left" vertical="center" wrapText="1"/>
    </xf>
    <xf numFmtId="9" fontId="22" fillId="52" borderId="127" xfId="6" applyFont="1" applyFill="1" applyBorder="1" applyAlignment="1">
      <alignment horizontal="center" vertical="center"/>
    </xf>
    <xf numFmtId="9" fontId="22" fillId="52" borderId="129" xfId="6" applyFont="1" applyFill="1" applyBorder="1" applyAlignment="1">
      <alignment horizontal="center" vertical="center"/>
    </xf>
    <xf numFmtId="0" fontId="6" fillId="20" borderId="0" xfId="0" applyFont="1" applyFill="1" applyAlignment="1">
      <alignment horizontal="center"/>
    </xf>
    <xf numFmtId="10" fontId="54" fillId="47" borderId="2" xfId="6" applyNumberFormat="1" applyFont="1" applyFill="1" applyBorder="1" applyAlignment="1">
      <alignment horizontal="right" vertical="center"/>
    </xf>
    <xf numFmtId="10" fontId="11" fillId="4" borderId="123" xfId="6" applyNumberFormat="1" applyFont="1" applyFill="1" applyBorder="1"/>
    <xf numFmtId="0" fontId="6" fillId="4" borderId="141" xfId="5" applyFont="1" applyFill="1" applyBorder="1" applyAlignment="1">
      <alignment horizontal="left"/>
    </xf>
    <xf numFmtId="174" fontId="54" fillId="4" borderId="134" xfId="2" applyNumberFormat="1" applyFont="1" applyFill="1" applyBorder="1" applyAlignment="1" applyProtection="1">
      <alignment horizontal="left"/>
      <protection locked="0"/>
    </xf>
    <xf numFmtId="0" fontId="11" fillId="4" borderId="124" xfId="5" applyFont="1" applyFill="1" applyBorder="1" applyAlignment="1">
      <alignment horizontal="left"/>
    </xf>
    <xf numFmtId="0" fontId="11" fillId="4" borderId="128" xfId="5" applyFont="1" applyFill="1" applyBorder="1" applyAlignment="1">
      <alignment horizontal="left"/>
    </xf>
    <xf numFmtId="171" fontId="54" fillId="4" borderId="125" xfId="2" applyNumberFormat="1" applyFont="1" applyFill="1" applyBorder="1" applyAlignment="1" applyProtection="1">
      <alignment vertical="center"/>
      <protection locked="0"/>
    </xf>
    <xf numFmtId="171" fontId="54" fillId="4" borderId="127" xfId="2" applyNumberFormat="1" applyFont="1" applyFill="1" applyBorder="1" applyProtection="1">
      <protection locked="0"/>
    </xf>
    <xf numFmtId="171" fontId="54" fillId="4" borderId="142" xfId="2" applyNumberFormat="1" applyFont="1" applyFill="1" applyBorder="1" applyProtection="1">
      <protection locked="0"/>
    </xf>
    <xf numFmtId="174" fontId="17" fillId="4" borderId="123" xfId="2" applyNumberFormat="1" applyFont="1" applyFill="1" applyBorder="1" applyAlignment="1" applyProtection="1">
      <alignment horizontal="left"/>
    </xf>
    <xf numFmtId="0" fontId="17" fillId="54" borderId="0" xfId="5" applyFont="1" applyFill="1" applyAlignment="1">
      <alignment vertical="center"/>
    </xf>
    <xf numFmtId="0" fontId="26" fillId="54" borderId="0" xfId="0" applyFont="1" applyFill="1" applyProtection="1">
      <protection locked="0"/>
    </xf>
    <xf numFmtId="170" fontId="22" fillId="54" borderId="0" xfId="2" applyNumberFormat="1" applyFont="1" applyFill="1" applyBorder="1" applyAlignment="1" applyProtection="1">
      <alignment horizontal="center"/>
      <protection locked="0"/>
    </xf>
    <xf numFmtId="0" fontId="31" fillId="54" borderId="0" xfId="0" applyFont="1" applyFill="1"/>
    <xf numFmtId="174" fontId="31" fillId="54" borderId="0" xfId="0" applyNumberFormat="1" applyFont="1" applyFill="1" applyAlignment="1">
      <alignment horizontal="left"/>
    </xf>
    <xf numFmtId="174" fontId="31" fillId="52" borderId="144" xfId="0" applyNumberFormat="1" applyFont="1" applyFill="1" applyBorder="1" applyAlignment="1">
      <alignment horizontal="left" vertical="center"/>
    </xf>
    <xf numFmtId="174" fontId="11" fillId="52" borderId="123" xfId="0" applyNumberFormat="1" applyFont="1" applyFill="1" applyBorder="1" applyAlignment="1">
      <alignment horizontal="left" vertical="center"/>
    </xf>
    <xf numFmtId="0" fontId="22" fillId="16" borderId="0" xfId="0" applyFont="1" applyFill="1" applyAlignment="1">
      <alignment vertical="top" wrapText="1"/>
    </xf>
    <xf numFmtId="9" fontId="6" fillId="16" borderId="0" xfId="6" applyFont="1" applyFill="1" applyProtection="1">
      <protection locked="0"/>
    </xf>
    <xf numFmtId="170" fontId="68" fillId="16" borderId="0" xfId="2" applyNumberFormat="1" applyFont="1" applyFill="1" applyBorder="1" applyAlignment="1">
      <alignment vertical="center"/>
    </xf>
    <xf numFmtId="0" fontId="6" fillId="16" borderId="72" xfId="0" quotePrefix="1" applyFont="1" applyFill="1" applyBorder="1" applyAlignment="1">
      <alignment vertical="top" wrapText="1"/>
    </xf>
    <xf numFmtId="172" fontId="6" fillId="16" borderId="0" xfId="0" applyNumberFormat="1" applyFont="1" applyFill="1" applyAlignment="1" applyProtection="1">
      <alignment vertical="top"/>
      <protection locked="0"/>
    </xf>
    <xf numFmtId="0" fontId="71" fillId="20" borderId="126" xfId="0" applyFont="1" applyFill="1" applyBorder="1" applyAlignment="1">
      <alignment horizontal="center" vertical="center" wrapText="1" readingOrder="1"/>
    </xf>
    <xf numFmtId="0" fontId="70" fillId="4" borderId="137" xfId="0" applyFont="1" applyFill="1" applyBorder="1" applyAlignment="1">
      <alignment horizontal="left" vertical="center" wrapText="1" readingOrder="1"/>
    </xf>
    <xf numFmtId="0" fontId="11" fillId="4" borderId="0" xfId="0" applyFont="1" applyFill="1" applyAlignment="1">
      <alignment horizontal="center" vertical="center"/>
    </xf>
    <xf numFmtId="0" fontId="11" fillId="16" borderId="162" xfId="0" applyFont="1" applyFill="1" applyBorder="1" applyAlignment="1">
      <alignment vertical="center"/>
    </xf>
    <xf numFmtId="0" fontId="17" fillId="16" borderId="0" xfId="0" applyFont="1" applyFill="1" applyAlignment="1">
      <alignment vertical="center" wrapText="1" readingOrder="1"/>
    </xf>
    <xf numFmtId="0" fontId="71" fillId="4" borderId="120" xfId="0" applyFont="1" applyFill="1" applyBorder="1" applyAlignment="1">
      <alignment horizontal="left" vertical="center" wrapText="1" indent="2" readingOrder="1"/>
    </xf>
    <xf numFmtId="0" fontId="71" fillId="4" borderId="65" xfId="6" applyNumberFormat="1" applyFont="1" applyFill="1" applyBorder="1" applyAlignment="1" applyProtection="1">
      <alignment horizontal="right" vertical="center" wrapText="1" readingOrder="1"/>
      <protection locked="0"/>
    </xf>
    <xf numFmtId="9" fontId="71" fillId="4" borderId="65" xfId="0" applyNumberFormat="1" applyFont="1" applyFill="1" applyBorder="1" applyAlignment="1" applyProtection="1">
      <alignment horizontal="right" vertical="center" wrapText="1" readingOrder="1"/>
      <protection locked="0"/>
    </xf>
    <xf numFmtId="0" fontId="71" fillId="4" borderId="65" xfId="0" applyFont="1" applyFill="1" applyBorder="1" applyAlignment="1">
      <alignment horizontal="center" vertical="center" wrapText="1" readingOrder="1"/>
    </xf>
    <xf numFmtId="0" fontId="71" fillId="4" borderId="119" xfId="0" applyFont="1" applyFill="1" applyBorder="1" applyAlignment="1">
      <alignment horizontal="center" vertical="center" wrapText="1" readingOrder="1"/>
    </xf>
    <xf numFmtId="0" fontId="123" fillId="4" borderId="120" xfId="0" applyFont="1" applyFill="1" applyBorder="1" applyAlignment="1">
      <alignment horizontal="left" vertical="center" wrapText="1" indent="2" readingOrder="1"/>
    </xf>
    <xf numFmtId="0" fontId="70" fillId="4" borderId="200" xfId="0" applyFont="1" applyFill="1" applyBorder="1" applyAlignment="1">
      <alignment horizontal="left" vertical="center" wrapText="1" readingOrder="1"/>
    </xf>
    <xf numFmtId="0" fontId="17" fillId="54" borderId="0" xfId="0" applyFont="1" applyFill="1" applyAlignment="1">
      <alignment vertical="center" wrapText="1" readingOrder="1"/>
    </xf>
    <xf numFmtId="0" fontId="14" fillId="54" borderId="0" xfId="0" applyFont="1" applyFill="1" applyAlignment="1">
      <alignment vertical="center"/>
    </xf>
    <xf numFmtId="0" fontId="71" fillId="54" borderId="0" xfId="0" applyFont="1" applyFill="1" applyAlignment="1">
      <alignment horizontal="center" vertical="center" wrapText="1" readingOrder="1"/>
    </xf>
    <xf numFmtId="0" fontId="71" fillId="54" borderId="0" xfId="0" applyFont="1" applyFill="1" applyAlignment="1" applyProtection="1">
      <alignment horizontal="left" vertical="center" wrapText="1" readingOrder="1"/>
      <protection locked="0"/>
    </xf>
    <xf numFmtId="0" fontId="22" fillId="54" borderId="0" xfId="0" applyFont="1" applyFill="1" applyAlignment="1" applyProtection="1">
      <alignment vertical="center" wrapText="1"/>
      <protection locked="0"/>
    </xf>
    <xf numFmtId="0" fontId="71" fillId="0" borderId="67" xfId="0" applyFont="1" applyBorder="1" applyAlignment="1">
      <alignment horizontal="center" vertical="center" wrapText="1" readingOrder="1"/>
    </xf>
    <xf numFmtId="0" fontId="71" fillId="0" borderId="91" xfId="0" applyFont="1" applyBorder="1" applyAlignment="1">
      <alignment horizontal="center" vertical="center" wrapText="1" readingOrder="1"/>
    </xf>
    <xf numFmtId="0" fontId="71" fillId="0" borderId="28" xfId="0" applyFont="1" applyBorder="1" applyAlignment="1">
      <alignment horizontal="center" vertical="center" wrapText="1" readingOrder="1"/>
    </xf>
    <xf numFmtId="0" fontId="31" fillId="4" borderId="141" xfId="0" applyFont="1" applyFill="1" applyBorder="1" applyAlignment="1">
      <alignment horizontal="left" vertical="center" wrapText="1"/>
    </xf>
    <xf numFmtId="0" fontId="12" fillId="4" borderId="132" xfId="9" applyFill="1" applyBorder="1" applyAlignment="1">
      <alignment horizontal="left" vertical="center" wrapText="1"/>
    </xf>
    <xf numFmtId="10" fontId="22" fillId="4" borderId="3" xfId="0" applyNumberFormat="1" applyFont="1" applyFill="1" applyBorder="1" applyAlignment="1">
      <alignment horizontal="center" vertical="center" wrapText="1"/>
    </xf>
    <xf numFmtId="1" fontId="6" fillId="47" borderId="202" xfId="0" applyNumberFormat="1" applyFont="1" applyFill="1" applyBorder="1" applyAlignment="1" applyProtection="1">
      <alignment horizontal="center"/>
      <protection locked="0"/>
    </xf>
    <xf numFmtId="1" fontId="6" fillId="47" borderId="203" xfId="0" applyNumberFormat="1" applyFont="1" applyFill="1" applyBorder="1" applyAlignment="1" applyProtection="1">
      <alignment horizontal="center"/>
      <protection locked="0"/>
    </xf>
    <xf numFmtId="1" fontId="6" fillId="47" borderId="204" xfId="0" applyNumberFormat="1" applyFont="1" applyFill="1" applyBorder="1" applyAlignment="1" applyProtection="1">
      <alignment horizontal="center"/>
      <protection locked="0"/>
    </xf>
    <xf numFmtId="0" fontId="68" fillId="47" borderId="0" xfId="0" applyFont="1" applyFill="1" applyAlignment="1" applyProtection="1">
      <alignment vertical="center"/>
      <protection locked="0"/>
    </xf>
    <xf numFmtId="0" fontId="6" fillId="16" borderId="27" xfId="0" applyFont="1" applyFill="1" applyBorder="1"/>
    <xf numFmtId="0" fontId="84" fillId="42" borderId="0" xfId="0" applyFont="1" applyFill="1" applyAlignment="1">
      <alignment horizontal="center"/>
    </xf>
    <xf numFmtId="0" fontId="22" fillId="20" borderId="0" xfId="0" applyFont="1" applyFill="1" applyAlignment="1">
      <alignment horizontal="center"/>
    </xf>
    <xf numFmtId="184" fontId="6" fillId="16" borderId="0" xfId="0" applyNumberFormat="1" applyFont="1" applyFill="1"/>
    <xf numFmtId="169" fontId="6" fillId="0" borderId="0" xfId="1" applyFont="1"/>
    <xf numFmtId="174" fontId="6" fillId="0" borderId="0" xfId="2" applyNumberFormat="1" applyFont="1"/>
    <xf numFmtId="174" fontId="6" fillId="0" borderId="0" xfId="0" applyNumberFormat="1" applyFont="1"/>
    <xf numFmtId="0" fontId="125" fillId="20" borderId="1" xfId="9" applyFont="1" applyFill="1" applyBorder="1" applyAlignment="1">
      <alignment horizontal="center" vertical="center" wrapText="1"/>
    </xf>
    <xf numFmtId="9" fontId="11" fillId="0" borderId="3" xfId="6" applyFont="1" applyBorder="1" applyAlignment="1">
      <alignment horizontal="center" vertical="center"/>
    </xf>
    <xf numFmtId="0" fontId="6" fillId="16" borderId="0" xfId="0" applyFont="1" applyFill="1" applyAlignment="1" applyProtection="1">
      <alignment horizontal="left" wrapText="1"/>
      <protection locked="0"/>
    </xf>
    <xf numFmtId="0" fontId="69" fillId="0" borderId="0" xfId="0" applyFont="1" applyAlignment="1">
      <alignment wrapText="1"/>
    </xf>
    <xf numFmtId="0" fontId="0" fillId="0" borderId="0" xfId="0" applyAlignment="1">
      <alignment wrapText="1"/>
    </xf>
    <xf numFmtId="0" fontId="65" fillId="0" borderId="0" xfId="18"/>
    <xf numFmtId="0" fontId="66" fillId="25" borderId="205" xfId="18" applyFont="1" applyFill="1" applyBorder="1"/>
    <xf numFmtId="0" fontId="66" fillId="26" borderId="205" xfId="18" applyFont="1" applyFill="1" applyBorder="1"/>
    <xf numFmtId="0" fontId="66" fillId="25" borderId="205" xfId="18" applyFont="1" applyFill="1" applyBorder="1" applyAlignment="1">
      <alignment horizontal="center"/>
    </xf>
    <xf numFmtId="0" fontId="66" fillId="25" borderId="205" xfId="18" applyFont="1" applyFill="1" applyBorder="1" applyAlignment="1">
      <alignment horizontal="left"/>
    </xf>
    <xf numFmtId="0" fontId="66" fillId="24" borderId="205" xfId="18" applyFont="1" applyFill="1" applyBorder="1"/>
    <xf numFmtId="0" fontId="66" fillId="24" borderId="205" xfId="18" applyFont="1" applyFill="1" applyBorder="1" applyAlignment="1">
      <alignment horizontal="center"/>
    </xf>
    <xf numFmtId="0" fontId="17" fillId="20" borderId="94" xfId="0" applyFont="1" applyFill="1" applyBorder="1" applyAlignment="1">
      <alignment vertical="center" wrapText="1" readingOrder="1"/>
    </xf>
    <xf numFmtId="0" fontId="24" fillId="20" borderId="2" xfId="0" applyFont="1" applyFill="1" applyBorder="1" applyAlignment="1">
      <alignment horizontal="center" vertical="center" wrapText="1"/>
    </xf>
    <xf numFmtId="1" fontId="6" fillId="47" borderId="71" xfId="0" applyNumberFormat="1" applyFont="1" applyFill="1" applyBorder="1" applyAlignment="1" applyProtection="1">
      <alignment horizontal="center"/>
      <protection locked="0"/>
    </xf>
    <xf numFmtId="0" fontId="6" fillId="4" borderId="130" xfId="0" applyFont="1" applyFill="1" applyBorder="1" applyAlignment="1" applyProtection="1">
      <alignment horizontal="center" vertical="center"/>
      <protection locked="0"/>
    </xf>
    <xf numFmtId="0" fontId="106" fillId="16" borderId="0" xfId="5" applyFont="1" applyFill="1"/>
    <xf numFmtId="0" fontId="17" fillId="16" borderId="0" xfId="8" applyFont="1" applyFill="1" applyBorder="1" applyAlignment="1" applyProtection="1">
      <alignment horizontal="center" wrapText="1"/>
      <protection locked="0"/>
    </xf>
    <xf numFmtId="0" fontId="71" fillId="4" borderId="211" xfId="0" applyFont="1" applyFill="1" applyBorder="1" applyAlignment="1">
      <alignment horizontal="center" vertical="center" wrapText="1" readingOrder="1"/>
    </xf>
    <xf numFmtId="9" fontId="71" fillId="20" borderId="211" xfId="0" applyNumberFormat="1" applyFont="1" applyFill="1" applyBorder="1" applyAlignment="1">
      <alignment vertical="center" wrapText="1" readingOrder="1"/>
    </xf>
    <xf numFmtId="0" fontId="71" fillId="4" borderId="212" xfId="0" applyFont="1" applyFill="1" applyBorder="1" applyAlignment="1">
      <alignment horizontal="center" vertical="center" wrapText="1" readingOrder="1"/>
    </xf>
    <xf numFmtId="0" fontId="71" fillId="4" borderId="213" xfId="0" applyFont="1" applyFill="1" applyBorder="1" applyAlignment="1">
      <alignment horizontal="center" vertical="center" wrapText="1" readingOrder="1"/>
    </xf>
    <xf numFmtId="0" fontId="70" fillId="4" borderId="132" xfId="0" applyFont="1" applyFill="1" applyBorder="1" applyAlignment="1">
      <alignment horizontal="left" vertical="center" wrapText="1" readingOrder="1"/>
    </xf>
    <xf numFmtId="0" fontId="71" fillId="0" borderId="121" xfId="0" applyFont="1" applyBorder="1" applyAlignment="1">
      <alignment horizontal="center" vertical="center" wrapText="1" readingOrder="1"/>
    </xf>
    <xf numFmtId="0" fontId="17" fillId="20" borderId="1" xfId="0" applyFont="1" applyFill="1" applyBorder="1" applyAlignment="1">
      <alignment vertical="center" wrapText="1" readingOrder="1"/>
    </xf>
    <xf numFmtId="0" fontId="17" fillId="20" borderId="2" xfId="0" applyFont="1" applyFill="1" applyBorder="1" applyAlignment="1">
      <alignment vertical="center" wrapText="1" readingOrder="1"/>
    </xf>
    <xf numFmtId="0" fontId="126" fillId="16" borderId="0" xfId="0" applyFont="1" applyFill="1" applyProtection="1">
      <protection locked="0"/>
    </xf>
    <xf numFmtId="170" fontId="126" fillId="16" borderId="0" xfId="2" applyNumberFormat="1" applyFont="1" applyFill="1"/>
    <xf numFmtId="9" fontId="126" fillId="16" borderId="0" xfId="0" applyNumberFormat="1" applyFont="1" applyFill="1"/>
    <xf numFmtId="168" fontId="126" fillId="16" borderId="0" xfId="2" applyFont="1" applyFill="1"/>
    <xf numFmtId="0" fontId="69" fillId="28" borderId="122" xfId="8" applyFont="1" applyFill="1" applyBorder="1" applyAlignment="1" applyProtection="1">
      <alignment horizontal="center" vertical="center" wrapText="1"/>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2" xfId="8" applyFont="1" applyFill="1" applyBorder="1" applyAlignment="1" applyProtection="1">
      <alignment horizontal="center" vertical="center" wrapText="1"/>
    </xf>
    <xf numFmtId="0" fontId="11" fillId="6" borderId="0" xfId="0" applyFont="1" applyFill="1"/>
    <xf numFmtId="1" fontId="11" fillId="6" borderId="0" xfId="0" applyNumberFormat="1" applyFont="1" applyFill="1" applyAlignment="1">
      <alignment horizontal="center"/>
    </xf>
    <xf numFmtId="0" fontId="22" fillId="6" borderId="0" xfId="0" applyFont="1" applyFill="1"/>
    <xf numFmtId="14" fontId="22" fillId="6" borderId="0" xfId="0" applyNumberFormat="1" applyFont="1" applyFill="1"/>
    <xf numFmtId="0" fontId="6" fillId="6" borderId="0" xfId="0" applyFont="1" applyFill="1" applyAlignment="1">
      <alignment horizontal="center"/>
    </xf>
    <xf numFmtId="2" fontId="6" fillId="19" borderId="58" xfId="5" applyNumberFormat="1" applyFont="1" applyFill="1" applyBorder="1" applyAlignment="1" applyProtection="1">
      <alignment vertical="center" wrapText="1"/>
      <protection locked="0"/>
    </xf>
    <xf numFmtId="1" fontId="54" fillId="47" borderId="127" xfId="2" applyNumberFormat="1" applyFont="1" applyFill="1" applyBorder="1" applyAlignment="1" applyProtection="1">
      <alignment horizontal="left" vertical="center"/>
      <protection locked="0"/>
    </xf>
    <xf numFmtId="9" fontId="87" fillId="31" borderId="3" xfId="6" applyFont="1" applyFill="1" applyBorder="1" applyAlignment="1" applyProtection="1">
      <alignment horizontal="right" vertical="center" wrapText="1" indent="2"/>
      <protection locked="0"/>
    </xf>
    <xf numFmtId="0" fontId="84" fillId="16" borderId="0" xfId="0" applyFont="1" applyFill="1" applyAlignment="1">
      <alignment vertical="center" wrapText="1"/>
    </xf>
    <xf numFmtId="169" fontId="22" fillId="16" borderId="0" xfId="1" applyFont="1" applyFill="1" applyAlignment="1">
      <alignment horizontal="left" vertical="top" wrapText="1" indent="2"/>
    </xf>
    <xf numFmtId="169" fontId="22" fillId="16" borderId="0" xfId="1" applyFont="1" applyFill="1" applyBorder="1" applyAlignment="1">
      <alignment horizontal="left" vertical="top" wrapText="1" indent="2"/>
    </xf>
    <xf numFmtId="0" fontId="22" fillId="16" borderId="0" xfId="5" applyFont="1" applyFill="1" applyAlignment="1">
      <alignment horizontal="left" vertical="top" wrapText="1" indent="2"/>
    </xf>
    <xf numFmtId="169" fontId="22" fillId="16" borderId="0" xfId="1" quotePrefix="1" applyFont="1" applyFill="1" applyBorder="1" applyAlignment="1">
      <alignment horizontal="left" vertical="top" wrapText="1" indent="4"/>
    </xf>
    <xf numFmtId="169" fontId="22" fillId="16" borderId="0" xfId="1" applyFont="1" applyFill="1" applyBorder="1" applyAlignment="1">
      <alignment horizontal="left" vertical="top" wrapText="1" indent="4"/>
    </xf>
    <xf numFmtId="169" fontId="22" fillId="16" borderId="0" xfId="1" quotePrefix="1" applyFont="1" applyFill="1" applyAlignment="1">
      <alignment horizontal="left" vertical="top" wrapText="1" indent="4"/>
    </xf>
    <xf numFmtId="169" fontId="22" fillId="16" borderId="0" xfId="1" applyFont="1" applyFill="1" applyAlignment="1">
      <alignment horizontal="left" vertical="top" wrapText="1" indent="4"/>
    </xf>
    <xf numFmtId="0" fontId="6" fillId="16" borderId="0" xfId="5" applyFont="1" applyFill="1" applyAlignment="1">
      <alignment horizontal="left" vertical="center" wrapText="1"/>
    </xf>
    <xf numFmtId="1" fontId="26" fillId="16" borderId="118" xfId="0" applyNumberFormat="1" applyFont="1" applyFill="1" applyBorder="1" applyAlignment="1">
      <alignment horizontal="left" vertical="top" wrapText="1"/>
    </xf>
    <xf numFmtId="0" fontId="11" fillId="20" borderId="1" xfId="0" applyFont="1" applyFill="1" applyBorder="1" applyAlignment="1">
      <alignment horizontal="left"/>
    </xf>
    <xf numFmtId="0" fontId="11" fillId="20" borderId="2" xfId="0" applyFont="1" applyFill="1" applyBorder="1" applyAlignment="1">
      <alignment horizontal="left"/>
    </xf>
    <xf numFmtId="0" fontId="22" fillId="16" borderId="118" xfId="5" applyFont="1" applyFill="1" applyBorder="1" applyAlignment="1">
      <alignment horizontal="left" vertical="center" wrapText="1"/>
    </xf>
    <xf numFmtId="1" fontId="26" fillId="16" borderId="0" xfId="0" applyNumberFormat="1" applyFont="1" applyFill="1" applyAlignment="1">
      <alignment horizontal="left" vertical="top" wrapText="1"/>
    </xf>
    <xf numFmtId="0" fontId="26" fillId="16" borderId="0" xfId="0" applyFont="1" applyFill="1" applyAlignment="1">
      <alignment horizontal="left" vertical="top" wrapText="1"/>
    </xf>
    <xf numFmtId="0" fontId="26" fillId="16" borderId="0" xfId="0" applyFont="1" applyFill="1" applyAlignment="1">
      <alignment horizontal="left" vertical="top" wrapText="1" indent="4"/>
    </xf>
    <xf numFmtId="0" fontId="54" fillId="4" borderId="128" xfId="0" applyFont="1" applyFill="1" applyBorder="1" applyAlignment="1" applyProtection="1">
      <alignment horizontal="left" vertical="center"/>
      <protection locked="0"/>
    </xf>
    <xf numFmtId="0" fontId="54" fillId="4" borderId="129" xfId="0" applyFont="1" applyFill="1" applyBorder="1" applyAlignment="1" applyProtection="1">
      <alignment horizontal="left" vertical="center"/>
      <protection locked="0"/>
    </xf>
    <xf numFmtId="0" fontId="54" fillId="4" borderId="126" xfId="0" applyFont="1" applyFill="1" applyBorder="1" applyAlignment="1" applyProtection="1">
      <alignment horizontal="left" vertical="center"/>
      <protection locked="0"/>
    </xf>
    <xf numFmtId="0" fontId="54" fillId="4" borderId="127" xfId="0" applyFont="1" applyFill="1" applyBorder="1" applyAlignment="1" applyProtection="1">
      <alignment horizontal="left" vertical="center"/>
      <protection locked="0"/>
    </xf>
    <xf numFmtId="0" fontId="22" fillId="16" borderId="0" xfId="5" applyFont="1" applyFill="1" applyAlignment="1">
      <alignment horizontal="left" vertical="center" wrapText="1"/>
    </xf>
    <xf numFmtId="0" fontId="22" fillId="16" borderId="0" xfId="0" applyFont="1" applyFill="1" applyAlignment="1">
      <alignment horizontal="left" vertical="center" wrapText="1" indent="3"/>
    </xf>
    <xf numFmtId="0" fontId="54" fillId="4" borderId="102" xfId="0" applyFont="1" applyFill="1" applyBorder="1" applyAlignment="1" applyProtection="1">
      <alignment horizontal="left" vertical="center"/>
      <protection locked="0"/>
    </xf>
    <xf numFmtId="0" fontId="54" fillId="4" borderId="149" xfId="0" applyFont="1" applyFill="1" applyBorder="1" applyAlignment="1" applyProtection="1">
      <alignment horizontal="left" vertical="center"/>
      <protection locked="0"/>
    </xf>
    <xf numFmtId="0" fontId="26" fillId="16" borderId="50" xfId="0" applyFont="1" applyFill="1" applyBorder="1" applyAlignment="1">
      <alignment horizontal="left" vertical="top" wrapText="1"/>
    </xf>
    <xf numFmtId="0" fontId="54" fillId="4" borderId="101" xfId="0" applyFont="1" applyFill="1" applyBorder="1" applyAlignment="1" applyProtection="1">
      <alignment horizontal="left" vertical="center"/>
      <protection locked="0"/>
    </xf>
    <xf numFmtId="0" fontId="54" fillId="4" borderId="148" xfId="0" applyFont="1" applyFill="1" applyBorder="1" applyAlignment="1" applyProtection="1">
      <alignment horizontal="left" vertical="center"/>
      <protection locked="0"/>
    </xf>
    <xf numFmtId="0" fontId="69" fillId="42" borderId="105" xfId="5" applyFont="1" applyFill="1" applyBorder="1" applyAlignment="1">
      <alignment horizontal="center" vertical="center"/>
    </xf>
    <xf numFmtId="0" fontId="69" fillId="42" borderId="106" xfId="5" applyFont="1" applyFill="1" applyBorder="1" applyAlignment="1">
      <alignment horizontal="center" vertical="center"/>
    </xf>
    <xf numFmtId="0" fontId="69" fillId="42" borderId="107" xfId="5" applyFont="1" applyFill="1" applyBorder="1" applyAlignment="1">
      <alignment horizontal="center" vertical="center"/>
    </xf>
    <xf numFmtId="0" fontId="11" fillId="20" borderId="26" xfId="0" applyFont="1" applyFill="1" applyBorder="1" applyAlignment="1">
      <alignment horizontal="left" vertical="top" wrapText="1"/>
    </xf>
    <xf numFmtId="0" fontId="11" fillId="20" borderId="67" xfId="0" applyFont="1" applyFill="1" applyBorder="1" applyAlignment="1">
      <alignment horizontal="left" vertical="top" wrapText="1"/>
    </xf>
    <xf numFmtId="0" fontId="11" fillId="20" borderId="69" xfId="0" applyFont="1" applyFill="1" applyBorder="1" applyAlignment="1">
      <alignment horizontal="left" vertical="top" wrapText="1"/>
    </xf>
    <xf numFmtId="0" fontId="11" fillId="20" borderId="28" xfId="0" applyFont="1" applyFill="1" applyBorder="1" applyAlignment="1">
      <alignment horizontal="left" vertical="top" wrapText="1"/>
    </xf>
    <xf numFmtId="0" fontId="6" fillId="16" borderId="0" xfId="0" applyFont="1" applyFill="1" applyAlignment="1">
      <alignment horizontal="center" vertical="center" wrapText="1"/>
    </xf>
    <xf numFmtId="0" fontId="31" fillId="20" borderId="122" xfId="0" applyFont="1" applyFill="1" applyBorder="1" applyAlignment="1">
      <alignment horizontal="left" vertical="center"/>
    </xf>
    <xf numFmtId="0" fontId="31" fillId="20" borderId="123" xfId="0" applyFont="1" applyFill="1" applyBorder="1" applyAlignment="1">
      <alignment horizontal="left" vertical="center"/>
    </xf>
    <xf numFmtId="0" fontId="11" fillId="20" borderId="122" xfId="0" applyFont="1" applyFill="1" applyBorder="1" applyAlignment="1">
      <alignment horizontal="left" vertical="center"/>
    </xf>
    <xf numFmtId="0" fontId="11" fillId="20" borderId="123" xfId="0" applyFont="1" applyFill="1" applyBorder="1" applyAlignment="1">
      <alignment horizontal="left" vertical="center"/>
    </xf>
    <xf numFmtId="0" fontId="104" fillId="42" borderId="0" xfId="1" applyNumberFormat="1" applyFont="1" applyFill="1" applyAlignment="1">
      <alignment horizontal="left" vertical="top"/>
    </xf>
    <xf numFmtId="0" fontId="6" fillId="4" borderId="102" xfId="0" applyFont="1" applyFill="1" applyBorder="1" applyAlignment="1">
      <alignment horizontal="left" indent="5"/>
    </xf>
    <xf numFmtId="0" fontId="31" fillId="4" borderId="131" xfId="0" applyFont="1" applyFill="1" applyBorder="1" applyAlignment="1">
      <alignment horizontal="left" vertical="center"/>
    </xf>
    <xf numFmtId="0" fontId="31" fillId="4" borderId="102" xfId="0" applyFont="1" applyFill="1" applyBorder="1" applyAlignment="1">
      <alignment horizontal="left" vertical="center"/>
    </xf>
    <xf numFmtId="0" fontId="11" fillId="4" borderId="102" xfId="4" applyFont="1" applyFill="1" applyBorder="1" applyAlignment="1" applyProtection="1">
      <alignment vertical="center"/>
    </xf>
    <xf numFmtId="0" fontId="11" fillId="4" borderId="102" xfId="4" applyFont="1" applyFill="1" applyBorder="1" applyAlignment="1" applyProtection="1">
      <alignment vertical="center" wrapText="1"/>
    </xf>
    <xf numFmtId="0" fontId="31" fillId="4" borderId="103" xfId="0" applyFont="1" applyFill="1" applyBorder="1" applyAlignment="1">
      <alignment horizontal="left" vertical="center"/>
    </xf>
    <xf numFmtId="0" fontId="17" fillId="4" borderId="101" xfId="0" applyFont="1" applyFill="1" applyBorder="1"/>
    <xf numFmtId="0" fontId="22" fillId="16" borderId="0" xfId="0" applyFont="1" applyFill="1" applyAlignment="1">
      <alignment horizontal="left" vertical="top" wrapText="1" indent="4"/>
    </xf>
    <xf numFmtId="0" fontId="6" fillId="16" borderId="0" xfId="0" applyFont="1" applyFill="1" applyAlignment="1">
      <alignment horizontal="left" vertical="top" wrapText="1" indent="6"/>
    </xf>
    <xf numFmtId="0" fontId="6" fillId="16" borderId="118" xfId="0" quotePrefix="1" applyFont="1" applyFill="1" applyBorder="1" applyAlignment="1" applyProtection="1">
      <alignment horizontal="left" vertical="top" wrapText="1"/>
      <protection locked="0"/>
    </xf>
    <xf numFmtId="0" fontId="6" fillId="16" borderId="162" xfId="0" quotePrefix="1" applyFont="1" applyFill="1" applyBorder="1" applyAlignment="1" applyProtection="1">
      <alignment horizontal="left" vertical="top" wrapText="1"/>
      <protection locked="0"/>
    </xf>
    <xf numFmtId="0" fontId="6" fillId="16" borderId="0" xfId="0" applyFont="1" applyFill="1" applyAlignment="1">
      <alignment horizontal="left" vertical="top"/>
    </xf>
    <xf numFmtId="0" fontId="6" fillId="16" borderId="0" xfId="0" applyFont="1" applyFill="1" applyAlignment="1">
      <alignment horizontal="left" vertical="top" indent="4"/>
    </xf>
    <xf numFmtId="0" fontId="22" fillId="47" borderId="155" xfId="0" applyFont="1" applyFill="1" applyBorder="1" applyAlignment="1" applyProtection="1">
      <alignment horizontal="left" vertical="center"/>
      <protection locked="0"/>
    </xf>
    <xf numFmtId="0" fontId="22" fillId="47" borderId="153" xfId="0" applyFont="1" applyFill="1" applyBorder="1" applyAlignment="1" applyProtection="1">
      <alignment horizontal="left" vertical="center"/>
      <protection locked="0"/>
    </xf>
    <xf numFmtId="0" fontId="22" fillId="47" borderId="120" xfId="0" applyFont="1" applyFill="1" applyBorder="1" applyAlignment="1" applyProtection="1">
      <alignment horizontal="left" vertical="center"/>
      <protection locked="0"/>
    </xf>
    <xf numFmtId="0" fontId="22" fillId="47" borderId="156" xfId="0" applyFont="1" applyFill="1" applyBorder="1" applyAlignment="1" applyProtection="1">
      <alignment horizontal="left" vertical="center"/>
      <protection locked="0"/>
    </xf>
    <xf numFmtId="0" fontId="22" fillId="47" borderId="157" xfId="0" applyFont="1" applyFill="1" applyBorder="1" applyAlignment="1" applyProtection="1">
      <alignment horizontal="left" vertical="center"/>
      <protection locked="0"/>
    </xf>
    <xf numFmtId="0" fontId="22" fillId="47" borderId="137" xfId="0" applyFont="1" applyFill="1" applyBorder="1" applyAlignment="1" applyProtection="1">
      <alignment horizontal="left" vertical="center"/>
      <protection locked="0"/>
    </xf>
    <xf numFmtId="0" fontId="54" fillId="47" borderId="155" xfId="0" applyFont="1" applyFill="1" applyBorder="1" applyAlignment="1" applyProtection="1">
      <alignment horizontal="left" vertical="center"/>
      <protection locked="0"/>
    </xf>
    <xf numFmtId="0" fontId="54" fillId="47" borderId="153" xfId="0" applyFont="1" applyFill="1" applyBorder="1" applyAlignment="1" applyProtection="1">
      <alignment horizontal="left" vertical="center"/>
      <protection locked="0"/>
    </xf>
    <xf numFmtId="0" fontId="54" fillId="47" borderId="120" xfId="0" applyFont="1" applyFill="1" applyBorder="1" applyAlignment="1" applyProtection="1">
      <alignment horizontal="left" vertical="center"/>
      <protection locked="0"/>
    </xf>
    <xf numFmtId="0" fontId="51" fillId="16" borderId="0" xfId="0" applyFont="1" applyFill="1" applyAlignment="1" applyProtection="1">
      <alignment horizontal="center"/>
      <protection locked="0"/>
    </xf>
    <xf numFmtId="0" fontId="11" fillId="16" borderId="0" xfId="0" applyFont="1" applyFill="1" applyAlignment="1">
      <alignment horizontal="center" vertical="center" wrapText="1"/>
    </xf>
    <xf numFmtId="0" fontId="6" fillId="16" borderId="0" xfId="0" applyFont="1" applyFill="1" applyAlignment="1">
      <alignment horizontal="left" vertical="top" wrapText="1"/>
    </xf>
    <xf numFmtId="172" fontId="6" fillId="16" borderId="0" xfId="0" applyNumberFormat="1" applyFont="1" applyFill="1" applyAlignment="1" applyProtection="1">
      <alignment horizontal="left" vertical="top" wrapText="1"/>
      <protection locked="0"/>
    </xf>
    <xf numFmtId="0" fontId="18" fillId="16" borderId="0" xfId="3" applyFont="1" applyFill="1" applyBorder="1" applyAlignment="1" applyProtection="1">
      <alignment horizontal="center" vertical="center" wrapText="1"/>
      <protection locked="0"/>
    </xf>
    <xf numFmtId="0" fontId="6" fillId="4" borderId="102" xfId="0" applyFont="1" applyFill="1" applyBorder="1" applyAlignment="1" applyProtection="1">
      <alignment horizontal="center" vertical="center"/>
      <protection locked="0"/>
    </xf>
    <xf numFmtId="0" fontId="6" fillId="4" borderId="120" xfId="0" applyFont="1" applyFill="1" applyBorder="1" applyAlignment="1" applyProtection="1">
      <alignment horizontal="center" vertical="center"/>
      <protection locked="0"/>
    </xf>
    <xf numFmtId="173" fontId="6" fillId="16" borderId="0" xfId="5" applyNumberFormat="1" applyFont="1" applyFill="1" applyAlignment="1" applyProtection="1">
      <alignment horizontal="center" wrapText="1"/>
      <protection locked="0"/>
    </xf>
    <xf numFmtId="0" fontId="69" fillId="42" borderId="105" xfId="0" applyFont="1" applyFill="1" applyBorder="1" applyAlignment="1">
      <alignment horizontal="center" vertical="center"/>
    </xf>
    <xf numFmtId="0" fontId="58" fillId="16" borderId="118" xfId="5" applyFont="1" applyFill="1" applyBorder="1" applyAlignment="1">
      <alignment horizontal="left" vertical="top" wrapText="1"/>
    </xf>
    <xf numFmtId="0" fontId="58" fillId="16" borderId="162" xfId="5" applyFont="1" applyFill="1" applyBorder="1" applyAlignment="1">
      <alignment horizontal="left" vertical="top" wrapText="1"/>
    </xf>
    <xf numFmtId="0" fontId="6" fillId="16" borderId="72" xfId="0" applyFont="1" applyFill="1" applyBorder="1" applyAlignment="1">
      <alignment horizontal="left" vertical="top" wrapText="1"/>
    </xf>
    <xf numFmtId="0" fontId="69" fillId="42" borderId="106" xfId="0" applyFont="1" applyFill="1" applyBorder="1" applyAlignment="1">
      <alignment horizontal="center" vertical="center"/>
    </xf>
    <xf numFmtId="0" fontId="12" fillId="42" borderId="158" xfId="9" applyFill="1" applyBorder="1" applyAlignment="1" applyProtection="1">
      <alignment horizontal="center" vertical="center" wrapText="1"/>
      <protection locked="0"/>
    </xf>
    <xf numFmtId="0" fontId="12" fillId="42" borderId="194" xfId="9" applyFill="1" applyBorder="1" applyAlignment="1" applyProtection="1">
      <alignment horizontal="center" vertical="center" wrapText="1"/>
      <protection locked="0"/>
    </xf>
    <xf numFmtId="0" fontId="103" fillId="42" borderId="0" xfId="0" applyFont="1" applyFill="1" applyAlignment="1">
      <alignment horizontal="left"/>
    </xf>
    <xf numFmtId="0" fontId="58" fillId="16" borderId="0" xfId="5" applyFont="1" applyFill="1" applyAlignment="1">
      <alignment horizontal="left" vertical="top" wrapText="1"/>
    </xf>
    <xf numFmtId="0" fontId="58" fillId="16" borderId="0" xfId="5" applyFont="1" applyFill="1" applyAlignment="1">
      <alignment horizontal="left" vertical="top" wrapText="1" indent="5"/>
    </xf>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84" fillId="42" borderId="0" xfId="1" applyNumberFormat="1" applyFont="1" applyFill="1" applyAlignment="1">
      <alignment horizontal="left" vertical="top" wrapText="1"/>
    </xf>
    <xf numFmtId="172" fontId="48" fillId="16" borderId="0" xfId="0" applyNumberFormat="1" applyFont="1" applyFill="1" applyAlignment="1" applyProtection="1">
      <alignment horizontal="left" vertical="center" wrapText="1"/>
      <protection locked="0"/>
    </xf>
    <xf numFmtId="0" fontId="6" fillId="16" borderId="0" xfId="0" quotePrefix="1" applyFont="1" applyFill="1" applyAlignment="1" applyProtection="1">
      <alignment horizontal="left" vertical="top" wrapText="1" indent="4"/>
      <protection locked="0"/>
    </xf>
    <xf numFmtId="0" fontId="18" fillId="20" borderId="1" xfId="3" applyFont="1" applyFill="1" applyBorder="1" applyAlignment="1" applyProtection="1">
      <alignment horizontal="center" vertical="center" wrapText="1"/>
    </xf>
    <xf numFmtId="0" fontId="54" fillId="4" borderId="154" xfId="0" applyFont="1" applyFill="1" applyBorder="1" applyAlignment="1" applyProtection="1">
      <alignment vertical="center"/>
      <protection locked="0"/>
    </xf>
    <xf numFmtId="0" fontId="54" fillId="4" borderId="155" xfId="0" applyFont="1" applyFill="1" applyBorder="1" applyAlignment="1" applyProtection="1">
      <alignment vertical="center"/>
      <protection locked="0"/>
    </xf>
    <xf numFmtId="0" fontId="54" fillId="4" borderId="120" xfId="0" applyFont="1" applyFill="1" applyBorder="1" applyAlignment="1" applyProtection="1">
      <alignment vertical="center"/>
      <protection locked="0"/>
    </xf>
    <xf numFmtId="0" fontId="6" fillId="16" borderId="0" xfId="0" applyFont="1" applyFill="1" applyAlignment="1" applyProtection="1">
      <alignment horizontal="left"/>
      <protection locked="0"/>
    </xf>
    <xf numFmtId="0" fontId="18" fillId="20" borderId="1" xfId="3" applyFont="1" applyFill="1" applyBorder="1" applyAlignment="1" applyProtection="1">
      <alignment horizontal="center" vertical="center" wrapText="1"/>
      <protection locked="0"/>
    </xf>
    <xf numFmtId="0" fontId="22" fillId="47" borderId="154" xfId="0" applyFont="1" applyFill="1" applyBorder="1" applyAlignment="1" applyProtection="1">
      <alignment horizontal="left" vertical="center"/>
      <protection locked="0"/>
    </xf>
    <xf numFmtId="0" fontId="17" fillId="20" borderId="26" xfId="8" applyFont="1" applyFill="1" applyBorder="1" applyAlignment="1" applyProtection="1">
      <alignment horizontal="center" vertical="center" wrapText="1"/>
      <protection locked="0"/>
    </xf>
    <xf numFmtId="0" fontId="17" fillId="20" borderId="162" xfId="8" applyFont="1" applyFill="1" applyBorder="1" applyAlignment="1" applyProtection="1">
      <alignment horizontal="center" vertical="center" wrapText="1"/>
      <protection locked="0"/>
    </xf>
    <xf numFmtId="0" fontId="17" fillId="20" borderId="67" xfId="8" applyFont="1" applyFill="1" applyBorder="1" applyAlignment="1" applyProtection="1">
      <alignment horizontal="center" vertical="center" wrapText="1"/>
      <protection locked="0"/>
    </xf>
    <xf numFmtId="0" fontId="6" fillId="16" borderId="206" xfId="0" quotePrefix="1" applyFont="1" applyFill="1" applyBorder="1" applyAlignment="1">
      <alignment horizontal="center" vertical="top" wrapText="1"/>
    </xf>
    <xf numFmtId="0" fontId="6" fillId="16" borderId="0" xfId="0" quotePrefix="1" applyFont="1" applyFill="1" applyAlignment="1">
      <alignment horizontal="left" vertical="top" wrapText="1" indent="4"/>
    </xf>
    <xf numFmtId="0" fontId="6" fillId="16" borderId="0" xfId="0" quotePrefix="1" applyFont="1" applyFill="1" applyAlignment="1">
      <alignment horizontal="left" vertical="top" wrapText="1"/>
    </xf>
    <xf numFmtId="0" fontId="54" fillId="4" borderId="155" xfId="0" applyFont="1" applyFill="1" applyBorder="1" applyAlignment="1" applyProtection="1">
      <alignment horizontal="center" vertical="center"/>
      <protection locked="0"/>
    </xf>
    <xf numFmtId="0" fontId="54" fillId="4" borderId="156" xfId="0" applyFont="1" applyFill="1" applyBorder="1" applyAlignment="1" applyProtection="1">
      <alignment horizontal="center" vertical="center"/>
      <protection locked="0"/>
    </xf>
    <xf numFmtId="0" fontId="68" fillId="47" borderId="1" xfId="0" applyFont="1" applyFill="1" applyBorder="1" applyAlignment="1" applyProtection="1">
      <alignment horizontal="center" vertical="center"/>
      <protection locked="0"/>
    </xf>
    <xf numFmtId="0" fontId="68" fillId="47" borderId="94" xfId="0" applyFont="1" applyFill="1" applyBorder="1" applyAlignment="1" applyProtection="1">
      <alignment horizontal="center" vertical="center"/>
      <protection locked="0"/>
    </xf>
    <xf numFmtId="0" fontId="68" fillId="47" borderId="2" xfId="0" applyFont="1" applyFill="1" applyBorder="1" applyAlignment="1" applyProtection="1">
      <alignment horizontal="center" vertical="center"/>
      <protection locked="0"/>
    </xf>
    <xf numFmtId="0" fontId="17" fillId="43" borderId="1" xfId="0" applyFont="1" applyFill="1" applyBorder="1" applyAlignment="1">
      <alignment horizontal="center" vertical="center" wrapText="1"/>
    </xf>
    <xf numFmtId="0" fontId="17" fillId="43" borderId="2" xfId="0" applyFont="1" applyFill="1" applyBorder="1" applyAlignment="1">
      <alignment horizontal="center" vertical="center" wrapText="1"/>
    </xf>
    <xf numFmtId="0" fontId="6" fillId="16" borderId="0" xfId="0" quotePrefix="1" applyFont="1" applyFill="1" applyAlignment="1" applyProtection="1">
      <alignment horizontal="left" vertical="top" wrapText="1"/>
      <protection locked="0"/>
    </xf>
    <xf numFmtId="0" fontId="18" fillId="20" borderId="2" xfId="3" applyFont="1" applyFill="1" applyBorder="1" applyAlignment="1" applyProtection="1">
      <alignment horizontal="center" vertical="center" wrapText="1"/>
      <protection locked="0"/>
    </xf>
    <xf numFmtId="0" fontId="6" fillId="4" borderId="101" xfId="0" applyFont="1" applyFill="1" applyBorder="1" applyAlignment="1" applyProtection="1">
      <alignment horizontal="center" vertical="center"/>
      <protection locked="0"/>
    </xf>
    <xf numFmtId="0" fontId="6" fillId="4" borderId="136" xfId="0" applyFont="1" applyFill="1" applyBorder="1" applyAlignment="1" applyProtection="1">
      <alignment horizontal="center" vertical="center"/>
      <protection locked="0"/>
    </xf>
    <xf numFmtId="0" fontId="22" fillId="16" borderId="0" xfId="0" applyFont="1" applyFill="1" applyAlignment="1">
      <alignment horizontal="left" vertical="top" wrapText="1"/>
    </xf>
    <xf numFmtId="0" fontId="6" fillId="4" borderId="103" xfId="0" applyFont="1" applyFill="1" applyBorder="1" applyAlignment="1" applyProtection="1">
      <alignment horizontal="center" vertical="center"/>
      <protection locked="0"/>
    </xf>
    <xf numFmtId="0" fontId="6" fillId="4" borderId="137" xfId="0" applyFont="1" applyFill="1" applyBorder="1" applyAlignment="1" applyProtection="1">
      <alignment horizontal="center" vertical="center"/>
      <protection locked="0"/>
    </xf>
    <xf numFmtId="170" fontId="22" fillId="52" borderId="71" xfId="2" applyNumberFormat="1" applyFont="1" applyFill="1" applyBorder="1" applyProtection="1">
      <protection locked="0"/>
    </xf>
    <xf numFmtId="170" fontId="22" fillId="52" borderId="91" xfId="2" applyNumberFormat="1" applyFont="1" applyFill="1" applyBorder="1" applyProtection="1">
      <protection locked="0"/>
    </xf>
    <xf numFmtId="170" fontId="22" fillId="52" borderId="71" xfId="2" applyNumberFormat="1" applyFont="1" applyFill="1" applyBorder="1" applyAlignment="1" applyProtection="1">
      <alignment vertical="center"/>
      <protection locked="0"/>
    </xf>
    <xf numFmtId="170" fontId="22" fillId="52" borderId="91" xfId="2" applyNumberFormat="1" applyFont="1" applyFill="1" applyBorder="1" applyAlignment="1" applyProtection="1">
      <alignment vertical="center"/>
      <protection locked="0"/>
    </xf>
    <xf numFmtId="14" fontId="22" fillId="52" borderId="71" xfId="2" applyNumberFormat="1" applyFont="1" applyFill="1" applyBorder="1" applyAlignment="1" applyProtection="1">
      <alignment horizontal="left" vertical="center"/>
      <protection locked="0"/>
    </xf>
    <xf numFmtId="14" fontId="22" fillId="52" borderId="91" xfId="2" applyNumberFormat="1" applyFont="1" applyFill="1" applyBorder="1" applyAlignment="1" applyProtection="1">
      <alignment horizontal="left" vertical="center"/>
      <protection locked="0"/>
    </xf>
    <xf numFmtId="0" fontId="22" fillId="52" borderId="193" xfId="2" applyNumberFormat="1" applyFont="1" applyFill="1" applyBorder="1" applyAlignment="1" applyProtection="1">
      <alignment horizontal="left" vertical="center"/>
      <protection locked="0"/>
    </xf>
    <xf numFmtId="0" fontId="22" fillId="52" borderId="28" xfId="2" applyNumberFormat="1" applyFont="1" applyFill="1" applyBorder="1" applyAlignment="1" applyProtection="1">
      <alignment horizontal="left" vertical="center"/>
      <protection locked="0"/>
    </xf>
    <xf numFmtId="0" fontId="18" fillId="7" borderId="47" xfId="5" applyFont="1" applyFill="1" applyBorder="1" applyAlignment="1">
      <alignment horizontal="center" vertical="center" wrapText="1"/>
    </xf>
    <xf numFmtId="0" fontId="18" fillId="7" borderId="46" xfId="5" applyFont="1" applyFill="1" applyBorder="1" applyAlignment="1">
      <alignment horizontal="center" vertical="center" wrapText="1"/>
    </xf>
    <xf numFmtId="0" fontId="18" fillId="7" borderId="32" xfId="5" applyFont="1" applyFill="1" applyBorder="1" applyAlignment="1">
      <alignment horizontal="center" vertical="center" wrapText="1"/>
    </xf>
    <xf numFmtId="0" fontId="18" fillId="7" borderId="40" xfId="5" applyFont="1" applyFill="1" applyBorder="1" applyAlignment="1">
      <alignment horizontal="center" vertical="center" wrapText="1"/>
    </xf>
    <xf numFmtId="0" fontId="18" fillId="7" borderId="0" xfId="5" applyFont="1" applyFill="1" applyAlignment="1">
      <alignment horizontal="center" vertical="center" wrapText="1"/>
    </xf>
    <xf numFmtId="0" fontId="18" fillId="7" borderId="89" xfId="5" applyFont="1" applyFill="1" applyBorder="1" applyAlignment="1">
      <alignment horizontal="center" vertical="center" wrapText="1"/>
    </xf>
    <xf numFmtId="0" fontId="18" fillId="7" borderId="43" xfId="5" applyFont="1" applyFill="1" applyBorder="1" applyAlignment="1">
      <alignment horizontal="center" vertical="center" wrapText="1"/>
    </xf>
    <xf numFmtId="0" fontId="18" fillId="7" borderId="35" xfId="5" applyFont="1" applyFill="1" applyBorder="1" applyAlignment="1">
      <alignment horizontal="center" vertical="center" wrapText="1"/>
    </xf>
    <xf numFmtId="0" fontId="18" fillId="7" borderId="31" xfId="5" applyFont="1" applyFill="1" applyBorder="1" applyAlignment="1">
      <alignment horizontal="center" vertical="center" wrapText="1"/>
    </xf>
    <xf numFmtId="0" fontId="15" fillId="6" borderId="12" xfId="5" applyFont="1" applyFill="1" applyBorder="1" applyAlignment="1">
      <alignment horizontal="center" vertical="center" wrapText="1"/>
    </xf>
    <xf numFmtId="0" fontId="15" fillId="6" borderId="92" xfId="5" applyFont="1" applyFill="1" applyBorder="1" applyAlignment="1">
      <alignment horizontal="center" vertical="center" wrapText="1"/>
    </xf>
    <xf numFmtId="0" fontId="24" fillId="31" borderId="47" xfId="5" applyFont="1" applyFill="1" applyBorder="1" applyAlignment="1">
      <alignment horizontal="center" vertical="center"/>
    </xf>
    <xf numFmtId="0" fontId="24" fillId="31" borderId="46" xfId="5" applyFont="1" applyFill="1" applyBorder="1" applyAlignment="1">
      <alignment horizontal="center" vertical="center"/>
    </xf>
    <xf numFmtId="0" fontId="24" fillId="31" borderId="32" xfId="5" applyFont="1" applyFill="1" applyBorder="1" applyAlignment="1">
      <alignment horizontal="center" vertical="center"/>
    </xf>
    <xf numFmtId="0" fontId="24" fillId="31" borderId="40" xfId="5" applyFont="1" applyFill="1" applyBorder="1" applyAlignment="1">
      <alignment horizontal="center" vertical="center"/>
    </xf>
    <xf numFmtId="0" fontId="24" fillId="31" borderId="0" xfId="5" applyFont="1" applyFill="1" applyAlignment="1">
      <alignment horizontal="center" vertical="center"/>
    </xf>
    <xf numFmtId="0" fontId="24" fillId="31" borderId="89" xfId="5" applyFont="1" applyFill="1" applyBorder="1" applyAlignment="1">
      <alignment horizontal="center" vertical="center"/>
    </xf>
    <xf numFmtId="0" fontId="24" fillId="7" borderId="55" xfId="5" applyFont="1" applyFill="1" applyBorder="1" applyAlignment="1">
      <alignment horizontal="center" vertical="center"/>
    </xf>
    <xf numFmtId="0" fontId="24" fillId="7" borderId="19" xfId="5" applyFont="1" applyFill="1" applyBorder="1" applyAlignment="1">
      <alignment horizontal="center" vertical="center"/>
    </xf>
    <xf numFmtId="0" fontId="24" fillId="7" borderId="67" xfId="5" applyFont="1" applyFill="1" applyBorder="1" applyAlignment="1">
      <alignment horizontal="center" vertical="center"/>
    </xf>
    <xf numFmtId="0" fontId="24" fillId="7" borderId="4" xfId="5" applyFont="1" applyFill="1" applyBorder="1" applyAlignment="1">
      <alignment horizontal="center" vertical="center"/>
    </xf>
    <xf numFmtId="0" fontId="34" fillId="8" borderId="46" xfId="5" applyFont="1" applyFill="1" applyBorder="1" applyAlignment="1" applyProtection="1">
      <alignment horizontal="center" vertical="center"/>
      <protection locked="0"/>
    </xf>
    <xf numFmtId="0" fontId="34" fillId="8" borderId="32" xfId="5" applyFont="1" applyFill="1" applyBorder="1" applyAlignment="1" applyProtection="1">
      <alignment horizontal="center" vertical="center"/>
      <protection locked="0"/>
    </xf>
    <xf numFmtId="0" fontId="34" fillId="8" borderId="47" xfId="5" applyFont="1" applyFill="1" applyBorder="1" applyAlignment="1" applyProtection="1">
      <alignment horizontal="center" vertical="center"/>
      <protection locked="0"/>
    </xf>
    <xf numFmtId="0" fontId="6" fillId="34" borderId="36" xfId="5" applyFont="1" applyFill="1" applyBorder="1" applyAlignment="1" applyProtection="1">
      <alignment horizontal="center" vertical="center"/>
      <protection locked="0"/>
    </xf>
    <xf numFmtId="0" fontId="6" fillId="34" borderId="37" xfId="5" applyFont="1" applyFill="1" applyBorder="1" applyAlignment="1" applyProtection="1">
      <alignment horizontal="center" vertical="center"/>
      <protection locked="0"/>
    </xf>
    <xf numFmtId="0" fontId="83" fillId="35" borderId="36" xfId="5" applyFont="1" applyFill="1" applyBorder="1" applyAlignment="1" applyProtection="1">
      <alignment horizontal="center" vertical="center"/>
      <protection locked="0"/>
    </xf>
    <xf numFmtId="0" fontId="83" fillId="35" borderId="37" xfId="5" applyFont="1" applyFill="1" applyBorder="1" applyAlignment="1" applyProtection="1">
      <alignment horizontal="center" vertical="center"/>
      <protection locked="0"/>
    </xf>
    <xf numFmtId="0" fontId="79" fillId="0" borderId="40" xfId="5" applyFont="1" applyBorder="1" applyAlignment="1">
      <alignment horizontal="center" vertical="center" wrapText="1"/>
    </xf>
    <xf numFmtId="0" fontId="79" fillId="0" borderId="0" xfId="5" applyFont="1" applyAlignment="1">
      <alignment horizontal="center" vertical="center" wrapText="1"/>
    </xf>
    <xf numFmtId="0" fontId="79" fillId="0" borderId="91" xfId="5" applyFont="1" applyBorder="1" applyAlignment="1">
      <alignment horizontal="center" vertical="center" wrapText="1"/>
    </xf>
    <xf numFmtId="0" fontId="85" fillId="5" borderId="46" xfId="5" applyFont="1" applyFill="1" applyBorder="1" applyAlignment="1">
      <alignment horizontal="center" vertical="center" wrapText="1"/>
    </xf>
    <xf numFmtId="0" fontId="85" fillId="5" borderId="32" xfId="5" applyFont="1" applyFill="1" applyBorder="1" applyAlignment="1">
      <alignment horizontal="center" vertical="center" wrapText="1"/>
    </xf>
    <xf numFmtId="0" fontId="85" fillId="5" borderId="40" xfId="5" applyFont="1" applyFill="1" applyBorder="1" applyAlignment="1">
      <alignment horizontal="center" vertical="center" wrapText="1"/>
    </xf>
    <xf numFmtId="0" fontId="85" fillId="5" borderId="89" xfId="5" applyFont="1" applyFill="1" applyBorder="1" applyAlignment="1">
      <alignment horizontal="center" vertical="center" wrapText="1"/>
    </xf>
    <xf numFmtId="0" fontId="6" fillId="33" borderId="38" xfId="5" applyFont="1" applyFill="1" applyBorder="1" applyAlignment="1" applyProtection="1">
      <alignment horizontal="center" vertical="center" wrapText="1"/>
      <protection locked="0"/>
    </xf>
    <xf numFmtId="0" fontId="6" fillId="33" borderId="37" xfId="5" applyFont="1" applyFill="1" applyBorder="1" applyAlignment="1" applyProtection="1">
      <alignment horizontal="center" vertical="center" wrapText="1"/>
      <protection locked="0"/>
    </xf>
    <xf numFmtId="0" fontId="6" fillId="34" borderId="38" xfId="5" applyFont="1" applyFill="1" applyBorder="1" applyAlignment="1" applyProtection="1">
      <alignment horizontal="center" vertical="center"/>
      <protection locked="0"/>
    </xf>
    <xf numFmtId="0" fontId="86" fillId="36" borderId="36" xfId="5" applyFont="1" applyFill="1" applyBorder="1" applyAlignment="1">
      <alignment horizontal="center" vertical="center"/>
    </xf>
    <xf numFmtId="0" fontId="86" fillId="36" borderId="38" xfId="5" applyFont="1" applyFill="1" applyBorder="1" applyAlignment="1">
      <alignment horizontal="center" vertical="center"/>
    </xf>
    <xf numFmtId="0" fontId="86" fillId="36" borderId="37" xfId="5" applyFont="1" applyFill="1" applyBorder="1" applyAlignment="1">
      <alignment horizontal="center" vertical="center"/>
    </xf>
    <xf numFmtId="173" fontId="6" fillId="19" borderId="41" xfId="5" applyNumberFormat="1" applyFont="1" applyFill="1" applyBorder="1" applyAlignment="1" applyProtection="1">
      <alignment horizontal="center" wrapText="1"/>
      <protection locked="0"/>
    </xf>
    <xf numFmtId="173" fontId="6" fillId="19" borderId="42" xfId="5" applyNumberFormat="1" applyFont="1" applyFill="1" applyBorder="1" applyAlignment="1" applyProtection="1">
      <alignment horizontal="center" wrapText="1"/>
      <protection locked="0"/>
    </xf>
    <xf numFmtId="173" fontId="6" fillId="19" borderId="53" xfId="5" applyNumberFormat="1" applyFont="1" applyFill="1" applyBorder="1" applyAlignment="1" applyProtection="1">
      <alignment horizontal="center" wrapText="1"/>
      <protection locked="0"/>
    </xf>
    <xf numFmtId="173" fontId="6" fillId="40" borderId="41" xfId="5" applyNumberFormat="1" applyFont="1" applyFill="1" applyBorder="1" applyAlignment="1" applyProtection="1">
      <alignment horizontal="center" wrapText="1"/>
      <protection locked="0"/>
    </xf>
    <xf numFmtId="173" fontId="6" fillId="40" borderId="53" xfId="5" applyNumberFormat="1" applyFont="1" applyFill="1" applyBorder="1" applyAlignment="1" applyProtection="1">
      <alignment horizontal="center" wrapText="1"/>
      <protection locked="0"/>
    </xf>
    <xf numFmtId="173" fontId="6" fillId="40" borderId="42" xfId="5" applyNumberFormat="1" applyFont="1" applyFill="1" applyBorder="1" applyAlignment="1" applyProtection="1">
      <alignment horizontal="center" wrapText="1"/>
      <protection locked="0"/>
    </xf>
    <xf numFmtId="173" fontId="6" fillId="7" borderId="36" xfId="5" applyNumberFormat="1" applyFont="1" applyFill="1" applyBorder="1" applyAlignment="1" applyProtection="1">
      <alignment horizontal="center" wrapText="1"/>
      <protection locked="0"/>
    </xf>
    <xf numFmtId="173" fontId="6" fillId="7" borderId="38" xfId="5" applyNumberFormat="1" applyFont="1" applyFill="1" applyBorder="1" applyAlignment="1" applyProtection="1">
      <alignment horizontal="center" wrapText="1"/>
      <protection locked="0"/>
    </xf>
    <xf numFmtId="173" fontId="6" fillId="10" borderId="36" xfId="5" applyNumberFormat="1" applyFont="1" applyFill="1" applyBorder="1" applyAlignment="1" applyProtection="1">
      <alignment horizontal="center" wrapText="1"/>
      <protection locked="0"/>
    </xf>
    <xf numFmtId="173" fontId="6" fillId="10" borderId="38" xfId="5" applyNumberFormat="1" applyFont="1" applyFill="1" applyBorder="1" applyAlignment="1" applyProtection="1">
      <alignment horizontal="center" wrapText="1"/>
      <protection locked="0"/>
    </xf>
    <xf numFmtId="0" fontId="20" fillId="7" borderId="52" xfId="9" applyFont="1" applyFill="1" applyBorder="1" applyAlignment="1" applyProtection="1">
      <alignment horizontal="left" vertical="center" wrapText="1"/>
      <protection locked="0"/>
    </xf>
    <xf numFmtId="0" fontId="20" fillId="7" borderId="86" xfId="9" applyFont="1" applyFill="1" applyBorder="1" applyAlignment="1" applyProtection="1">
      <alignment horizontal="left" vertical="center" wrapText="1"/>
      <protection locked="0"/>
    </xf>
    <xf numFmtId="10" fontId="34" fillId="0" borderId="55" xfId="5" applyNumberFormat="1" applyFont="1" applyBorder="1" applyAlignment="1">
      <alignment horizontal="center"/>
    </xf>
    <xf numFmtId="10" fontId="34" fillId="0" borderId="19" xfId="5" applyNumberFormat="1" applyFont="1" applyBorder="1" applyAlignment="1">
      <alignment horizontal="center"/>
    </xf>
    <xf numFmtId="0" fontId="34" fillId="6" borderId="94" xfId="5" applyFont="1" applyFill="1" applyBorder="1" applyAlignment="1">
      <alignment horizontal="center"/>
    </xf>
    <xf numFmtId="0" fontId="34" fillId="6" borderId="2" xfId="5" applyFont="1" applyFill="1" applyBorder="1" applyAlignment="1">
      <alignment horizontal="center"/>
    </xf>
    <xf numFmtId="0" fontId="6" fillId="6" borderId="94" xfId="5" applyFont="1" applyFill="1" applyBorder="1" applyAlignment="1">
      <alignment horizontal="center"/>
    </xf>
    <xf numFmtId="0" fontId="6" fillId="6" borderId="2" xfId="5" applyFont="1" applyFill="1" applyBorder="1" applyAlignment="1">
      <alignment horizontal="center"/>
    </xf>
    <xf numFmtId="0" fontId="6" fillId="41" borderId="2" xfId="5" applyFont="1" applyFill="1" applyBorder="1" applyAlignment="1">
      <alignment horizontal="center"/>
    </xf>
    <xf numFmtId="0" fontId="6" fillId="41" borderId="3" xfId="5" applyFont="1" applyFill="1" applyBorder="1" applyAlignment="1">
      <alignment horizontal="center"/>
    </xf>
    <xf numFmtId="173" fontId="6" fillId="7" borderId="43" xfId="5" applyNumberFormat="1" applyFont="1" applyFill="1" applyBorder="1" applyAlignment="1" applyProtection="1">
      <alignment horizontal="center" wrapText="1"/>
      <protection locked="0"/>
    </xf>
    <xf numFmtId="173" fontId="6" fillId="7" borderId="35" xfId="5" applyNumberFormat="1" applyFont="1" applyFill="1" applyBorder="1" applyAlignment="1" applyProtection="1">
      <alignment horizontal="center" wrapText="1"/>
      <protection locked="0"/>
    </xf>
    <xf numFmtId="173" fontId="6" fillId="7" borderId="31" xfId="5" applyNumberFormat="1" applyFont="1" applyFill="1" applyBorder="1" applyAlignment="1" applyProtection="1">
      <alignment horizontal="center" wrapText="1"/>
      <protection locked="0"/>
    </xf>
    <xf numFmtId="0" fontId="6" fillId="40" borderId="41" xfId="5" applyFont="1" applyFill="1" applyBorder="1" applyAlignment="1">
      <alignment horizontal="center"/>
    </xf>
    <xf numFmtId="0" fontId="6" fillId="40" borderId="56" xfId="5" applyFont="1" applyFill="1" applyBorder="1" applyAlignment="1">
      <alignment horizontal="center"/>
    </xf>
    <xf numFmtId="0" fontId="6" fillId="39" borderId="13" xfId="5" applyFont="1" applyFill="1" applyBorder="1" applyAlignment="1">
      <alignment horizontal="left"/>
    </xf>
    <xf numFmtId="0" fontId="6" fillId="39" borderId="19" xfId="5" applyFont="1" applyFill="1" applyBorder="1" applyAlignment="1">
      <alignment horizontal="left"/>
    </xf>
    <xf numFmtId="0" fontId="6" fillId="39" borderId="15" xfId="5" applyFont="1" applyFill="1" applyBorder="1" applyAlignment="1">
      <alignment horizontal="left"/>
    </xf>
    <xf numFmtId="0" fontId="6" fillId="39" borderId="3" xfId="5" applyFont="1" applyFill="1" applyBorder="1" applyAlignment="1">
      <alignment horizontal="left"/>
    </xf>
    <xf numFmtId="0" fontId="34" fillId="49" borderId="44" xfId="5" applyFont="1" applyFill="1" applyBorder="1" applyAlignment="1">
      <alignment horizontal="center"/>
    </xf>
    <xf numFmtId="0" fontId="34" fillId="49" borderId="45" xfId="5" applyFont="1" applyFill="1" applyBorder="1" applyAlignment="1">
      <alignment horizontal="center"/>
    </xf>
    <xf numFmtId="0" fontId="34" fillId="39" borderId="15" xfId="5" applyFont="1" applyFill="1" applyBorder="1" applyAlignment="1">
      <alignment horizontal="center"/>
    </xf>
    <xf numFmtId="0" fontId="34" fillId="39" borderId="3" xfId="5" applyFont="1" applyFill="1" applyBorder="1" applyAlignment="1">
      <alignment horizontal="center"/>
    </xf>
    <xf numFmtId="173" fontId="6" fillId="10" borderId="43" xfId="5" applyNumberFormat="1" applyFont="1" applyFill="1" applyBorder="1" applyAlignment="1" applyProtection="1">
      <alignment horizontal="center" wrapText="1"/>
      <protection locked="0"/>
    </xf>
    <xf numFmtId="173" fontId="6" fillId="10" borderId="35" xfId="5" applyNumberFormat="1" applyFont="1" applyFill="1" applyBorder="1" applyAlignment="1" applyProtection="1">
      <alignment horizontal="center" wrapText="1"/>
      <protection locked="0"/>
    </xf>
    <xf numFmtId="173" fontId="6" fillId="10" borderId="31" xfId="5" applyNumberFormat="1" applyFont="1" applyFill="1" applyBorder="1" applyAlignment="1" applyProtection="1">
      <alignment horizontal="center" wrapText="1"/>
      <protection locked="0"/>
    </xf>
    <xf numFmtId="9" fontId="17" fillId="20" borderId="1" xfId="6" applyFont="1" applyFill="1" applyBorder="1" applyAlignment="1">
      <alignment horizontal="left" vertical="center"/>
    </xf>
    <xf numFmtId="9" fontId="17" fillId="20" borderId="2" xfId="6" applyFont="1" applyFill="1" applyBorder="1" applyAlignment="1">
      <alignment horizontal="left" vertical="center"/>
    </xf>
    <xf numFmtId="0" fontId="69" fillId="42" borderId="115" xfId="5" applyFont="1" applyFill="1" applyBorder="1" applyAlignment="1">
      <alignment horizontal="center" vertical="center"/>
    </xf>
    <xf numFmtId="0" fontId="69" fillId="42" borderId="117" xfId="5" applyFont="1" applyFill="1" applyBorder="1" applyAlignment="1">
      <alignment horizontal="center" vertical="center"/>
    </xf>
    <xf numFmtId="0" fontId="69" fillId="42" borderId="116" xfId="5" applyFont="1" applyFill="1" applyBorder="1" applyAlignment="1">
      <alignment horizontal="center" vertical="center"/>
    </xf>
    <xf numFmtId="0" fontId="54" fillId="4" borderId="126" xfId="0" quotePrefix="1" applyFont="1" applyFill="1" applyBorder="1" applyAlignment="1" applyProtection="1">
      <alignment horizontal="left" vertical="center" wrapText="1"/>
      <protection locked="0"/>
    </xf>
    <xf numFmtId="0" fontId="54" fillId="4" borderId="127" xfId="0" quotePrefix="1" applyFont="1" applyFill="1" applyBorder="1" applyAlignment="1" applyProtection="1">
      <alignment horizontal="left" vertical="center" wrapText="1"/>
      <protection locked="0"/>
    </xf>
    <xf numFmtId="0" fontId="54" fillId="4" borderId="128" xfId="0" quotePrefix="1" applyFont="1" applyFill="1" applyBorder="1" applyAlignment="1" applyProtection="1">
      <alignment horizontal="left" vertical="center" wrapText="1"/>
      <protection locked="0"/>
    </xf>
    <xf numFmtId="0" fontId="54" fillId="4" borderId="129" xfId="0" quotePrefix="1" applyFont="1" applyFill="1" applyBorder="1" applyAlignment="1" applyProtection="1">
      <alignment horizontal="left" vertical="center" wrapText="1"/>
      <protection locked="0"/>
    </xf>
    <xf numFmtId="0" fontId="11" fillId="16" borderId="0" xfId="0" applyFont="1" applyFill="1" applyAlignment="1">
      <alignment horizontal="center" vertical="center"/>
    </xf>
    <xf numFmtId="0" fontId="6" fillId="16" borderId="72" xfId="0" quotePrefix="1" applyFont="1" applyFill="1" applyBorder="1" applyAlignment="1">
      <alignment horizontal="left" vertical="top" wrapText="1"/>
    </xf>
    <xf numFmtId="0" fontId="11" fillId="20" borderId="1" xfId="0" applyFont="1" applyFill="1" applyBorder="1" applyAlignment="1">
      <alignment horizontal="center" vertical="center"/>
    </xf>
    <xf numFmtId="0" fontId="11" fillId="20" borderId="94" xfId="0" applyFont="1" applyFill="1" applyBorder="1" applyAlignment="1">
      <alignment horizontal="center" vertical="center"/>
    </xf>
    <xf numFmtId="0" fontId="11" fillId="20" borderId="2" xfId="0" applyFont="1" applyFill="1" applyBorder="1" applyAlignment="1">
      <alignment horizontal="center" vertical="center"/>
    </xf>
    <xf numFmtId="0" fontId="6" fillId="16" borderId="118" xfId="0" applyFont="1" applyFill="1" applyBorder="1" applyAlignment="1">
      <alignment horizontal="left" vertical="top" wrapText="1"/>
    </xf>
    <xf numFmtId="0" fontId="6" fillId="16" borderId="0" xfId="0" applyFont="1" applyFill="1" applyAlignment="1">
      <alignment horizontal="left" vertical="top" wrapText="1" indent="4"/>
    </xf>
    <xf numFmtId="0" fontId="22" fillId="16" borderId="72" xfId="1" applyNumberFormat="1" applyFont="1" applyFill="1" applyBorder="1" applyAlignment="1">
      <alignment horizontal="left" vertical="top" wrapText="1"/>
    </xf>
    <xf numFmtId="0" fontId="11" fillId="20" borderId="1" xfId="7" applyFont="1" applyFill="1" applyBorder="1" applyAlignment="1">
      <alignment horizontal="left" vertical="center"/>
    </xf>
    <xf numFmtId="0" fontId="11" fillId="20" borderId="94" xfId="7" applyFont="1" applyFill="1" applyBorder="1" applyAlignment="1">
      <alignment horizontal="left" vertical="center"/>
    </xf>
    <xf numFmtId="0" fontId="11" fillId="20" borderId="2" xfId="7" applyFont="1" applyFill="1" applyBorder="1" applyAlignment="1">
      <alignment horizontal="left" vertical="center"/>
    </xf>
    <xf numFmtId="0" fontId="54" fillId="4" borderId="124" xfId="0" quotePrefix="1" applyFont="1" applyFill="1" applyBorder="1" applyAlignment="1" applyProtection="1">
      <alignment horizontal="left" vertical="center" wrapText="1"/>
      <protection locked="0"/>
    </xf>
    <xf numFmtId="0" fontId="54" fillId="4" borderId="125" xfId="0" quotePrefix="1" applyFont="1" applyFill="1" applyBorder="1" applyAlignment="1" applyProtection="1">
      <alignment horizontal="left" vertical="center" wrapText="1"/>
      <protection locked="0"/>
    </xf>
    <xf numFmtId="0" fontId="17" fillId="20" borderId="122" xfId="3" applyFont="1" applyFill="1" applyBorder="1" applyAlignment="1">
      <alignment horizontal="left" vertical="center" wrapText="1"/>
    </xf>
    <xf numFmtId="0" fontId="17" fillId="20" borderId="123" xfId="3" applyFont="1" applyFill="1" applyBorder="1" applyAlignment="1">
      <alignment horizontal="left" vertical="center" wrapText="1"/>
    </xf>
    <xf numFmtId="0" fontId="31" fillId="20" borderId="139" xfId="0" applyFont="1" applyFill="1" applyBorder="1" applyAlignment="1">
      <alignment horizontal="left" vertical="center" wrapText="1"/>
    </xf>
    <xf numFmtId="0" fontId="31" fillId="20" borderId="140" xfId="0" applyFont="1" applyFill="1" applyBorder="1" applyAlignment="1">
      <alignment horizontal="left" vertical="center" wrapText="1"/>
    </xf>
    <xf numFmtId="174" fontId="17" fillId="4" borderId="154" xfId="2" applyNumberFormat="1" applyFont="1" applyFill="1" applyBorder="1" applyAlignment="1" applyProtection="1">
      <alignment horizontal="center"/>
    </xf>
    <xf numFmtId="174" fontId="17" fillId="4" borderId="148" xfId="2" applyNumberFormat="1" applyFont="1" applyFill="1" applyBorder="1" applyAlignment="1" applyProtection="1">
      <alignment horizontal="center"/>
    </xf>
    <xf numFmtId="174" fontId="17" fillId="4" borderId="156" xfId="2" applyNumberFormat="1" applyFont="1" applyFill="1" applyBorder="1" applyAlignment="1" applyProtection="1">
      <alignment horizontal="center"/>
    </xf>
    <xf numFmtId="174" fontId="17" fillId="4" borderId="150" xfId="2" applyNumberFormat="1" applyFont="1" applyFill="1" applyBorder="1" applyAlignment="1" applyProtection="1">
      <alignment horizontal="center"/>
    </xf>
    <xf numFmtId="0" fontId="17" fillId="20" borderId="1" xfId="5" applyFont="1" applyFill="1" applyBorder="1" applyAlignment="1">
      <alignment horizontal="left" vertical="center"/>
    </xf>
    <xf numFmtId="0" fontId="17" fillId="20" borderId="2" xfId="5" applyFont="1" applyFill="1" applyBorder="1" applyAlignment="1">
      <alignment horizontal="left" vertical="center"/>
    </xf>
    <xf numFmtId="0" fontId="22" fillId="16" borderId="72" xfId="0" quotePrefix="1" applyFont="1" applyFill="1" applyBorder="1" applyAlignment="1">
      <alignment horizontal="left" vertical="top" wrapText="1"/>
    </xf>
    <xf numFmtId="0" fontId="11" fillId="20" borderId="122" xfId="0" applyFont="1" applyFill="1" applyBorder="1" applyAlignment="1" applyProtection="1">
      <alignment horizontal="left" vertical="center"/>
      <protection locked="0"/>
    </xf>
    <xf numFmtId="0" fontId="11" fillId="20" borderId="123" xfId="0" applyFont="1" applyFill="1" applyBorder="1" applyAlignment="1" applyProtection="1">
      <alignment horizontal="left" vertical="center"/>
      <protection locked="0"/>
    </xf>
    <xf numFmtId="0" fontId="84" fillId="42" borderId="0" xfId="0" applyFont="1" applyFill="1" applyAlignment="1">
      <alignment vertical="center" wrapText="1"/>
    </xf>
    <xf numFmtId="0" fontId="20" fillId="16" borderId="0" xfId="9" applyFont="1" applyFill="1" applyAlignment="1">
      <alignment horizontal="left" vertical="top" wrapText="1" indent="4"/>
    </xf>
    <xf numFmtId="0" fontId="22" fillId="16" borderId="0" xfId="1" applyNumberFormat="1" applyFont="1" applyFill="1" applyBorder="1" applyAlignment="1">
      <alignment horizontal="left" vertical="top" wrapText="1"/>
    </xf>
    <xf numFmtId="0" fontId="6" fillId="16" borderId="0" xfId="0" applyFont="1" applyFill="1" applyAlignment="1">
      <alignment horizontal="left" vertical="top" wrapText="1" indent="8"/>
    </xf>
    <xf numFmtId="10" fontId="17" fillId="20" borderId="122" xfId="13" applyNumberFormat="1" applyFont="1" applyFill="1" applyBorder="1" applyAlignment="1">
      <alignment horizontal="left" vertical="center" wrapText="1"/>
    </xf>
    <xf numFmtId="10" fontId="17" fillId="20" borderId="123" xfId="13" applyNumberFormat="1" applyFont="1" applyFill="1" applyBorder="1" applyAlignment="1">
      <alignment horizontal="left" vertical="center" wrapText="1"/>
    </xf>
    <xf numFmtId="0" fontId="11" fillId="20" borderId="122" xfId="0" applyFont="1" applyFill="1" applyBorder="1" applyAlignment="1">
      <alignment horizontal="left"/>
    </xf>
    <xf numFmtId="0" fontId="11" fillId="20" borderId="138" xfId="0" applyFont="1" applyFill="1" applyBorder="1" applyAlignment="1">
      <alignment horizontal="left"/>
    </xf>
    <xf numFmtId="0" fontId="11" fillId="20" borderId="123" xfId="0" applyFont="1" applyFill="1" applyBorder="1" applyAlignment="1">
      <alignment horizontal="left"/>
    </xf>
    <xf numFmtId="0" fontId="11" fillId="16" borderId="0" xfId="0" applyFont="1" applyFill="1" applyAlignment="1">
      <alignment horizontal="center"/>
    </xf>
    <xf numFmtId="0" fontId="11" fillId="20" borderId="138" xfId="0" applyFont="1" applyFill="1" applyBorder="1" applyAlignment="1">
      <alignment horizontal="left" vertical="center"/>
    </xf>
    <xf numFmtId="0" fontId="6" fillId="16" borderId="72" xfId="0" applyFont="1" applyFill="1" applyBorder="1" applyAlignment="1">
      <alignment horizontal="left" vertical="top"/>
    </xf>
    <xf numFmtId="0" fontId="22" fillId="16" borderId="77" xfId="0" applyFont="1" applyFill="1" applyBorder="1" applyAlignment="1">
      <alignment horizontal="left" vertical="top" wrapText="1"/>
    </xf>
    <xf numFmtId="9" fontId="0" fillId="52" borderId="142" xfId="6" applyFont="1" applyFill="1" applyBorder="1" applyAlignment="1">
      <alignment horizontal="left" vertical="center"/>
    </xf>
    <xf numFmtId="9" fontId="0" fillId="52" borderId="133" xfId="6" applyFont="1" applyFill="1" applyBorder="1" applyAlignment="1">
      <alignment horizontal="left" vertical="center"/>
    </xf>
    <xf numFmtId="0" fontId="104" fillId="42" borderId="0" xfId="1" applyNumberFormat="1" applyFont="1" applyFill="1" applyAlignment="1" applyProtection="1">
      <alignment horizontal="left" vertical="center"/>
      <protection locked="0"/>
    </xf>
    <xf numFmtId="0" fontId="31" fillId="16" borderId="0" xfId="0" applyFont="1" applyFill="1" applyAlignment="1">
      <alignment horizontal="center" vertical="center"/>
    </xf>
    <xf numFmtId="0" fontId="6" fillId="16" borderId="118" xfId="5" applyFont="1" applyFill="1" applyBorder="1" applyAlignment="1">
      <alignment horizontal="left" vertical="top" wrapText="1"/>
    </xf>
    <xf numFmtId="0" fontId="84" fillId="42" borderId="0" xfId="0" applyFont="1" applyFill="1" applyAlignment="1">
      <alignment horizontal="left" vertical="center" wrapText="1"/>
    </xf>
    <xf numFmtId="0" fontId="6" fillId="0" borderId="124" xfId="0" applyFont="1" applyBorder="1" applyAlignment="1">
      <alignment horizontal="center" vertical="center" wrapText="1"/>
    </xf>
    <xf numFmtId="0" fontId="6" fillId="0" borderId="128" xfId="0" applyFont="1" applyBorder="1" applyAlignment="1">
      <alignment horizontal="center" vertical="center" wrapText="1"/>
    </xf>
    <xf numFmtId="0" fontId="6" fillId="0" borderId="125" xfId="0" applyFont="1" applyBorder="1" applyAlignment="1">
      <alignment horizontal="left" vertical="center" wrapText="1"/>
    </xf>
    <xf numFmtId="0" fontId="6" fillId="0" borderId="129" xfId="0" applyFont="1" applyBorder="1" applyAlignment="1">
      <alignment horizontal="left" vertical="center" wrapText="1"/>
    </xf>
    <xf numFmtId="0" fontId="6" fillId="16" borderId="118" xfId="0" applyFont="1" applyFill="1" applyBorder="1" applyAlignment="1">
      <alignment horizontal="left" vertical="top" wrapText="1" indent="3"/>
    </xf>
    <xf numFmtId="0" fontId="6" fillId="16" borderId="0" xfId="0" applyFont="1" applyFill="1" applyAlignment="1">
      <alignment horizontal="left" vertical="top" wrapText="1" indent="7"/>
    </xf>
    <xf numFmtId="0" fontId="71" fillId="4" borderId="155" xfId="0" applyFont="1" applyFill="1" applyBorder="1" applyAlignment="1">
      <alignment horizontal="center" vertical="center" wrapText="1" readingOrder="1"/>
    </xf>
    <xf numFmtId="0" fontId="71" fillId="4" borderId="153" xfId="0" applyFont="1" applyFill="1" applyBorder="1" applyAlignment="1">
      <alignment horizontal="center" vertical="center" wrapText="1" readingOrder="1"/>
    </xf>
    <xf numFmtId="0" fontId="71" fillId="4" borderId="149" xfId="0" applyFont="1" applyFill="1" applyBorder="1" applyAlignment="1">
      <alignment horizontal="center" vertical="center" wrapText="1" readingOrder="1"/>
    </xf>
    <xf numFmtId="0" fontId="70" fillId="4" borderId="154" xfId="0" applyFont="1" applyFill="1" applyBorder="1" applyAlignment="1">
      <alignment horizontal="center" vertical="center" wrapText="1" readingOrder="1"/>
    </xf>
    <xf numFmtId="0" fontId="70" fillId="4" borderId="199" xfId="0" applyFont="1" applyFill="1" applyBorder="1" applyAlignment="1">
      <alignment horizontal="center" vertical="center" wrapText="1" readingOrder="1"/>
    </xf>
    <xf numFmtId="0" fontId="70" fillId="4" borderId="136" xfId="0" applyFont="1" applyFill="1" applyBorder="1" applyAlignment="1">
      <alignment horizontal="center" vertical="center" wrapText="1" readingOrder="1"/>
    </xf>
    <xf numFmtId="0" fontId="54" fillId="0" borderId="155" xfId="0" applyFont="1" applyBorder="1" applyAlignment="1" applyProtection="1">
      <alignment horizontal="center" vertical="center" wrapText="1" readingOrder="1"/>
      <protection locked="0"/>
    </xf>
    <xf numFmtId="0" fontId="54" fillId="0" borderId="153" xfId="0" applyFont="1" applyBorder="1" applyAlignment="1" applyProtection="1">
      <alignment horizontal="center" vertical="center" wrapText="1" readingOrder="1"/>
      <protection locked="0"/>
    </xf>
    <xf numFmtId="0" fontId="54" fillId="0" borderId="120" xfId="0" applyFont="1" applyBorder="1" applyAlignment="1" applyProtection="1">
      <alignment horizontal="center" vertical="center" wrapText="1" readingOrder="1"/>
      <protection locked="0"/>
    </xf>
    <xf numFmtId="0" fontId="71" fillId="0" borderId="155" xfId="6" applyNumberFormat="1" applyFont="1" applyBorder="1" applyAlignment="1" applyProtection="1">
      <alignment horizontal="center" vertical="center" wrapText="1" readingOrder="1"/>
      <protection locked="0"/>
    </xf>
    <xf numFmtId="0" fontId="71" fillId="0" borderId="153" xfId="6" applyNumberFormat="1" applyFont="1" applyBorder="1" applyAlignment="1" applyProtection="1">
      <alignment horizontal="center" vertical="center" wrapText="1" readingOrder="1"/>
      <protection locked="0"/>
    </xf>
    <xf numFmtId="0" fontId="71" fillId="0" borderId="120" xfId="6" applyNumberFormat="1" applyFont="1" applyBorder="1" applyAlignment="1" applyProtection="1">
      <alignment horizontal="center" vertical="center" wrapText="1" readingOrder="1"/>
      <protection locked="0"/>
    </xf>
    <xf numFmtId="0" fontId="71" fillId="4" borderId="154" xfId="0" applyFont="1" applyFill="1" applyBorder="1" applyAlignment="1">
      <alignment horizontal="center" vertical="center" wrapText="1" readingOrder="1"/>
    </xf>
    <xf numFmtId="0" fontId="71" fillId="4" borderId="199" xfId="0" applyFont="1" applyFill="1" applyBorder="1" applyAlignment="1">
      <alignment horizontal="center" vertical="center" wrapText="1" readingOrder="1"/>
    </xf>
    <xf numFmtId="0" fontId="71" fillId="4" borderId="148" xfId="0" applyFont="1" applyFill="1" applyBorder="1" applyAlignment="1">
      <alignment horizontal="center" vertical="center" wrapText="1" readingOrder="1"/>
    </xf>
    <xf numFmtId="179" fontId="6" fillId="4" borderId="154" xfId="2" applyNumberFormat="1" applyFont="1" applyFill="1" applyBorder="1" applyAlignment="1" applyProtection="1">
      <alignment horizontal="center" vertical="center" wrapText="1"/>
      <protection locked="0"/>
    </xf>
    <xf numFmtId="179" fontId="6" fillId="4" borderId="199" xfId="2" applyNumberFormat="1" applyFont="1" applyFill="1" applyBorder="1" applyAlignment="1" applyProtection="1">
      <alignment horizontal="center" vertical="center" wrapText="1"/>
      <protection locked="0"/>
    </xf>
    <xf numFmtId="179" fontId="6" fillId="4" borderId="208" xfId="2" applyNumberFormat="1" applyFont="1" applyFill="1" applyBorder="1" applyAlignment="1" applyProtection="1">
      <alignment horizontal="center" vertical="center" wrapText="1"/>
      <protection locked="0"/>
    </xf>
    <xf numFmtId="9" fontId="70" fillId="4" borderId="155" xfId="0" applyNumberFormat="1" applyFont="1" applyFill="1" applyBorder="1" applyAlignment="1">
      <alignment horizontal="center" vertical="center" wrapText="1" readingOrder="1"/>
    </xf>
    <xf numFmtId="9" fontId="70" fillId="4" borderId="153" xfId="0" applyNumberFormat="1" applyFont="1" applyFill="1" applyBorder="1" applyAlignment="1">
      <alignment horizontal="center" vertical="center" wrapText="1" readingOrder="1"/>
    </xf>
    <xf numFmtId="9" fontId="70" fillId="4" borderId="209" xfId="0" applyNumberFormat="1" applyFont="1" applyFill="1" applyBorder="1" applyAlignment="1">
      <alignment horizontal="center" vertical="center" wrapText="1" readingOrder="1"/>
    </xf>
    <xf numFmtId="170" fontId="54" fillId="4" borderId="155" xfId="2" applyNumberFormat="1" applyFont="1" applyFill="1" applyBorder="1" applyAlignment="1" applyProtection="1">
      <alignment horizontal="center" vertical="center" wrapText="1"/>
      <protection locked="0"/>
    </xf>
    <xf numFmtId="170" fontId="54" fillId="4" borderId="153" xfId="2" applyNumberFormat="1" applyFont="1" applyFill="1" applyBorder="1" applyAlignment="1" applyProtection="1">
      <alignment horizontal="center" vertical="center" wrapText="1"/>
      <protection locked="0"/>
    </xf>
    <xf numFmtId="170" fontId="54" fillId="4" borderId="209" xfId="2" applyNumberFormat="1" applyFont="1" applyFill="1" applyBorder="1" applyAlignment="1" applyProtection="1">
      <alignment horizontal="center" vertical="center" wrapText="1"/>
      <protection locked="0"/>
    </xf>
    <xf numFmtId="0" fontId="17" fillId="20" borderId="155" xfId="8" applyFont="1" applyFill="1" applyBorder="1" applyAlignment="1">
      <alignment horizontal="center" wrapText="1"/>
    </xf>
    <xf numFmtId="0" fontId="17" fillId="20" borderId="153" xfId="8" applyFont="1" applyFill="1" applyBorder="1" applyAlignment="1">
      <alignment horizontal="center" wrapText="1"/>
    </xf>
    <xf numFmtId="0" fontId="17" fillId="20" borderId="120" xfId="8" applyFont="1" applyFill="1" applyBorder="1" applyAlignment="1">
      <alignment horizontal="center" wrapText="1"/>
    </xf>
    <xf numFmtId="171" fontId="71" fillId="0" borderId="155" xfId="2" applyNumberFormat="1" applyFont="1" applyBorder="1" applyAlignment="1" applyProtection="1">
      <alignment horizontal="center" vertical="center" wrapText="1" readingOrder="1"/>
      <protection locked="0"/>
    </xf>
    <xf numFmtId="171" fontId="71" fillId="0" borderId="153" xfId="2" applyNumberFormat="1" applyFont="1" applyBorder="1" applyAlignment="1" applyProtection="1">
      <alignment horizontal="center" vertical="center" wrapText="1" readingOrder="1"/>
      <protection locked="0"/>
    </xf>
    <xf numFmtId="171" fontId="71" fillId="0" borderId="120" xfId="2" applyNumberFormat="1" applyFont="1" applyBorder="1" applyAlignment="1" applyProtection="1">
      <alignment horizontal="center" vertical="center" wrapText="1" readingOrder="1"/>
      <protection locked="0"/>
    </xf>
    <xf numFmtId="0" fontId="17" fillId="20" borderId="209" xfId="8" applyFont="1" applyFill="1" applyBorder="1" applyAlignment="1">
      <alignment horizontal="center" wrapText="1"/>
    </xf>
    <xf numFmtId="171" fontId="71" fillId="4" borderId="155" xfId="2" applyNumberFormat="1" applyFont="1" applyFill="1" applyBorder="1" applyAlignment="1" applyProtection="1">
      <alignment horizontal="center" vertical="center" wrapText="1" readingOrder="1"/>
      <protection locked="0"/>
    </xf>
    <xf numFmtId="171" fontId="71" fillId="4" borderId="209" xfId="2" applyNumberFormat="1" applyFont="1" applyFill="1" applyBorder="1" applyAlignment="1" applyProtection="1">
      <alignment horizontal="center" vertical="center" wrapText="1" readingOrder="1"/>
      <protection locked="0"/>
    </xf>
    <xf numFmtId="0" fontId="69" fillId="28" borderId="0" xfId="0" applyFont="1" applyFill="1" applyAlignment="1">
      <alignment horizontal="center" wrapText="1"/>
    </xf>
    <xf numFmtId="0" fontId="69" fillId="28" borderId="147" xfId="8" applyFont="1" applyFill="1" applyBorder="1" applyAlignment="1" applyProtection="1">
      <alignment horizontal="center" vertical="center" wrapText="1"/>
    </xf>
    <xf numFmtId="0" fontId="69" fillId="28" borderId="140" xfId="8" applyFont="1" applyFill="1" applyBorder="1" applyAlignment="1" applyProtection="1">
      <alignment horizontal="center" vertical="center" wrapText="1"/>
    </xf>
    <xf numFmtId="9" fontId="71" fillId="4" borderId="119" xfId="0" applyNumberFormat="1" applyFont="1" applyFill="1" applyBorder="1" applyAlignment="1" applyProtection="1">
      <alignment horizontal="center" vertical="center" wrapText="1" readingOrder="1"/>
      <protection locked="0"/>
    </xf>
    <xf numFmtId="0" fontId="22" fillId="0" borderId="193" xfId="0" applyFont="1" applyBorder="1" applyAlignment="1" applyProtection="1">
      <alignment vertical="center" wrapText="1"/>
      <protection locked="0"/>
    </xf>
    <xf numFmtId="0" fontId="22" fillId="0" borderId="50" xfId="0" applyFont="1" applyBorder="1" applyAlignment="1" applyProtection="1">
      <alignment vertical="center" wrapText="1"/>
      <protection locked="0"/>
    </xf>
    <xf numFmtId="0" fontId="22" fillId="0" borderId="28" xfId="0" applyFont="1" applyBorder="1" applyAlignment="1" applyProtection="1">
      <alignment vertical="center" wrapText="1"/>
      <protection locked="0"/>
    </xf>
    <xf numFmtId="1" fontId="6" fillId="4" borderId="71" xfId="2" applyNumberFormat="1" applyFont="1" applyFill="1" applyBorder="1" applyAlignment="1">
      <alignment horizontal="center" vertical="center" wrapText="1"/>
    </xf>
    <xf numFmtId="1" fontId="6" fillId="4" borderId="0" xfId="2" applyNumberFormat="1" applyFont="1" applyFill="1" applyBorder="1" applyAlignment="1">
      <alignment horizontal="center" vertical="center" wrapText="1"/>
    </xf>
    <xf numFmtId="1" fontId="6" fillId="4" borderId="91" xfId="2" applyNumberFormat="1" applyFont="1" applyFill="1" applyBorder="1" applyAlignment="1">
      <alignment horizontal="center" vertical="center" wrapText="1"/>
    </xf>
    <xf numFmtId="0" fontId="17" fillId="20" borderId="26" xfId="0" applyFont="1" applyFill="1" applyBorder="1" applyAlignment="1">
      <alignment horizontal="left" vertical="center" wrapText="1" readingOrder="1"/>
    </xf>
    <xf numFmtId="0" fontId="17" fillId="20" borderId="206" xfId="0" applyFont="1" applyFill="1" applyBorder="1" applyAlignment="1">
      <alignment horizontal="left" vertical="center" wrapText="1" readingOrder="1"/>
    </xf>
    <xf numFmtId="0" fontId="17" fillId="20" borderId="67" xfId="0" applyFont="1" applyFill="1" applyBorder="1" applyAlignment="1">
      <alignment horizontal="left" vertical="center" wrapText="1" readingOrder="1"/>
    </xf>
    <xf numFmtId="0" fontId="71" fillId="4" borderId="156" xfId="0" applyFont="1" applyFill="1" applyBorder="1" applyAlignment="1">
      <alignment horizontal="center" vertical="center" wrapText="1" readingOrder="1"/>
    </xf>
    <xf numFmtId="0" fontId="71" fillId="4" borderId="157" xfId="0" applyFont="1" applyFill="1" applyBorder="1" applyAlignment="1">
      <alignment horizontal="center" vertical="center" wrapText="1" readingOrder="1"/>
    </xf>
    <xf numFmtId="0" fontId="71" fillId="4" borderId="150" xfId="0" applyFont="1" applyFill="1" applyBorder="1" applyAlignment="1">
      <alignment horizontal="center" vertical="center" wrapText="1" readingOrder="1"/>
    </xf>
    <xf numFmtId="0" fontId="54" fillId="4" borderId="27" xfId="0" applyFont="1" applyFill="1" applyBorder="1" applyAlignment="1" applyProtection="1">
      <alignment horizontal="left" vertical="center" wrapText="1" readingOrder="1"/>
      <protection locked="0"/>
    </xf>
    <xf numFmtId="0" fontId="54" fillId="4" borderId="0" xfId="0" applyFont="1" applyFill="1" applyAlignment="1" applyProtection="1">
      <alignment horizontal="left" vertical="center" wrapText="1" readingOrder="1"/>
      <protection locked="0"/>
    </xf>
    <xf numFmtId="0" fontId="54" fillId="4" borderId="69" xfId="0" applyFont="1" applyFill="1" applyBorder="1" applyAlignment="1" applyProtection="1">
      <alignment horizontal="left" vertical="center" wrapText="1" readingOrder="1"/>
      <protection locked="0"/>
    </xf>
    <xf numFmtId="0" fontId="54" fillId="4" borderId="50" xfId="0" applyFont="1" applyFill="1" applyBorder="1" applyAlignment="1" applyProtection="1">
      <alignment horizontal="left" vertical="center" wrapText="1" readingOrder="1"/>
      <protection locked="0"/>
    </xf>
    <xf numFmtId="0" fontId="69" fillId="28" borderId="196" xfId="8" applyFont="1" applyFill="1" applyBorder="1" applyAlignment="1" applyProtection="1">
      <alignment horizontal="center" vertical="center" wrapText="1"/>
    </xf>
    <xf numFmtId="0" fontId="69" fillId="28" borderId="162" xfId="8" applyFont="1" applyFill="1" applyBorder="1" applyAlignment="1" applyProtection="1">
      <alignment horizontal="center" vertical="center" wrapText="1"/>
    </xf>
    <xf numFmtId="0" fontId="69" fillId="28" borderId="198" xfId="8" applyFont="1" applyFill="1" applyBorder="1" applyAlignment="1" applyProtection="1">
      <alignment horizontal="center" vertical="center" wrapText="1"/>
    </xf>
    <xf numFmtId="0" fontId="69" fillId="42" borderId="107" xfId="0" applyFont="1" applyFill="1" applyBorder="1" applyAlignment="1">
      <alignment horizontal="center" vertical="center"/>
    </xf>
    <xf numFmtId="170" fontId="6" fillId="4" borderId="65" xfId="2" applyNumberFormat="1" applyFont="1" applyFill="1" applyBorder="1" applyAlignment="1" applyProtection="1">
      <alignment horizontal="center" vertical="center" wrapText="1"/>
      <protection locked="0"/>
    </xf>
    <xf numFmtId="170" fontId="6" fillId="4" borderId="127" xfId="2" applyNumberFormat="1" applyFont="1" applyFill="1" applyBorder="1" applyAlignment="1" applyProtection="1">
      <alignment horizontal="center" vertical="center" wrapText="1"/>
      <protection locked="0"/>
    </xf>
    <xf numFmtId="178" fontId="6" fillId="4" borderId="65" xfId="2" applyNumberFormat="1" applyFont="1" applyFill="1" applyBorder="1" applyAlignment="1" applyProtection="1">
      <alignment horizontal="center" vertical="center" wrapText="1"/>
      <protection locked="0"/>
    </xf>
    <xf numFmtId="178" fontId="6" fillId="4" borderId="127" xfId="2" applyNumberFormat="1" applyFont="1" applyFill="1" applyBorder="1" applyAlignment="1" applyProtection="1">
      <alignment horizontal="center" vertical="center" wrapText="1"/>
      <protection locked="0"/>
    </xf>
    <xf numFmtId="1" fontId="6" fillId="4" borderId="119" xfId="2" applyNumberFormat="1" applyFont="1" applyFill="1" applyBorder="1" applyAlignment="1" applyProtection="1">
      <alignment horizontal="center" vertical="center" wrapText="1"/>
      <protection locked="0"/>
    </xf>
    <xf numFmtId="0" fontId="6" fillId="4" borderId="119" xfId="2" applyNumberFormat="1" applyFont="1" applyFill="1" applyBorder="1" applyAlignment="1" applyProtection="1">
      <alignment horizontal="center" vertical="center" wrapText="1"/>
      <protection locked="0"/>
    </xf>
    <xf numFmtId="0" fontId="6" fillId="4" borderId="129" xfId="2" applyNumberFormat="1" applyFont="1" applyFill="1" applyBorder="1" applyAlignment="1" applyProtection="1">
      <alignment horizontal="center" vertical="center" wrapText="1"/>
      <protection locked="0"/>
    </xf>
    <xf numFmtId="0" fontId="21" fillId="16" borderId="0" xfId="0" applyFont="1" applyFill="1" applyAlignment="1">
      <alignment horizontal="left" vertical="top" wrapText="1"/>
    </xf>
    <xf numFmtId="0" fontId="84" fillId="42" borderId="0" xfId="1" applyNumberFormat="1" applyFont="1" applyFill="1" applyAlignment="1" applyProtection="1">
      <alignment horizontal="left" vertical="top" wrapText="1"/>
    </xf>
    <xf numFmtId="0" fontId="84" fillId="42" borderId="152" xfId="1" applyNumberFormat="1" applyFont="1" applyFill="1" applyBorder="1" applyAlignment="1" applyProtection="1">
      <alignment horizontal="left" vertical="top" wrapText="1"/>
    </xf>
    <xf numFmtId="0" fontId="17" fillId="20" borderId="1" xfId="0" applyFont="1" applyFill="1" applyBorder="1" applyAlignment="1">
      <alignment horizontal="center" vertical="center" wrapText="1" readingOrder="1"/>
    </xf>
    <xf numFmtId="0" fontId="17" fillId="20" borderId="94" xfId="0" applyFont="1" applyFill="1" applyBorder="1" applyAlignment="1">
      <alignment horizontal="center" vertical="center" wrapText="1" readingOrder="1"/>
    </xf>
    <xf numFmtId="0" fontId="17" fillId="20" borderId="2" xfId="0" applyFont="1" applyFill="1" applyBorder="1" applyAlignment="1">
      <alignment horizontal="center" vertical="center" wrapText="1" readingOrder="1"/>
    </xf>
    <xf numFmtId="0" fontId="22" fillId="54" borderId="0" xfId="1" applyNumberFormat="1" applyFont="1" applyFill="1" applyBorder="1" applyAlignment="1" applyProtection="1">
      <alignment horizontal="left" vertical="top" wrapText="1" indent="4"/>
    </xf>
    <xf numFmtId="0" fontId="6" fillId="16" borderId="206" xfId="0" applyFont="1" applyFill="1" applyBorder="1" applyAlignment="1">
      <alignment horizontal="left" vertical="top" wrapText="1" indent="3"/>
    </xf>
    <xf numFmtId="0" fontId="6" fillId="16" borderId="206" xfId="0" applyFont="1" applyFill="1" applyBorder="1" applyAlignment="1">
      <alignment horizontal="left" wrapText="1"/>
    </xf>
    <xf numFmtId="0" fontId="17" fillId="16" borderId="0" xfId="8" applyFont="1" applyFill="1" applyBorder="1" applyAlignment="1" applyProtection="1">
      <alignment horizontal="center" vertical="center" wrapText="1"/>
    </xf>
    <xf numFmtId="170" fontId="54" fillId="4" borderId="65" xfId="2" applyNumberFormat="1" applyFont="1" applyFill="1" applyBorder="1" applyAlignment="1" applyProtection="1">
      <alignment horizontal="center" vertical="center" wrapText="1"/>
      <protection locked="0"/>
    </xf>
    <xf numFmtId="170" fontId="54" fillId="4" borderId="127" xfId="2" applyNumberFormat="1" applyFont="1" applyFill="1" applyBorder="1" applyAlignment="1" applyProtection="1">
      <alignment horizontal="center" vertical="center" wrapText="1"/>
      <protection locked="0"/>
    </xf>
    <xf numFmtId="170" fontId="22" fillId="4" borderId="65" xfId="2" applyNumberFormat="1" applyFont="1" applyFill="1" applyBorder="1" applyAlignment="1" applyProtection="1">
      <alignment horizontal="center" vertical="center" wrapText="1"/>
      <protection locked="0"/>
    </xf>
    <xf numFmtId="170" fontId="22" fillId="4" borderId="127" xfId="2" applyNumberFormat="1" applyFont="1" applyFill="1" applyBorder="1" applyAlignment="1" applyProtection="1">
      <alignment horizontal="center" vertical="center" wrapText="1"/>
      <protection locked="0"/>
    </xf>
    <xf numFmtId="170" fontId="6" fillId="4" borderId="130" xfId="2" applyNumberFormat="1" applyFont="1" applyFill="1" applyBorder="1" applyAlignment="1" applyProtection="1">
      <alignment horizontal="center" vertical="center" wrapText="1"/>
      <protection locked="0"/>
    </xf>
    <xf numFmtId="170" fontId="6" fillId="4" borderId="125" xfId="2" applyNumberFormat="1" applyFont="1" applyFill="1" applyBorder="1" applyAlignment="1" applyProtection="1">
      <alignment horizontal="center" vertical="center" wrapText="1"/>
      <protection locked="0"/>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197" xfId="8" applyFont="1" applyFill="1" applyBorder="1" applyAlignment="1" applyProtection="1">
      <alignment horizontal="center" vertical="center" wrapText="1"/>
    </xf>
    <xf numFmtId="0" fontId="17" fillId="20" borderId="201" xfId="0" applyFont="1" applyFill="1" applyBorder="1" applyAlignment="1">
      <alignment horizontal="center" vertical="center" wrapText="1" readingOrder="1"/>
    </xf>
    <xf numFmtId="0" fontId="22" fillId="0" borderId="71" xfId="0" applyFont="1" applyBorder="1" applyAlignment="1" applyProtection="1">
      <alignment vertical="center" wrapText="1"/>
      <protection locked="0"/>
    </xf>
    <xf numFmtId="0" fontId="22" fillId="0" borderId="0" xfId="0" applyFont="1" applyAlignment="1" applyProtection="1">
      <alignment vertical="center" wrapText="1"/>
      <protection locked="0"/>
    </xf>
    <xf numFmtId="0" fontId="22" fillId="0" borderId="91" xfId="0" applyFont="1" applyBorder="1" applyAlignment="1" applyProtection="1">
      <alignment vertical="center" wrapText="1"/>
      <protection locked="0"/>
    </xf>
    <xf numFmtId="0" fontId="123" fillId="4" borderId="155" xfId="0" applyFont="1" applyFill="1" applyBorder="1" applyAlignment="1">
      <alignment horizontal="center" vertical="center" readingOrder="1"/>
    </xf>
    <xf numFmtId="0" fontId="123" fillId="4" borderId="120" xfId="0" applyFont="1" applyFill="1" applyBorder="1" applyAlignment="1">
      <alignment horizontal="center" vertical="center" readingOrder="1"/>
    </xf>
    <xf numFmtId="0" fontId="123" fillId="4" borderId="155" xfId="0" applyFont="1" applyFill="1" applyBorder="1" applyAlignment="1">
      <alignment horizontal="center" vertical="center" wrapText="1" readingOrder="1"/>
    </xf>
    <xf numFmtId="0" fontId="123" fillId="4" borderId="120" xfId="0" applyFont="1" applyFill="1" applyBorder="1" applyAlignment="1">
      <alignment horizontal="center" vertical="center" wrapText="1" readingOrder="1"/>
    </xf>
    <xf numFmtId="0" fontId="123" fillId="4" borderId="155" xfId="6" applyNumberFormat="1" applyFont="1" applyFill="1" applyBorder="1" applyAlignment="1" applyProtection="1">
      <alignment horizontal="center" vertical="center" wrapText="1" readingOrder="1"/>
      <protection locked="0"/>
    </xf>
    <xf numFmtId="0" fontId="123" fillId="4" borderId="120" xfId="6" applyNumberFormat="1" applyFont="1" applyFill="1" applyBorder="1" applyAlignment="1" applyProtection="1">
      <alignment horizontal="center" vertical="center" wrapText="1" readingOrder="1"/>
      <protection locked="0"/>
    </xf>
    <xf numFmtId="0" fontId="17" fillId="20" borderId="1" xfId="0" applyFont="1" applyFill="1" applyBorder="1" applyAlignment="1">
      <alignment horizontal="left" vertical="center" wrapText="1" readingOrder="1"/>
    </xf>
    <xf numFmtId="0" fontId="17" fillId="20" borderId="162" xfId="0" applyFont="1" applyFill="1" applyBorder="1" applyAlignment="1">
      <alignment horizontal="left" vertical="center" wrapText="1" readingOrder="1"/>
    </xf>
    <xf numFmtId="0" fontId="54" fillId="0" borderId="154" xfId="0" applyFont="1" applyBorder="1" applyAlignment="1" applyProtection="1">
      <alignment horizontal="left" vertical="center" wrapText="1" readingOrder="1"/>
      <protection locked="0"/>
    </xf>
    <xf numFmtId="0" fontId="54" fillId="0" borderId="199" xfId="0" applyFont="1" applyBorder="1" applyAlignment="1" applyProtection="1">
      <alignment horizontal="left" vertical="center" wrapText="1" readingOrder="1"/>
      <protection locked="0"/>
    </xf>
    <xf numFmtId="0" fontId="54" fillId="0" borderId="148" xfId="0" applyFont="1" applyBorder="1" applyAlignment="1" applyProtection="1">
      <alignment horizontal="left" vertical="center" wrapText="1" readingOrder="1"/>
      <protection locked="0"/>
    </xf>
    <xf numFmtId="0" fontId="54" fillId="0" borderId="156" xfId="0" applyFont="1" applyBorder="1" applyAlignment="1" applyProtection="1">
      <alignment horizontal="left" vertical="center" wrapText="1" readingOrder="1"/>
      <protection locked="0"/>
    </xf>
    <xf numFmtId="0" fontId="54" fillId="0" borderId="157" xfId="0" applyFont="1" applyBorder="1" applyAlignment="1" applyProtection="1">
      <alignment horizontal="left" vertical="center" wrapText="1" readingOrder="1"/>
      <protection locked="0"/>
    </xf>
    <xf numFmtId="0" fontId="54" fillId="0" borderId="150" xfId="0" applyFont="1" applyBorder="1" applyAlignment="1" applyProtection="1">
      <alignment horizontal="left" vertical="center" wrapText="1" readingOrder="1"/>
      <protection locked="0"/>
    </xf>
    <xf numFmtId="0" fontId="17" fillId="20" borderId="94" xfId="0" applyFont="1" applyFill="1" applyBorder="1" applyAlignment="1">
      <alignment horizontal="left" vertical="center" wrapText="1" readingOrder="1"/>
    </xf>
    <xf numFmtId="0" fontId="17" fillId="20" borderId="2" xfId="0" applyFont="1" applyFill="1" applyBorder="1" applyAlignment="1">
      <alignment horizontal="left" vertical="center" wrapText="1" readingOrder="1"/>
    </xf>
    <xf numFmtId="0" fontId="54" fillId="4" borderId="26" xfId="0" applyFont="1" applyFill="1" applyBorder="1" applyAlignment="1" applyProtection="1">
      <alignment horizontal="left" vertical="center" wrapText="1" readingOrder="1"/>
      <protection locked="0"/>
    </xf>
    <xf numFmtId="0" fontId="54" fillId="4" borderId="162" xfId="0" applyFont="1" applyFill="1" applyBorder="1" applyAlignment="1" applyProtection="1">
      <alignment horizontal="left" vertical="center" wrapText="1" readingOrder="1"/>
      <protection locked="0"/>
    </xf>
    <xf numFmtId="0" fontId="71" fillId="0" borderId="71" xfId="0" applyFont="1" applyBorder="1" applyAlignment="1" applyProtection="1">
      <alignment horizontal="center" vertical="center" wrapText="1" readingOrder="1"/>
      <protection locked="0"/>
    </xf>
    <xf numFmtId="0" fontId="71" fillId="0" borderId="0" xfId="0" applyFont="1" applyAlignment="1" applyProtection="1">
      <alignment horizontal="center" vertical="center" wrapText="1" readingOrder="1"/>
      <protection locked="0"/>
    </xf>
    <xf numFmtId="0" fontId="71" fillId="0" borderId="207" xfId="0" applyFont="1" applyBorder="1" applyAlignment="1" applyProtection="1">
      <alignment horizontal="center" vertical="center" wrapText="1" readingOrder="1"/>
      <protection locked="0"/>
    </xf>
    <xf numFmtId="9" fontId="71" fillId="0" borderId="193" xfId="0" applyNumberFormat="1" applyFont="1" applyBorder="1" applyAlignment="1" applyProtection="1">
      <alignment horizontal="center" vertical="center" wrapText="1" readingOrder="1"/>
      <protection locked="0"/>
    </xf>
    <xf numFmtId="9" fontId="71" fillId="0" borderId="50" xfId="0" applyNumberFormat="1" applyFont="1" applyBorder="1" applyAlignment="1" applyProtection="1">
      <alignment horizontal="center" vertical="center" wrapText="1" readingOrder="1"/>
      <protection locked="0"/>
    </xf>
    <xf numFmtId="9" fontId="71" fillId="0" borderId="214" xfId="0" applyNumberFormat="1" applyFont="1" applyBorder="1" applyAlignment="1" applyProtection="1">
      <alignment horizontal="center" vertical="center" wrapText="1" readingOrder="1"/>
      <protection locked="0"/>
    </xf>
    <xf numFmtId="0" fontId="17" fillId="20" borderId="94" xfId="0" applyFont="1" applyFill="1" applyBorder="1" applyAlignment="1">
      <alignment vertical="center" wrapText="1" readingOrder="1"/>
    </xf>
    <xf numFmtId="0" fontId="17" fillId="20" borderId="197" xfId="0" applyFont="1" applyFill="1" applyBorder="1" applyAlignment="1">
      <alignment horizontal="left" vertical="center" wrapText="1" readingOrder="1"/>
    </xf>
    <xf numFmtId="168" fontId="71" fillId="4" borderId="156" xfId="2" applyFont="1" applyFill="1" applyBorder="1" applyAlignment="1" applyProtection="1">
      <alignment horizontal="right" vertical="center" wrapText="1" readingOrder="1"/>
      <protection locked="0"/>
    </xf>
    <xf numFmtId="168" fontId="71" fillId="4" borderId="210" xfId="2" applyFont="1" applyFill="1" applyBorder="1" applyAlignment="1" applyProtection="1">
      <alignment horizontal="right" vertical="center" wrapText="1" readingOrder="1"/>
      <protection locked="0"/>
    </xf>
    <xf numFmtId="168" fontId="71" fillId="0" borderId="156" xfId="2" applyFont="1" applyBorder="1" applyAlignment="1" applyProtection="1">
      <alignment horizontal="center" vertical="center" wrapText="1" readingOrder="1"/>
      <protection locked="0"/>
    </xf>
    <xf numFmtId="168" fontId="71" fillId="0" borderId="157" xfId="2" applyFont="1" applyBorder="1" applyAlignment="1" applyProtection="1">
      <alignment horizontal="center" vertical="center" wrapText="1" readingOrder="1"/>
      <protection locked="0"/>
    </xf>
    <xf numFmtId="168" fontId="71" fillId="0" borderId="137" xfId="2" applyFont="1" applyBorder="1" applyAlignment="1" applyProtection="1">
      <alignment horizontal="center" vertical="center" wrapText="1" readingOrder="1"/>
      <protection locked="0"/>
    </xf>
    <xf numFmtId="0" fontId="22" fillId="16" borderId="0" xfId="1" quotePrefix="1" applyNumberFormat="1" applyFont="1" applyFill="1" applyBorder="1" applyAlignment="1">
      <alignment horizontal="left" vertical="top" wrapText="1"/>
    </xf>
    <xf numFmtId="0" fontId="22" fillId="16" borderId="0" xfId="1" quotePrefix="1" applyNumberFormat="1" applyFont="1" applyFill="1" applyAlignment="1">
      <alignment horizontal="left" vertical="top" wrapText="1"/>
    </xf>
    <xf numFmtId="0" fontId="95" fillId="42" borderId="0" xfId="5" applyFont="1" applyFill="1" applyAlignment="1">
      <alignment horizontal="center" vertical="center"/>
    </xf>
    <xf numFmtId="0" fontId="22" fillId="16" borderId="162" xfId="1" quotePrefix="1" applyNumberFormat="1" applyFont="1" applyFill="1" applyBorder="1" applyAlignment="1">
      <alignment horizontal="left" vertical="top" wrapText="1"/>
    </xf>
    <xf numFmtId="0" fontId="27" fillId="16" borderId="0" xfId="5" applyFont="1" applyFill="1" applyAlignment="1">
      <alignment horizontal="left" vertical="center"/>
    </xf>
    <xf numFmtId="0" fontId="22" fillId="16" borderId="0" xfId="5" applyFont="1" applyFill="1" applyAlignment="1">
      <alignment horizontal="left" vertical="center"/>
    </xf>
    <xf numFmtId="0" fontId="22" fillId="16" borderId="73" xfId="5" applyFont="1" applyFill="1" applyBorder="1" applyAlignment="1">
      <alignment horizontal="left" vertical="center"/>
    </xf>
    <xf numFmtId="0" fontId="18" fillId="20" borderId="122" xfId="0" applyFont="1" applyFill="1" applyBorder="1" applyAlignment="1">
      <alignment horizontal="center"/>
    </xf>
    <xf numFmtId="0" fontId="18" fillId="20" borderId="138" xfId="0" applyFont="1" applyFill="1" applyBorder="1" applyAlignment="1">
      <alignment horizontal="center"/>
    </xf>
    <xf numFmtId="0" fontId="18" fillId="20" borderId="123" xfId="0" applyFont="1" applyFill="1" applyBorder="1" applyAlignment="1">
      <alignment horizontal="center"/>
    </xf>
    <xf numFmtId="0" fontId="46" fillId="16" borderId="0" xfId="0" applyFont="1" applyFill="1" applyAlignment="1">
      <alignment horizontal="center" vertical="center" wrapText="1"/>
    </xf>
    <xf numFmtId="0" fontId="45" fillId="16" borderId="0" xfId="0" applyFont="1" applyFill="1" applyAlignment="1">
      <alignment horizontal="center"/>
    </xf>
    <xf numFmtId="0" fontId="15" fillId="20" borderId="76" xfId="0" applyFont="1" applyFill="1" applyBorder="1" applyAlignment="1">
      <alignment horizontal="center" vertical="center" wrapText="1"/>
    </xf>
    <xf numFmtId="0" fontId="15" fillId="20" borderId="77" xfId="0" applyFont="1" applyFill="1" applyBorder="1" applyAlignment="1">
      <alignment horizontal="center" vertical="center" wrapText="1"/>
    </xf>
    <xf numFmtId="2" fontId="15" fillId="20" borderId="75" xfId="10" applyNumberFormat="1" applyFont="1" applyFill="1" applyBorder="1" applyAlignment="1" applyProtection="1">
      <alignment horizontal="center" vertical="center" wrapText="1"/>
      <protection locked="0"/>
    </xf>
    <xf numFmtId="2" fontId="15" fillId="20" borderId="6" xfId="10" applyNumberFormat="1"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15" fillId="20" borderId="70" xfId="0" quotePrefix="1" applyFont="1" applyFill="1" applyBorder="1" applyAlignment="1">
      <alignment horizontal="center" vertical="center" wrapText="1"/>
    </xf>
    <xf numFmtId="0" fontId="15" fillId="20" borderId="61" xfId="0" quotePrefix="1" applyFont="1" applyFill="1" applyBorder="1" applyAlignment="1">
      <alignment horizontal="center" vertical="center" wrapText="1"/>
    </xf>
    <xf numFmtId="0" fontId="14" fillId="20" borderId="4" xfId="0" applyFont="1" applyFill="1" applyBorder="1" applyAlignment="1">
      <alignment horizontal="center" vertical="center" wrapText="1"/>
    </xf>
    <xf numFmtId="0" fontId="14" fillId="20" borderId="81" xfId="0" applyFont="1" applyFill="1" applyBorder="1" applyAlignment="1">
      <alignment horizontal="center" vertical="center" wrapText="1"/>
    </xf>
    <xf numFmtId="0" fontId="15" fillId="20" borderId="64" xfId="0" quotePrefix="1" applyFont="1" applyFill="1" applyBorder="1" applyAlignment="1">
      <alignment horizontal="center" vertical="center" wrapText="1"/>
    </xf>
    <xf numFmtId="0" fontId="17" fillId="20" borderId="122" xfId="8" applyFont="1" applyFill="1" applyBorder="1" applyAlignment="1">
      <alignment horizontal="left" vertical="center" wrapText="1"/>
    </xf>
    <xf numFmtId="0" fontId="17" fillId="20" borderId="123" xfId="8" applyFont="1" applyFill="1" applyBorder="1" applyAlignment="1">
      <alignment horizontal="left" vertical="center" wrapText="1"/>
    </xf>
    <xf numFmtId="0" fontId="14" fillId="16" borderId="0" xfId="0" applyFont="1" applyFill="1" applyAlignment="1">
      <alignment horizontal="center" vertical="center" wrapText="1"/>
    </xf>
    <xf numFmtId="2" fontId="15" fillId="20" borderId="75" xfId="0" applyNumberFormat="1" applyFont="1" applyFill="1" applyBorder="1" applyAlignment="1">
      <alignment horizontal="center" vertical="center" wrapText="1"/>
    </xf>
    <xf numFmtId="2" fontId="15" fillId="20" borderId="6" xfId="0" applyNumberFormat="1" applyFont="1" applyFill="1" applyBorder="1" applyAlignment="1">
      <alignment horizontal="center" vertical="center" wrapText="1"/>
    </xf>
    <xf numFmtId="2" fontId="15" fillId="20" borderId="81" xfId="0" applyNumberFormat="1" applyFont="1" applyFill="1" applyBorder="1" applyAlignment="1">
      <alignment horizontal="center" vertical="center" wrapText="1"/>
    </xf>
    <xf numFmtId="0" fontId="15" fillId="20" borderId="78" xfId="0" applyFont="1" applyFill="1" applyBorder="1" applyAlignment="1">
      <alignment horizontal="center" vertical="center" wrapText="1"/>
    </xf>
    <xf numFmtId="0" fontId="14" fillId="16" borderId="26" xfId="10" applyFont="1" applyFill="1" applyBorder="1" applyAlignment="1" applyProtection="1">
      <alignment horizontal="center" vertical="center" wrapText="1"/>
    </xf>
    <xf numFmtId="0" fontId="14" fillId="16" borderId="27" xfId="10" applyFont="1" applyFill="1" applyBorder="1" applyAlignment="1" applyProtection="1">
      <alignment horizontal="center" vertical="center" wrapText="1"/>
    </xf>
    <xf numFmtId="0" fontId="15" fillId="20" borderId="74" xfId="10" applyFont="1" applyFill="1" applyBorder="1" applyAlignment="1" applyProtection="1">
      <alignment horizontal="center" vertical="center" wrapText="1"/>
      <protection locked="0"/>
    </xf>
    <xf numFmtId="0" fontId="15" fillId="20" borderId="79" xfId="10" applyFont="1" applyFill="1" applyBorder="1" applyAlignment="1" applyProtection="1">
      <alignment horizontal="center" vertical="center" wrapText="1"/>
      <protection locked="0"/>
    </xf>
    <xf numFmtId="0" fontId="15" fillId="20" borderId="75" xfId="10" applyFont="1" applyFill="1" applyBorder="1" applyAlignment="1" applyProtection="1">
      <alignment horizontal="center" vertical="center" wrapText="1"/>
      <protection locked="0"/>
    </xf>
    <xf numFmtId="0" fontId="15" fillId="20" borderId="6" xfId="10" applyFont="1" applyFill="1" applyBorder="1" applyAlignment="1" applyProtection="1">
      <alignment horizontal="center" vertical="center" wrapText="1"/>
      <protection locked="0"/>
    </xf>
    <xf numFmtId="0" fontId="22" fillId="16" borderId="162" xfId="5" applyFont="1" applyFill="1" applyBorder="1" applyAlignment="1">
      <alignment horizontal="left" vertical="top" wrapText="1"/>
    </xf>
    <xf numFmtId="0" fontId="22" fillId="16" borderId="0" xfId="5" quotePrefix="1" applyFont="1" applyFill="1" applyAlignment="1">
      <alignment horizontal="left" vertical="top" wrapText="1"/>
    </xf>
    <xf numFmtId="0" fontId="47" fillId="20" borderId="1" xfId="14" applyFont="1" applyFill="1" applyBorder="1" applyAlignment="1" applyProtection="1">
      <alignment horizontal="center"/>
    </xf>
    <xf numFmtId="0" fontId="47" fillId="20" borderId="2" xfId="14" applyFont="1" applyFill="1" applyBorder="1" applyAlignment="1" applyProtection="1">
      <alignment horizontal="center"/>
    </xf>
    <xf numFmtId="0" fontId="22" fillId="16" borderId="118" xfId="0" quotePrefix="1" applyFont="1" applyFill="1" applyBorder="1" applyAlignment="1">
      <alignment horizontal="left" vertical="top" wrapText="1"/>
    </xf>
    <xf numFmtId="0" fontId="11" fillId="20" borderId="3" xfId="0" applyFont="1" applyFill="1" applyBorder="1" applyAlignment="1">
      <alignment horizontal="center" vertical="center"/>
    </xf>
    <xf numFmtId="0" fontId="11" fillId="20" borderId="139" xfId="0" applyFont="1" applyFill="1" applyBorder="1" applyAlignment="1">
      <alignment horizontal="center" vertical="center"/>
    </xf>
    <xf numFmtId="0" fontId="11" fillId="20" borderId="147" xfId="0" applyFont="1" applyFill="1" applyBorder="1" applyAlignment="1">
      <alignment horizontal="center" vertical="center"/>
    </xf>
    <xf numFmtId="0" fontId="11" fillId="20" borderId="140" xfId="0" applyFont="1" applyFill="1" applyBorder="1" applyAlignment="1">
      <alignment horizontal="center" vertical="center"/>
    </xf>
    <xf numFmtId="0" fontId="11" fillId="0" borderId="65" xfId="0" applyFont="1" applyBorder="1" applyAlignment="1">
      <alignment horizontal="center"/>
    </xf>
    <xf numFmtId="0" fontId="42" fillId="4" borderId="27" xfId="0" applyFont="1" applyFill="1" applyBorder="1" applyAlignment="1">
      <alignment horizontal="left" vertical="center"/>
    </xf>
    <xf numFmtId="0" fontId="42" fillId="4" borderId="0" xfId="0" applyFont="1" applyFill="1" applyAlignment="1">
      <alignment horizontal="left" vertical="center"/>
    </xf>
    <xf numFmtId="3" fontId="11" fillId="0" borderId="65" xfId="0" applyNumberFormat="1" applyFont="1" applyBorder="1" applyAlignment="1">
      <alignment horizontal="center"/>
    </xf>
    <xf numFmtId="0" fontId="23" fillId="12" borderId="0" xfId="0" applyFont="1" applyFill="1" applyAlignment="1">
      <alignment horizontal="center" vertical="center"/>
    </xf>
    <xf numFmtId="0" fontId="17" fillId="11" borderId="3" xfId="3" applyFont="1" applyFill="1" applyBorder="1" applyAlignment="1" applyProtection="1">
      <alignment horizontal="center" vertical="center" wrapText="1"/>
    </xf>
    <xf numFmtId="0" fontId="11" fillId="4" borderId="0" xfId="0" applyFont="1" applyFill="1" applyAlignment="1">
      <alignment horizontal="center"/>
    </xf>
    <xf numFmtId="0" fontId="11" fillId="11" borderId="36" xfId="0" applyFont="1" applyFill="1" applyBorder="1" applyAlignment="1">
      <alignment horizontal="center"/>
    </xf>
    <xf numFmtId="0" fontId="11" fillId="11" borderId="37" xfId="0" applyFont="1" applyFill="1" applyBorder="1" applyAlignment="1">
      <alignment horizontal="center"/>
    </xf>
    <xf numFmtId="0" fontId="11" fillId="11" borderId="36" xfId="0" applyFont="1" applyFill="1" applyBorder="1" applyAlignment="1">
      <alignment horizontal="center" vertical="center"/>
    </xf>
    <xf numFmtId="0" fontId="11" fillId="11" borderId="38" xfId="0" applyFont="1" applyFill="1" applyBorder="1" applyAlignment="1">
      <alignment horizontal="center" vertical="center"/>
    </xf>
    <xf numFmtId="0" fontId="11" fillId="11" borderId="38" xfId="0" applyFont="1" applyFill="1" applyBorder="1" applyAlignment="1">
      <alignment horizontal="center"/>
    </xf>
    <xf numFmtId="0" fontId="18" fillId="11" borderId="36" xfId="0" applyFont="1" applyFill="1" applyBorder="1" applyAlignment="1">
      <alignment horizontal="center" vertical="center"/>
    </xf>
    <xf numFmtId="0" fontId="18" fillId="11" borderId="38" xfId="0" applyFont="1" applyFill="1" applyBorder="1" applyAlignment="1">
      <alignment horizontal="center" vertical="center"/>
    </xf>
    <xf numFmtId="0" fontId="18" fillId="11" borderId="37" xfId="0" applyFont="1" applyFill="1" applyBorder="1" applyAlignment="1">
      <alignment horizontal="center" vertical="center"/>
    </xf>
    <xf numFmtId="0" fontId="80" fillId="4" borderId="0" xfId="1" applyNumberFormat="1" applyFont="1" applyFill="1" applyAlignment="1">
      <alignment horizontal="left" vertical="top" indent="2"/>
    </xf>
  </cellXfs>
  <cellStyles count="19">
    <cellStyle name="20% - Accent3 2" xfId="10" xr:uid="{90CF7517-AB31-B74F-BAF0-4E09387D1097}"/>
    <cellStyle name="20% - Accent5 2" xfId="15" xr:uid="{9DB06318-207F-4649-8077-97FD9510C59A}"/>
    <cellStyle name="40% - Accent1" xfId="3" builtinId="31"/>
    <cellStyle name="40% - Accent1 2" xfId="8" xr:uid="{70B496CB-B484-6B4C-A393-024AD20AD3AB}"/>
    <cellStyle name="40% - Accent1 3" xfId="14" xr:uid="{2497123E-0F9D-B148-9C73-493C0B3DB144}"/>
    <cellStyle name="40% - Accent5" xfId="4" builtinId="47"/>
    <cellStyle name="Comma" xfId="1" builtinId="3"/>
    <cellStyle name="Currency" xfId="2" builtinId="4"/>
    <cellStyle name="Currency 2" xfId="17" xr:uid="{79CFC16C-7A5A-964F-902B-8450653AC8CD}"/>
    <cellStyle name="Heading 2" xfId="11" builtinId="17"/>
    <cellStyle name="Hyperlink" xfId="9" builtinId="8"/>
    <cellStyle name="Normal" xfId="0" builtinId="0"/>
    <cellStyle name="Normal 2" xfId="5" xr:uid="{BBA78706-464A-7C49-B5B8-76F92765B16E}"/>
    <cellStyle name="Normal 3" xfId="7" xr:uid="{781A9814-06E8-5B4A-B7AD-AFC0F7104513}"/>
    <cellStyle name="Normal 4" xfId="18" xr:uid="{F456F71F-F978-4954-8464-ABA5720CEF5B}"/>
    <cellStyle name="Percent" xfId="6" builtinId="5"/>
    <cellStyle name="Percent 2" xfId="13" xr:uid="{4FF58A8D-E0E1-4543-972D-7F21B64BCFFF}"/>
    <cellStyle name="Total" xfId="12" builtinId="25"/>
    <cellStyle name="Total 2" xfId="16" xr:uid="{B972BD2D-9E69-FE4C-B9F4-03FF251892F4}"/>
  </cellStyles>
  <dxfs count="338">
    <dxf>
      <font>
        <color rgb="FF9C0006"/>
      </font>
      <fill>
        <patternFill>
          <bgColor rgb="FFFFC7CE"/>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ill>
        <patternFill>
          <bgColor rgb="FFF2EBDA"/>
        </patternFill>
      </fill>
    </dxf>
    <dxf>
      <font>
        <b val="0"/>
        <i/>
      </font>
      <fill>
        <patternFill>
          <bgColor theme="3" tint="0.79998168889431442"/>
        </patternFill>
      </fill>
    </dxf>
    <dxf>
      <font>
        <color rgb="FF006100"/>
      </font>
      <fill>
        <patternFill>
          <bgColor rgb="FFC6EFCE"/>
        </patternFill>
      </fill>
    </dxf>
    <dxf>
      <font>
        <color rgb="FF9C0006"/>
      </font>
      <fill>
        <patternFill>
          <bgColor rgb="FFFFC7CE"/>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2EBDA"/>
        </patternFill>
      </fill>
    </dxf>
    <dxf>
      <font>
        <color rgb="FF006100"/>
      </font>
      <fill>
        <patternFill>
          <bgColor rgb="FFC6EFCE"/>
        </patternFill>
      </fill>
    </dxf>
    <dxf>
      <font>
        <color rgb="FF9C0006"/>
      </font>
      <fill>
        <patternFill>
          <bgColor rgb="FFFFC7CE"/>
        </patternFill>
      </fill>
    </dxf>
    <dxf>
      <fill>
        <patternFill>
          <bgColor theme="9" tint="0.39994506668294322"/>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b val="0"/>
        <i val="0"/>
        <color rgb="FFC00000"/>
      </font>
      <fill>
        <patternFill>
          <bgColor rgb="FFFFC7CE"/>
        </patternFill>
      </fill>
      <border>
        <left style="thin">
          <color auto="1"/>
        </left>
        <right style="thin">
          <color auto="1"/>
        </right>
        <top style="thin">
          <color auto="1"/>
        </top>
        <bottom style="thin">
          <color auto="1"/>
        </bottom>
        <vertical/>
        <horizontal/>
      </border>
    </dxf>
    <dxf>
      <font>
        <b val="0"/>
        <i val="0"/>
        <color theme="6"/>
      </font>
      <fill>
        <patternFill>
          <bgColor theme="9" tint="0.79998168889431442"/>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rgb="FFFEFDDF"/>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theme="6"/>
        </patternFill>
      </fill>
    </dxf>
    <dxf>
      <font>
        <b val="0"/>
        <i val="0"/>
        <color auto="1"/>
      </font>
      <fill>
        <patternFill>
          <bgColor rgb="FFFFC7CE"/>
        </patternFill>
      </fill>
    </dxf>
    <dxf>
      <font>
        <b/>
        <i val="0"/>
        <color theme="0"/>
      </font>
      <fill>
        <patternFill>
          <bgColor theme="9"/>
        </patternFill>
      </fill>
    </dxf>
    <dxf>
      <font>
        <b val="0"/>
        <i val="0"/>
        <color rgb="FFC00000"/>
      </font>
      <fill>
        <patternFill>
          <bgColor rgb="FFFFC7CE"/>
        </patternFill>
      </fill>
    </dxf>
    <dxf>
      <font>
        <b val="0"/>
        <i val="0"/>
        <color theme="6"/>
      </font>
      <fill>
        <patternFill>
          <bgColor theme="9" tint="0.79998168889431442"/>
        </patternFill>
      </fill>
    </dxf>
    <dxf>
      <font>
        <b/>
        <i val="0"/>
        <color rgb="FFC00000"/>
      </font>
      <fill>
        <patternFill>
          <bgColor rgb="FFFFC7CE"/>
        </patternFill>
      </fill>
    </dxf>
    <dxf>
      <font>
        <color rgb="FF9C0006"/>
      </font>
      <fill>
        <patternFill>
          <bgColor rgb="FFFFC7CE"/>
        </patternFill>
      </fill>
    </dxf>
    <dxf>
      <font>
        <color theme="6"/>
      </font>
      <fill>
        <patternFill>
          <bgColor theme="9" tint="0.79998168889431442"/>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ont>
        <b val="0"/>
        <i val="0"/>
        <color rgb="FFC00000"/>
      </font>
      <fill>
        <patternFill>
          <bgColor rgb="FFFFC7CE"/>
        </patternFill>
      </fill>
    </dxf>
    <dxf>
      <font>
        <b val="0"/>
        <i val="0"/>
        <color theme="6"/>
      </font>
      <fill>
        <patternFill>
          <bgColor theme="9" tint="0.79998168889431442"/>
        </patternFill>
      </fill>
    </dxf>
    <dxf>
      <fill>
        <patternFill>
          <bgColor theme="5" tint="0.79998168889431442"/>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color rgb="FF9C0006"/>
      </font>
      <fill>
        <patternFill>
          <bgColor rgb="FFFFC7CE"/>
        </patternFill>
      </fill>
    </dxf>
    <dxf>
      <font>
        <color theme="6"/>
      </font>
      <fill>
        <patternFill>
          <bgColor theme="9" tint="0.79998168889431442"/>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b/>
        <i val="0"/>
      </font>
      <fill>
        <patternFill>
          <bgColor theme="7" tint="0.79998168889431442"/>
        </patternFill>
      </fill>
    </dxf>
    <dxf>
      <font>
        <b/>
        <i val="0"/>
      </font>
      <fill>
        <patternFill>
          <bgColor theme="9" tint="0.79998168889431442"/>
        </patternFill>
      </fill>
    </dxf>
    <dxf>
      <font>
        <color rgb="FF9C0006"/>
      </font>
    </dxf>
    <dxf>
      <font>
        <color rgb="FF9C0006"/>
      </font>
    </dxf>
    <dxf>
      <numFmt numFmtId="187" formatCode="[$CAD]\ #,##0.00"/>
      <fill>
        <patternFill patternType="none">
          <bgColor auto="1"/>
        </patternFill>
      </fill>
    </dxf>
    <dxf>
      <numFmt numFmtId="171" formatCode="&quot;$&quot;#,##0.00"/>
    </dxf>
    <dxf>
      <numFmt numFmtId="186" formatCode="[$£-809]#,##0.00"/>
    </dxf>
    <dxf>
      <numFmt numFmtId="173" formatCode="[$$-409]#,##0.00"/>
    </dxf>
    <dxf>
      <numFmt numFmtId="173" formatCode="[$$-409]#,##0.00"/>
    </dxf>
    <dxf>
      <numFmt numFmtId="171" formatCode="&quot;$&quot;#,##0.00"/>
    </dxf>
    <dxf>
      <numFmt numFmtId="187" formatCode="[$CAD]\ #,##0.00"/>
      <fill>
        <patternFill patternType="none">
          <bgColor auto="1"/>
        </patternFill>
      </fill>
    </dxf>
    <dxf>
      <numFmt numFmtId="186" formatCode="[$£-809]#,##0.00"/>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ill>
        <patternFill>
          <bgColor rgb="FFF8D5B6"/>
        </patternFill>
      </fill>
    </dxf>
    <dxf>
      <fill>
        <patternFill>
          <bgColor rgb="FFFBE7C7"/>
        </patternFill>
      </fill>
    </dxf>
    <dxf>
      <fill>
        <patternFill>
          <bgColor rgb="FFFEFDDF"/>
        </patternFill>
      </fill>
    </dxf>
    <dxf>
      <font>
        <b val="0"/>
        <i/>
      </font>
    </dxf>
    <dxf>
      <font>
        <color theme="0"/>
      </font>
    </dxf>
    <dxf>
      <font>
        <color theme="0"/>
      </font>
    </dxf>
    <dxf>
      <numFmt numFmtId="186" formatCode="[$£-809]#,##0.00"/>
    </dxf>
    <dxf>
      <numFmt numFmtId="173" formatCode="[$$-409]#,##0.00"/>
    </dxf>
    <dxf>
      <numFmt numFmtId="171" formatCode="&quot;$&quot;#,##0.00"/>
    </dxf>
    <dxf>
      <numFmt numFmtId="187" formatCode="[$CAD]\ #,##0.00"/>
      <fill>
        <patternFill patternType="none">
          <bgColor auto="1"/>
        </patternFill>
      </fill>
    </dxf>
    <dxf>
      <font>
        <b val="0"/>
        <i val="0"/>
        <color rgb="FFC00000"/>
      </font>
      <fill>
        <patternFill>
          <bgColor rgb="FFFFC7CE"/>
        </patternFill>
      </fill>
    </dxf>
    <dxf>
      <font>
        <b val="0"/>
        <i val="0"/>
        <color theme="6"/>
      </font>
      <fill>
        <patternFill>
          <bgColor theme="9" tint="0.79998168889431442"/>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border>
        <bottom style="thin">
          <color auto="1"/>
        </bottom>
        <vertical/>
        <horizontal/>
      </border>
    </dxf>
    <dxf>
      <fill>
        <patternFill>
          <bgColor rgb="FFFEFDDF"/>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border>
        <bottom style="thin">
          <color auto="1"/>
        </bottom>
        <vertical/>
        <horizontal/>
      </border>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color theme="0" tint="-4.9989318521683403E-2"/>
      </font>
      <fill>
        <patternFill>
          <bgColor theme="0" tint="-4.9989318521683403E-2"/>
        </patternFill>
      </fill>
      <border>
        <left/>
        <right/>
        <top/>
        <bottom/>
        <vertical/>
        <horizontal/>
      </border>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theme="0" tint="-4.9989318521683403E-2"/>
      </font>
      <fill>
        <patternFill>
          <bgColor theme="0" tint="-4.9989318521683403E-2"/>
        </patternFill>
      </fill>
      <border>
        <left/>
        <right/>
        <top/>
        <bottom/>
        <vertical/>
        <horizontal/>
      </border>
    </dxf>
    <dxf>
      <alignment horizontal="center"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85" formatCode="d\ mmm\ yyyy"/>
      <alignment horizontal="left" vertical="center" textRotation="0" wrapText="0" indent="0" justifyLastLine="0" shrinkToFit="0" readingOrder="0"/>
    </dxf>
    <dxf>
      <numFmt numFmtId="185" formatCode="d\ mmm\ yyyy"/>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 formatCode="0"/>
      <alignment horizontal="left" vertical="center" textRotation="0" wrapText="0" indent="0" justifyLastLine="0" shrinkToFit="0" readingOrder="0"/>
    </dxf>
    <dxf>
      <border outline="0">
        <top style="hair">
          <color rgb="FF333333"/>
        </top>
      </border>
    </dxf>
    <dxf>
      <alignment horizontal="left" vertical="center" textRotation="0" wrapText="0" indent="0" justifyLastLine="0" shrinkToFit="0" readingOrder="0"/>
    </dxf>
    <dxf>
      <border outline="0">
        <bottom style="hair">
          <color rgb="FF333333"/>
        </bottom>
      </border>
    </dxf>
    <dxf>
      <font>
        <b/>
        <i val="0"/>
        <strike val="0"/>
        <condense val="0"/>
        <extend val="0"/>
        <outline val="0"/>
        <shadow val="0"/>
        <u val="none"/>
        <vertAlign val="baseline"/>
        <sz val="10"/>
        <color rgb="FFFFFFFF"/>
        <name val="Arial"/>
        <family val="2"/>
        <scheme val="none"/>
      </font>
      <fill>
        <patternFill patternType="solid">
          <fgColor rgb="FF666666"/>
          <bgColor theme="1" tint="4.9989318521683403E-2"/>
        </patternFill>
      </fill>
      <alignment horizontal="left" vertical="center" textRotation="0" wrapText="0" indent="0" justifyLastLine="0" shrinkToFit="0" readingOrder="0"/>
      <border diagonalUp="0" diagonalDown="0" outline="0">
        <left style="hair">
          <color rgb="FF333333"/>
        </left>
        <right style="hair">
          <color rgb="FF333333"/>
        </right>
        <top/>
        <bottom/>
      </border>
    </dxf>
    <dxf>
      <numFmt numFmtId="0" formatCode="General"/>
      <fill>
        <patternFill patternType="none">
          <bgColor auto="1"/>
        </patternFill>
      </fill>
    </dxf>
    <dxf>
      <font>
        <b val="0"/>
        <i val="0"/>
        <strike val="0"/>
        <condense val="0"/>
        <extend val="0"/>
        <outline val="0"/>
        <shadow val="0"/>
        <u val="none"/>
        <vertAlign val="baseline"/>
        <sz val="11"/>
        <color theme="1"/>
        <name val="Lato Regular"/>
        <scheme val="none"/>
      </font>
      <numFmt numFmtId="1"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74"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numFmt numFmtId="174"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alignment horizontal="general" textRotation="0" wrapText="1"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fill>
        <patternFill patternType="none">
          <fgColor indexed="64"/>
          <bgColor auto="1"/>
        </patternFill>
      </fill>
    </dxf>
    <dxf>
      <fill>
        <patternFill patternType="none">
          <bgColor auto="1"/>
        </patternFill>
      </fill>
    </dxf>
    <dxf>
      <font>
        <b/>
        <i val="0"/>
        <strike val="0"/>
        <condense val="0"/>
        <extend val="0"/>
        <outline val="0"/>
        <shadow val="0"/>
        <u val="none"/>
        <vertAlign val="baseline"/>
        <sz val="11"/>
        <color theme="0"/>
        <name val="Lato Regular"/>
        <scheme val="none"/>
      </font>
      <fill>
        <patternFill patternType="none">
          <fgColor indexed="64"/>
          <bgColor auto="1"/>
        </patternFill>
      </fill>
    </dxf>
    <dxf>
      <fill>
        <patternFill patternType="solid">
          <bgColor theme="0"/>
        </patternFill>
      </fill>
    </dxf>
    <dxf>
      <fill>
        <patternFill patternType="none">
          <bgColor auto="1"/>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patternType="solid">
          <bgColor theme="0"/>
        </patternFill>
      </fill>
    </dxf>
    <dxf>
      <fill>
        <patternFill patternType="none">
          <bgColor auto="1"/>
        </patternFill>
      </fill>
    </dxf>
    <dxf>
      <fill>
        <patternFill>
          <bgColor theme="3" tint="0.89999084444715716"/>
        </patternFill>
      </fill>
    </dxf>
    <dxf>
      <font>
        <color auto="1"/>
      </font>
      <fill>
        <patternFill>
          <f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bgColor theme="0"/>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3" tint="0.89999084444715716"/>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indexed="64"/>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auto="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rgb="FF000000"/>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theme="2"/>
        </right>
        <top style="thin">
          <color theme="1"/>
        </top>
        <bottom style="thin">
          <color theme="1"/>
        </bottom>
        <vertical style="thin">
          <color theme="2"/>
        </vertical>
      </border>
    </dxf>
    <dxf>
      <border>
        <top style="thin">
          <color theme="1"/>
        </top>
      </border>
    </dxf>
    <dxf>
      <border diagonalUp="0" diagonalDown="0">
        <left style="thin">
          <color theme="1"/>
        </left>
        <right style="thin">
          <color theme="1"/>
        </right>
        <top style="thin">
          <color theme="1"/>
        </top>
        <bottom style="thin">
          <color theme="1"/>
        </bottom>
      </border>
    </dxf>
    <dxf>
      <font>
        <strike val="0"/>
        <outline val="0"/>
        <shadow val="0"/>
        <u val="none"/>
        <vertAlign val="baseline"/>
        <name val="Lato Regular"/>
        <scheme val="none"/>
      </font>
    </dxf>
    <dxf>
      <border>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tint="-4.9989318521683403E-2"/>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74"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numFmt numFmtId="174"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border outline="0">
        <top style="medium">
          <color indexed="64"/>
        </top>
      </border>
    </dxf>
    <dxf>
      <font>
        <strike val="0"/>
        <outline val="0"/>
        <shadow val="0"/>
        <u val="none"/>
        <vertAlign val="baseline"/>
        <sz val="11"/>
        <color theme="1"/>
        <name val="Lato Regular"/>
        <scheme val="none"/>
      </font>
    </dxf>
    <dxf>
      <border outline="0">
        <bottom style="medium">
          <color indexed="64"/>
        </bottom>
      </border>
    </dxf>
    <dxf>
      <font>
        <b/>
        <i val="0"/>
        <strike val="0"/>
        <condense val="0"/>
        <extend val="0"/>
        <outline val="0"/>
        <shadow val="0"/>
        <u val="none"/>
        <vertAlign val="baseline"/>
        <sz val="11"/>
        <color auto="1"/>
        <name val="Lato Regular"/>
        <scheme val="none"/>
      </font>
      <fill>
        <patternFill patternType="solid">
          <fgColor indexed="64"/>
          <bgColor theme="3" tint="0.89999084444715716"/>
        </patternFill>
      </fill>
    </dxf>
    <dxf>
      <fill>
        <patternFill>
          <bgColor rgb="FFF2EBDA"/>
        </patternFill>
      </fill>
    </dxf>
    <dxf>
      <fill>
        <patternFill>
          <bgColor rgb="FFF2EBDA"/>
        </patternFill>
      </fill>
    </dxf>
    <dxf>
      <fill>
        <patternFill>
          <bgColor theme="4" tint="0.59996337778862885"/>
        </patternFill>
      </fill>
    </dxf>
    <dxf>
      <border>
        <left style="thin">
          <color auto="1"/>
        </left>
        <right style="thin">
          <color auto="1"/>
        </right>
        <top style="thin">
          <color auto="1"/>
        </top>
        <bottom style="thin">
          <color auto="1"/>
        </bottom>
        <vertical style="thin">
          <color auto="1"/>
        </vertical>
        <horizontal style="thin">
          <color auto="1"/>
        </horizontal>
      </border>
    </dxf>
  </dxfs>
  <tableStyles count="1" defaultTableStyle="TableStyleMedium2" defaultPivotStyle="PivotStyleLight16">
    <tableStyle name="Estimate Table" pivot="0" count="4" xr9:uid="{223D00DD-8456-AF46-B4D4-DFB5FE5AED0A}">
      <tableStyleElement type="wholeTable" dxfId="337"/>
      <tableStyleElement type="headerRow" dxfId="336"/>
      <tableStyleElement type="firstRowStripe" dxfId="335"/>
      <tableStyleElement type="secondRowStripe" dxfId="334"/>
    </tableStyle>
  </tableStyles>
  <colors>
    <mruColors>
      <color rgb="FFFBE7C7"/>
      <color rgb="FFF8D5B6"/>
      <color rgb="FFE2E2E2"/>
      <color rgb="FFF3F3F3"/>
      <color rgb="FF215C98"/>
      <color rgb="FFFEFDDF"/>
      <color rgb="FF496A86"/>
      <color rgb="FFFBFBFB"/>
      <color rgb="FFF0F0F0"/>
      <color rgb="FF2D7F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1.xml"/><Relationship Id="rId33"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microsoft.com/office/2017/10/relationships/person" Target="persons/person.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8234176</xdr:colOff>
      <xdr:row>0</xdr:row>
      <xdr:rowOff>98612</xdr:rowOff>
    </xdr:from>
    <xdr:to>
      <xdr:col>2</xdr:col>
      <xdr:colOff>9632764</xdr:colOff>
      <xdr:row>3</xdr:row>
      <xdr:rowOff>208337</xdr:rowOff>
    </xdr:to>
    <xdr:pic>
      <xdr:nvPicPr>
        <xdr:cNvPr id="4" name="Picture 3">
          <a:extLst>
            <a:ext uri="{FF2B5EF4-FFF2-40B4-BE49-F238E27FC236}">
              <a16:creationId xmlns:a16="http://schemas.microsoft.com/office/drawing/2014/main" id="{AD770B64-8A17-477D-DE2A-024E1AA6DA95}"/>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373" t="168" r="561" b="1067"/>
        <a:stretch>
          <a:fillRect/>
        </a:stretch>
      </xdr:blipFill>
      <xdr:spPr>
        <a:xfrm>
          <a:off x="10669588" y="98612"/>
          <a:ext cx="1398588" cy="7796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62</xdr:col>
      <xdr:colOff>609600</xdr:colOff>
      <xdr:row>10</xdr:row>
      <xdr:rowOff>266700</xdr:rowOff>
    </xdr:from>
    <xdr:to>
      <xdr:col>63</xdr:col>
      <xdr:colOff>215900</xdr:colOff>
      <xdr:row>11</xdr:row>
      <xdr:rowOff>342900</xdr:rowOff>
    </xdr:to>
    <xdr:sp macro="" textlink="">
      <xdr:nvSpPr>
        <xdr:cNvPr id="2" name="5-Point Star 1">
          <a:extLst>
            <a:ext uri="{FF2B5EF4-FFF2-40B4-BE49-F238E27FC236}">
              <a16:creationId xmlns:a16="http://schemas.microsoft.com/office/drawing/2014/main" id="{C6908BD0-C21F-4217-AC64-353FE5C87F7E}"/>
            </a:ext>
          </a:extLst>
        </xdr:cNvPr>
        <xdr:cNvSpPr/>
      </xdr:nvSpPr>
      <xdr:spPr>
        <a:xfrm>
          <a:off x="23431500" y="1847850"/>
          <a:ext cx="361950" cy="438150"/>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69</xdr:col>
      <xdr:colOff>317500</xdr:colOff>
      <xdr:row>12</xdr:row>
      <xdr:rowOff>12700</xdr:rowOff>
    </xdr:from>
    <xdr:to>
      <xdr:col>69</xdr:col>
      <xdr:colOff>609600</xdr:colOff>
      <xdr:row>13</xdr:row>
      <xdr:rowOff>0</xdr:rowOff>
    </xdr:to>
    <xdr:sp macro="" textlink="">
      <xdr:nvSpPr>
        <xdr:cNvPr id="3" name="Down Arrow 2">
          <a:extLst>
            <a:ext uri="{FF2B5EF4-FFF2-40B4-BE49-F238E27FC236}">
              <a16:creationId xmlns:a16="http://schemas.microsoft.com/office/drawing/2014/main" id="{6BDE15BE-B9B6-491B-A398-A73EAAD2FA17}"/>
            </a:ext>
          </a:extLst>
        </xdr:cNvPr>
        <xdr:cNvSpPr/>
      </xdr:nvSpPr>
      <xdr:spPr>
        <a:xfrm>
          <a:off x="28975050" y="2314575"/>
          <a:ext cx="295275" cy="352425"/>
        </a:xfrm>
        <a:prstGeom prst="downArrow">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41</xdr:col>
      <xdr:colOff>609600</xdr:colOff>
      <xdr:row>10</xdr:row>
      <xdr:rowOff>266700</xdr:rowOff>
    </xdr:from>
    <xdr:to>
      <xdr:col>42</xdr:col>
      <xdr:colOff>215900</xdr:colOff>
      <xdr:row>11</xdr:row>
      <xdr:rowOff>342900</xdr:rowOff>
    </xdr:to>
    <xdr:sp macro="" textlink="">
      <xdr:nvSpPr>
        <xdr:cNvPr id="4" name="5-Point Star 1">
          <a:extLst>
            <a:ext uri="{FF2B5EF4-FFF2-40B4-BE49-F238E27FC236}">
              <a16:creationId xmlns:a16="http://schemas.microsoft.com/office/drawing/2014/main" id="{EAB495C1-754C-491E-91F0-60AEF1D03A69}"/>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30</xdr:col>
      <xdr:colOff>609600</xdr:colOff>
      <xdr:row>10</xdr:row>
      <xdr:rowOff>266700</xdr:rowOff>
    </xdr:from>
    <xdr:to>
      <xdr:col>31</xdr:col>
      <xdr:colOff>215900</xdr:colOff>
      <xdr:row>11</xdr:row>
      <xdr:rowOff>342900</xdr:rowOff>
    </xdr:to>
    <xdr:sp macro="" textlink="">
      <xdr:nvSpPr>
        <xdr:cNvPr id="5" name="5-Point Star 1">
          <a:extLst>
            <a:ext uri="{FF2B5EF4-FFF2-40B4-BE49-F238E27FC236}">
              <a16:creationId xmlns:a16="http://schemas.microsoft.com/office/drawing/2014/main" id="{80E71891-6990-472A-B97D-0D8626620FC1}"/>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52</xdr:col>
      <xdr:colOff>609600</xdr:colOff>
      <xdr:row>10</xdr:row>
      <xdr:rowOff>266700</xdr:rowOff>
    </xdr:from>
    <xdr:to>
      <xdr:col>53</xdr:col>
      <xdr:colOff>215900</xdr:colOff>
      <xdr:row>11</xdr:row>
      <xdr:rowOff>342900</xdr:rowOff>
    </xdr:to>
    <xdr:sp macro="" textlink="">
      <xdr:nvSpPr>
        <xdr:cNvPr id="6" name="5-Point Star 1">
          <a:extLst>
            <a:ext uri="{FF2B5EF4-FFF2-40B4-BE49-F238E27FC236}">
              <a16:creationId xmlns:a16="http://schemas.microsoft.com/office/drawing/2014/main" id="{842B2228-5964-4D5F-B754-157AADA7BEEF}"/>
            </a:ext>
          </a:extLst>
        </xdr:cNvPr>
        <xdr:cNvSpPr/>
      </xdr:nvSpPr>
      <xdr:spPr>
        <a:xfrm>
          <a:off x="518541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311149</xdr:colOff>
      <xdr:row>2</xdr:row>
      <xdr:rowOff>44450</xdr:rowOff>
    </xdr:from>
    <xdr:to>
      <xdr:col>12</xdr:col>
      <xdr:colOff>180974</xdr:colOff>
      <xdr:row>15</xdr:row>
      <xdr:rowOff>9525</xdr:rowOff>
    </xdr:to>
    <xdr:sp macro="" textlink="">
      <xdr:nvSpPr>
        <xdr:cNvPr id="2" name="TextBox 1">
          <a:extLst>
            <a:ext uri="{FF2B5EF4-FFF2-40B4-BE49-F238E27FC236}">
              <a16:creationId xmlns:a16="http://schemas.microsoft.com/office/drawing/2014/main" id="{10E9C31F-A8EB-4839-6CA8-21F7D32117A7}"/>
            </a:ext>
          </a:extLst>
        </xdr:cNvPr>
        <xdr:cNvSpPr txBox="1"/>
      </xdr:nvSpPr>
      <xdr:spPr>
        <a:xfrm>
          <a:off x="11464924" y="406400"/>
          <a:ext cx="3527425" cy="2317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INSTRUCTIONS:</a:t>
          </a:r>
        </a:p>
        <a:p>
          <a:r>
            <a:rPr lang="en-US" sz="1100"/>
            <a:t>Export</a:t>
          </a:r>
          <a:r>
            <a:rPr lang="en-US" sz="1100" baseline="0"/>
            <a:t> RDC or Rate Card from Projector Administrator. Copy Coumns A-D ONLY, Paste Into Column A in this worksheet. Insert a column before Column E in the Standard Rate Cards worksheet. Use =vlookup(Dx(whatever row you start with),'Updated Rate Card Import'!$E:$E,'Updated Rate Card Import'!$C:$C).</a:t>
          </a:r>
        </a:p>
        <a:p>
          <a:r>
            <a:rPr lang="en-US" sz="1100" baseline="0"/>
            <a:t>Copy and paste values only into the appropriate column in Standard Rate Cards. For example, if you are updating rates, paste values only into Rack Rates; if you are updating cost, past values only into Resource Cost. Once you are done updating, delete the working column you inserted into the table. </a:t>
          </a:r>
          <a:endParaRPr lang="en-US" sz="1100"/>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katie.stevenson1\Downloads\ROPE%20V2.1%20WIP%20Digital%20Launch%20REMASTER%20comparison.xlsx" TargetMode="External"/><Relationship Id="rId1" Type="http://schemas.openxmlformats.org/officeDocument/2006/relationships/externalLinkPath" Target="/Users/katie.stevenson1/Downloads/ROPE%20V2.1%20WIP%20Digital%20Launch%20REMASTER%20comparis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How to Use Guide"/>
      <sheetName val="1. Project Inputs"/>
      <sheetName val="Rates &amp; Drop Downs INT"/>
      <sheetName val="2. Roles &amp; Pricing"/>
      <sheetName val="FORMULA REFS"/>
      <sheetName val="3. Financial Inputs"/>
      <sheetName val="4. Summary &amp; Totals"/>
      <sheetName val="5. Import Checklist"/>
      <sheetName val="6. Commercial Business Review"/>
      <sheetName val="KPI Sheet"/>
      <sheetName val="Optional - Scope Estimation"/>
      <sheetName val="Optional - Scope Options Review"/>
      <sheetName val="Hidden -&gt;"/>
      <sheetName val="Optional Pricing Scenarios Eval"/>
      <sheetName val="Standard Rate Card"/>
      <sheetName val="Updated Rate Card Import"/>
      <sheetName val="Digital Resource Roster"/>
      <sheetName val="Resource Loading"/>
      <sheetName val="Client Rate Cards"/>
      <sheetName val="Definitions"/>
      <sheetName val="hTAD Info"/>
      <sheetName val="Complexity Factors"/>
    </sheetNames>
    <sheetDataSet>
      <sheetData sheetId="0"/>
      <sheetData sheetId="1"/>
      <sheetData sheetId="2">
        <row r="373">
          <cell r="C373" t="str">
            <v>Cloud &amp; Engineering - 2 | Associate Engineer</v>
          </cell>
          <cell r="D373"/>
        </row>
        <row r="374">
          <cell r="C374" t="str">
            <v>Cloud &amp; Engineering - 2 | Engineer</v>
          </cell>
          <cell r="D374"/>
        </row>
        <row r="375">
          <cell r="C375" t="str">
            <v>Cloud &amp; Engineering - 3 | Senior Engineer</v>
          </cell>
          <cell r="D375"/>
        </row>
        <row r="376">
          <cell r="C376" t="str">
            <v>Cloud &amp; Engineering - 3 | Lead Engineer</v>
          </cell>
          <cell r="D376"/>
        </row>
        <row r="377">
          <cell r="C377" t="str">
            <v>Cloud &amp; Engineering - 4 | Architect</v>
          </cell>
          <cell r="D377"/>
        </row>
        <row r="378">
          <cell r="C378" t="str">
            <v>Cloud &amp; Engineering - 5 | Senior Architect</v>
          </cell>
          <cell r="D378"/>
        </row>
        <row r="379">
          <cell r="C379" t="str">
            <v>Cloud &amp; Engineering - 6 | Principal Architect</v>
          </cell>
          <cell r="D379"/>
        </row>
        <row r="380">
          <cell r="C380" t="str">
            <v>Content - 2 | Associate Content Engineer</v>
          </cell>
          <cell r="D380"/>
        </row>
        <row r="381">
          <cell r="C381" t="str">
            <v>Content - 2 | Content Engineer</v>
          </cell>
          <cell r="D381"/>
        </row>
        <row r="382">
          <cell r="C382" t="str">
            <v>Content - 3 | Senior Content Engineer</v>
          </cell>
          <cell r="D382"/>
        </row>
        <row r="383">
          <cell r="C383" t="str">
            <v>Content - 3 | Lead Content Engineer</v>
          </cell>
          <cell r="D383"/>
        </row>
        <row r="384">
          <cell r="C384" t="str">
            <v>Data &amp; AI - 2 | Associate Engineer</v>
          </cell>
          <cell r="D384"/>
        </row>
        <row r="385">
          <cell r="C385" t="str">
            <v>Data &amp; AI - 2 | Engineer</v>
          </cell>
          <cell r="D385"/>
        </row>
        <row r="386">
          <cell r="C386" t="str">
            <v>Data &amp; AI - 3 | Senior Engineer</v>
          </cell>
          <cell r="D386"/>
        </row>
        <row r="387">
          <cell r="C387" t="str">
            <v>Data &amp; AI - 3 | Lead Engineer</v>
          </cell>
          <cell r="D387"/>
        </row>
        <row r="388">
          <cell r="C388" t="str">
            <v>Data &amp; AI - 4 | Architect</v>
          </cell>
          <cell r="D388"/>
        </row>
        <row r="389">
          <cell r="C389" t="str">
            <v>Data &amp; AI - 5 | Senior Architect</v>
          </cell>
          <cell r="D389"/>
        </row>
        <row r="390">
          <cell r="C390" t="str">
            <v>Data &amp; AI - 6 | Principal Architect</v>
          </cell>
          <cell r="D390"/>
        </row>
        <row r="391">
          <cell r="C391" t="str">
            <v>Experience Design - 2 | Strategist</v>
          </cell>
          <cell r="D391"/>
        </row>
        <row r="392">
          <cell r="C392" t="str">
            <v>Experience Design - 3 | Senior Strategist</v>
          </cell>
          <cell r="D392"/>
        </row>
        <row r="393">
          <cell r="C393" t="str">
            <v>Experience Design - 4 | Strategy Manager</v>
          </cell>
          <cell r="D393"/>
        </row>
        <row r="394">
          <cell r="C394" t="str">
            <v>Experience Design - 2 | Designer</v>
          </cell>
          <cell r="D394"/>
        </row>
        <row r="395">
          <cell r="C395" t="str">
            <v>Experience Design - 3 | Senior Designer</v>
          </cell>
          <cell r="D395"/>
        </row>
        <row r="396">
          <cell r="C396" t="str">
            <v>Experience Design - 4 | Associate Design Director</v>
          </cell>
          <cell r="D396"/>
        </row>
        <row r="397">
          <cell r="C397" t="str">
            <v>Experience Design - 5 | Lead Design Director</v>
          </cell>
          <cell r="D397"/>
        </row>
        <row r="398">
          <cell r="C398" t="str">
            <v>Experience Design - 5 | Principal Design Director</v>
          </cell>
          <cell r="D398"/>
        </row>
        <row r="399">
          <cell r="C399" t="str">
            <v>Experience Design - 6 | Director</v>
          </cell>
          <cell r="D399"/>
        </row>
        <row r="400">
          <cell r="C400" t="str">
            <v>Management Consulting - 3 | Scrum Master</v>
          </cell>
          <cell r="D400"/>
        </row>
        <row r="401">
          <cell r="C401" t="str">
            <v>Management Consulting - 5 | Senior Scrum Master</v>
          </cell>
          <cell r="D401"/>
        </row>
        <row r="402">
          <cell r="C402" t="str">
            <v>Management Consulting - 4 | Project Manager</v>
          </cell>
          <cell r="D402"/>
        </row>
        <row r="403">
          <cell r="C403" t="str">
            <v>Management Consulting - 5 | Senior Project Manager</v>
          </cell>
          <cell r="D403"/>
        </row>
        <row r="404">
          <cell r="C404" t="str">
            <v>Management Consulting - 6 | Delivery Manager</v>
          </cell>
          <cell r="D404"/>
        </row>
        <row r="405">
          <cell r="C405" t="str">
            <v>Management Consulting - 2 | Consultant</v>
          </cell>
          <cell r="D405"/>
        </row>
        <row r="406">
          <cell r="C406" t="str">
            <v>Management Consulting - 3 | Senior Consultant</v>
          </cell>
          <cell r="D406"/>
        </row>
        <row r="407">
          <cell r="C407" t="str">
            <v>Management Consulting - 4 | Manager</v>
          </cell>
          <cell r="D407"/>
        </row>
        <row r="408">
          <cell r="C408" t="str">
            <v>Management Consulting - 5 | Senior Manager</v>
          </cell>
          <cell r="D408"/>
        </row>
        <row r="409">
          <cell r="C409" t="str">
            <v>Management Consulting - 6 | Principal</v>
          </cell>
          <cell r="D409"/>
        </row>
        <row r="410">
          <cell r="C410" t="str">
            <v>Quality Assurance - 2 | Associate QA Engineer</v>
          </cell>
          <cell r="D410"/>
        </row>
        <row r="411">
          <cell r="C411" t="str">
            <v>Quality Assurance - 2 | QA Engineer</v>
          </cell>
          <cell r="D411"/>
        </row>
        <row r="412">
          <cell r="C412" t="str">
            <v>Quality Assurance - 3 | Senior QA Engineer</v>
          </cell>
          <cell r="D412"/>
        </row>
        <row r="413">
          <cell r="C413" t="str">
            <v>Quality Assurance - 3 | Lead QA Engineer</v>
          </cell>
          <cell r="D413"/>
        </row>
        <row r="414">
          <cell r="C414" t="str">
            <v>Quality Assurance - 4 | QA Architect</v>
          </cell>
          <cell r="D414"/>
        </row>
        <row r="415">
          <cell r="C415" t="str">
            <v>Quality Assurance - 5 | Senior QA Architect</v>
          </cell>
          <cell r="D415"/>
        </row>
        <row r="416">
          <cell r="C416" t="str">
            <v>Quality Assurance - 6 | Principal QA Architect</v>
          </cell>
          <cell r="D416"/>
        </row>
        <row r="417">
          <cell r="C417" t="str">
            <v>MarTech - 2 | Associate Engineer</v>
          </cell>
          <cell r="D417"/>
        </row>
        <row r="418">
          <cell r="C418" t="str">
            <v>MarTech - 2 | Engineer</v>
          </cell>
          <cell r="D418"/>
        </row>
        <row r="419">
          <cell r="C419" t="str">
            <v>MarTech - 3 | Senior Engineer</v>
          </cell>
          <cell r="D419"/>
        </row>
        <row r="420">
          <cell r="C420" t="str">
            <v>MarTech - 3 | Lead Engineer</v>
          </cell>
          <cell r="D420"/>
        </row>
        <row r="421">
          <cell r="C421" t="str">
            <v>MarTech - 4 | Architect</v>
          </cell>
          <cell r="D421"/>
        </row>
        <row r="422">
          <cell r="C422" t="str">
            <v>MarTech - 5 | Senior Architect</v>
          </cell>
          <cell r="D422"/>
        </row>
        <row r="423">
          <cell r="C423" t="str">
            <v>MarTech - 6 | Principal Architect</v>
          </cell>
          <cell r="D423"/>
        </row>
        <row r="424">
          <cell r="C424" t="str">
            <v>Premium MarTech - 2 | Associate Engineer</v>
          </cell>
          <cell r="D424"/>
        </row>
        <row r="425">
          <cell r="C425" t="str">
            <v>Premium MarTech - 2 | Engineer</v>
          </cell>
          <cell r="D425"/>
        </row>
        <row r="426">
          <cell r="C426" t="str">
            <v>Premium MarTech - 3 | Senior Engineer</v>
          </cell>
          <cell r="D426"/>
        </row>
        <row r="427">
          <cell r="C427" t="str">
            <v>Premium MarTech - 3 | Lead Engineer</v>
          </cell>
          <cell r="D427"/>
        </row>
        <row r="428">
          <cell r="C428" t="str">
            <v>Premium MarTech - 4 | Architect</v>
          </cell>
          <cell r="D428"/>
        </row>
        <row r="429">
          <cell r="C429" t="str">
            <v>Premium MarTech - 5 | Senior Architect</v>
          </cell>
          <cell r="D429"/>
        </row>
        <row r="430">
          <cell r="C430" t="str">
            <v>Premium MarTech - 6 | Principal Architect</v>
          </cell>
          <cell r="D430"/>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persons/person.xml><?xml version="1.0" encoding="utf-8"?>
<personList xmlns="http://schemas.microsoft.com/office/spreadsheetml/2018/threadedcomments" xmlns:x="http://schemas.openxmlformats.org/spreadsheetml/2006/main">
  <person displayName="Johannes Arntz (Credera)" id="{CEC30725-C605-444B-89DD-5BD4CC04CF5C}" userId="johannes.arntz@omc.com" providerId="PeoplePicker"/>
  <person displayName="Ryan Crews (Credera)" id="{03F977FF-9B8E-4390-BD11-BFCC5A61C5AC}" userId="ryan.crews@credera.com" providerId="PeoplePicker"/>
  <person displayName="Haley Heard (Credera)" id="{91071D41-1A54-4F2D-AD91-E9A2398C249C}" userId="haley.heard@credera.com" providerId="PeoplePicker"/>
  <person displayName="Marleta Hansen (Credera)" id="{DBE32337-1BE6-4DC3-8184-3A5B2C8D53FD}" userId="marleta.hansen@credera.com" providerId="PeoplePicker"/>
  <person displayName="Katie Stevenson (Credera)" id="{28BC1046-2C91-4732-9DED-A7AA31C76A60}" userId="katie.stevenson@credera.com" providerId="PeoplePicker"/>
  <person displayName="Cristian Guajardo (Credera)" id="{2509EA6A-DFA5-8F4B-8D1A-0B5C382E3A9B}" userId="cristian.guajardo@credera.com" providerId="PeoplePicker"/>
  <person displayName="Haley Heard (Credera)" id="{A2608995-C875-BA4E-80F2-0F14CF6E4C08}" userId="S::haley.heard@credera.com::d6111fd7-b201-4174-b8eb-b5d4fb82f363" providerId="AD"/>
  <person displayName="Sierra Wagner (Credera)" id="{E4CD2CBA-D642-47C0-82EF-2A7684FF1D1B}" userId="S::sierra.wagner@credera.com::84f1cfb1-54a9-4789-a9d0-293847165d0c" providerId="AD"/>
  <person displayName="Marleta Hansen (Credera)" id="{A18A5B98-EBC2-4087-98FF-4D56DA9318A4}" userId="S::marleta.hansen@credera.com::6e28bde7-8d6d-463e-9673-09dbebfc31c0" providerId="AD"/>
  <person displayName="Katie Stevenson (Credera)" id="{325436A3-E77A-4196-9FD7-15D94593445C}" userId="S::katie.stevenson@credera.com::48cba803-b96b-4fde-8106-2a88ae96aeaa"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tie Stevenson (Credera)" refreshedDate="45868.480167939815" createdVersion="8" refreshedVersion="8" minRefreshableVersion="3" recordCount="61" xr:uid="{A78F94E2-F48F-4DC3-B146-223DCC370214}">
  <cacheSource type="worksheet">
    <worksheetSource name="TB.ScopeEstimation"/>
  </cacheSource>
  <cacheFields count="18">
    <cacheField name="Bucket" numFmtId="9">
      <sharedItems containsBlank="1" count="6">
        <s v="[Enter Estimated Bucket 1]"/>
        <s v="[Enter Estimated Bucket 13]"/>
        <s v="[Enter Estimated Bucket 15]"/>
        <s v="[Enter Estimated Bucket 12]"/>
        <s v="[Enter Estimated Bucket 18]"/>
        <m/>
      </sharedItems>
    </cacheField>
    <cacheField name="Workstream" numFmtId="0">
      <sharedItems containsBlank="1"/>
    </cacheField>
    <cacheField name="Child" numFmtId="0">
      <sharedItems containsBlank="1" count="12">
        <s v="Enter Child/Task"/>
        <s v="task "/>
        <s v="and other"/>
        <s v="test"/>
        <s v="test filter"/>
        <s v="test again"/>
        <s v="color test"/>
        <s v="really?"/>
        <s v="for real"/>
        <s v="k"/>
        <s v="why"/>
        <m/>
      </sharedItems>
    </cacheField>
    <cacheField name="ED" numFmtId="0">
      <sharedItems containsString="0" containsBlank="1" containsNumber="1" containsInteger="1" minValue="1" maxValue="25"/>
    </cacheField>
    <cacheField name="Complexity" numFmtId="9">
      <sharedItems containsBlank="1"/>
    </cacheField>
    <cacheField name="Column6" numFmtId="0">
      <sharedItems containsNonDate="0" containsString="0" containsBlank="1"/>
    </cacheField>
    <cacheField name="Column7" numFmtId="0">
      <sharedItems containsNonDate="0" containsString="0" containsBlank="1"/>
    </cacheField>
    <cacheField name="Column8" numFmtId="0">
      <sharedItems containsNonDate="0" containsString="0" containsBlank="1"/>
    </cacheField>
    <cacheField name="External Dependencies" numFmtId="9">
      <sharedItems containsBlank="1"/>
    </cacheField>
    <cacheField name="WED" numFmtId="1">
      <sharedItems containsMixedTypes="1" containsNumber="1" containsInteger="1" minValue="1" maxValue="25"/>
    </cacheField>
    <cacheField name="Option 1" numFmtId="0">
      <sharedItems containsBlank="1"/>
    </cacheField>
    <cacheField name="Option 2" numFmtId="0">
      <sharedItems containsBlank="1"/>
    </cacheField>
    <cacheField name="Option 3" numFmtId="0">
      <sharedItems containsBlank="1"/>
    </cacheField>
    <cacheField name="Op1 WD" numFmtId="2">
      <sharedItems containsSemiMixedTypes="0" containsString="0" containsNumber="1" containsInteger="1" minValue="0" maxValue="25"/>
    </cacheField>
    <cacheField name="Op2 WD" numFmtId="2">
      <sharedItems containsSemiMixedTypes="0" containsString="0" containsNumber="1" containsInteger="1" minValue="0" maxValue="23"/>
    </cacheField>
    <cacheField name="Op3 WD" numFmtId="2">
      <sharedItems containsSemiMixedTypes="0" containsString="0" containsNumber="1" containsInteger="1" minValue="0" maxValue="25"/>
    </cacheField>
    <cacheField name="Assumptions" numFmtId="9">
      <sharedItems containsBlank="1"/>
    </cacheField>
    <cacheField name="Client Qs" numFmtId="9">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1">
  <r>
    <x v="0"/>
    <s v="Enter Workstream"/>
    <x v="0"/>
    <n v="20"/>
    <s v="Very Large"/>
    <m/>
    <m/>
    <m/>
    <s v="Some External Dependencies"/>
    <n v="23"/>
    <s v="Yes"/>
    <s v="Yes"/>
    <s v="No"/>
    <n v="23"/>
    <n v="23"/>
    <n v="0"/>
    <s v="Manual Entry"/>
    <s v="Manual Entry"/>
  </r>
  <r>
    <x v="1"/>
    <s v="task 2"/>
    <x v="1"/>
    <n v="25"/>
    <s v="Very Large"/>
    <m/>
    <m/>
    <m/>
    <m/>
    <n v="25"/>
    <s v="Yes"/>
    <s v="No"/>
    <s v="Yes"/>
    <n v="25"/>
    <n v="0"/>
    <n v="25"/>
    <s v="Manual Entry"/>
    <s v="Manual Entry"/>
  </r>
  <r>
    <x v="2"/>
    <s v="task 3"/>
    <x v="2"/>
    <n v="15"/>
    <m/>
    <m/>
    <m/>
    <m/>
    <m/>
    <n v="15"/>
    <s v="Yes"/>
    <s v="No"/>
    <s v="No"/>
    <n v="15"/>
    <n v="0"/>
    <n v="0"/>
    <m/>
    <m/>
  </r>
  <r>
    <x v="2"/>
    <m/>
    <x v="3"/>
    <n v="11"/>
    <m/>
    <m/>
    <m/>
    <m/>
    <m/>
    <n v="11"/>
    <s v="Yes"/>
    <s v="No"/>
    <s v="Yes"/>
    <n v="11"/>
    <n v="0"/>
    <n v="11"/>
    <m/>
    <m/>
  </r>
  <r>
    <x v="3"/>
    <m/>
    <x v="4"/>
    <n v="5"/>
    <m/>
    <m/>
    <m/>
    <m/>
    <m/>
    <n v="5"/>
    <s v="Yes"/>
    <s v="Yes"/>
    <s v="Yes"/>
    <n v="5"/>
    <n v="5"/>
    <n v="5"/>
    <m/>
    <m/>
  </r>
  <r>
    <x v="4"/>
    <m/>
    <x v="5"/>
    <n v="6"/>
    <m/>
    <m/>
    <m/>
    <m/>
    <m/>
    <n v="6"/>
    <s v="Yes"/>
    <s v="Yes"/>
    <s v="Yes"/>
    <n v="6"/>
    <n v="6"/>
    <n v="6"/>
    <m/>
    <m/>
  </r>
  <r>
    <x v="0"/>
    <m/>
    <x v="6"/>
    <n v="3"/>
    <m/>
    <m/>
    <m/>
    <m/>
    <m/>
    <n v="3"/>
    <s v="Yes"/>
    <s v="Yes"/>
    <s v="Yes"/>
    <n v="3"/>
    <n v="3"/>
    <n v="3"/>
    <m/>
    <m/>
  </r>
  <r>
    <x v="0"/>
    <m/>
    <x v="7"/>
    <n v="1"/>
    <m/>
    <m/>
    <m/>
    <m/>
    <m/>
    <n v="1"/>
    <s v="Yes"/>
    <s v="Yes"/>
    <s v="Yes"/>
    <n v="1"/>
    <n v="1"/>
    <n v="1"/>
    <m/>
    <m/>
  </r>
  <r>
    <x v="0"/>
    <m/>
    <x v="8"/>
    <n v="2"/>
    <m/>
    <m/>
    <m/>
    <m/>
    <m/>
    <n v="2"/>
    <m/>
    <m/>
    <m/>
    <n v="0"/>
    <n v="0"/>
    <n v="0"/>
    <m/>
    <m/>
  </r>
  <r>
    <x v="0"/>
    <m/>
    <x v="9"/>
    <n v="9"/>
    <m/>
    <m/>
    <m/>
    <m/>
    <m/>
    <n v="9"/>
    <m/>
    <m/>
    <m/>
    <n v="0"/>
    <n v="0"/>
    <n v="0"/>
    <m/>
    <m/>
  </r>
  <r>
    <x v="0"/>
    <m/>
    <x v="10"/>
    <n v="3"/>
    <m/>
    <m/>
    <m/>
    <m/>
    <m/>
    <n v="3"/>
    <m/>
    <m/>
    <m/>
    <n v="0"/>
    <n v="0"/>
    <n v="0"/>
    <m/>
    <m/>
  </r>
  <r>
    <x v="0"/>
    <m/>
    <x v="3"/>
    <n v="5"/>
    <m/>
    <m/>
    <m/>
    <m/>
    <m/>
    <n v="5"/>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7F9B7C3-27CF-406C-977E-9C177146E638}" name="PivotTable2"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I20:K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4" baseField="2" baseItem="0"/>
  </dataFields>
  <formats count="32">
    <format dxfId="234">
      <pivotArea type="all" dataOnly="0" outline="0" fieldPosition="0"/>
    </format>
    <format dxfId="233">
      <pivotArea outline="0" collapsedLevelsAreSubtotals="1" fieldPosition="0"/>
    </format>
    <format dxfId="232">
      <pivotArea dataOnly="0" labelOnly="1" grandRow="1" outline="0" fieldPosition="0"/>
    </format>
    <format dxfId="231">
      <pivotArea dataOnly="0" labelOnly="1" outline="0" axis="axisValues" fieldPosition="0"/>
    </format>
    <format dxfId="230">
      <pivotArea type="all" dataOnly="0" outline="0" fieldPosition="0"/>
    </format>
    <format dxfId="229">
      <pivotArea outline="0" collapsedLevelsAreSubtotals="1" fieldPosition="0"/>
    </format>
    <format dxfId="228">
      <pivotArea dataOnly="0" labelOnly="1" grandRow="1" outline="0" fieldPosition="0"/>
    </format>
    <format dxfId="227">
      <pivotArea dataOnly="0" labelOnly="1" outline="0" axis="axisValues" fieldPosition="0"/>
    </format>
    <format dxfId="226">
      <pivotArea type="all" dataOnly="0" outline="0" fieldPosition="0"/>
    </format>
    <format dxfId="225">
      <pivotArea outline="0" collapsedLevelsAreSubtotals="1" fieldPosition="0"/>
    </format>
    <format dxfId="224">
      <pivotArea dataOnly="0" labelOnly="1" grandRow="1" outline="0" fieldPosition="0"/>
    </format>
    <format dxfId="223">
      <pivotArea dataOnly="0" labelOnly="1" outline="0" axis="axisValues" fieldPosition="0"/>
    </format>
    <format dxfId="222">
      <pivotArea type="all" dataOnly="0" outline="0" fieldPosition="0"/>
    </format>
    <format dxfId="221">
      <pivotArea outline="0" collapsedLevelsAreSubtotals="1" fieldPosition="0"/>
    </format>
    <format dxfId="220">
      <pivotArea dataOnly="0" labelOnly="1" grandRow="1" outline="0" fieldPosition="0"/>
    </format>
    <format dxfId="219">
      <pivotArea dataOnly="0" labelOnly="1" outline="0" axis="axisValues" fieldPosition="0"/>
    </format>
    <format dxfId="218">
      <pivotArea grandRow="1" outline="0" collapsedLevelsAreSubtotals="1" fieldPosition="0"/>
    </format>
    <format dxfId="217">
      <pivotArea dataOnly="0" labelOnly="1" grandRow="1" outline="0" fieldPosition="0"/>
    </format>
    <format dxfId="216">
      <pivotArea type="all" dataOnly="0" outline="0" fieldPosition="0"/>
    </format>
    <format dxfId="215">
      <pivotArea dataOnly="0" labelOnly="1" outline="0" axis="axisValues" fieldPosition="0"/>
    </format>
    <format dxfId="214">
      <pivotArea field="2" type="button" dataOnly="0" labelOnly="1" outline="0" axis="axisRow" fieldPosition="1"/>
    </format>
    <format dxfId="213">
      <pivotArea dataOnly="0" labelOnly="1" outline="0" axis="axisValues" fieldPosition="0"/>
    </format>
    <format dxfId="212">
      <pivotArea field="2" type="button" dataOnly="0" labelOnly="1" outline="0" axis="axisRow" fieldPosition="1"/>
    </format>
    <format dxfId="211">
      <pivotArea dataOnly="0" labelOnly="1" outline="0" axis="axisValues" fieldPosition="0"/>
    </format>
    <format dxfId="210">
      <pivotArea dataOnly="0" labelOnly="1" fieldPosition="0">
        <references count="1">
          <reference field="2" count="0"/>
        </references>
      </pivotArea>
    </format>
    <format dxfId="209">
      <pivotArea outline="0" collapsedLevelsAreSubtotals="1" fieldPosition="0"/>
    </format>
    <format dxfId="208">
      <pivotArea dataOnly="0" labelOnly="1" fieldPosition="0">
        <references count="1">
          <reference field="2" count="11">
            <x v="0"/>
            <x v="2"/>
            <x v="3"/>
            <x v="4"/>
            <x v="5"/>
            <x v="6"/>
            <x v="7"/>
            <x v="8"/>
            <x v="9"/>
            <x v="10"/>
            <x v="11"/>
          </reference>
        </references>
      </pivotArea>
    </format>
    <format dxfId="207">
      <pivotArea dataOnly="0" labelOnly="1" grandRow="1" outline="0" fieldPosition="0"/>
    </format>
    <format dxfId="206">
      <pivotArea field="0" type="button" dataOnly="0" labelOnly="1" outline="0" axis="axisRow" fieldPosition="0"/>
    </format>
    <format dxfId="205">
      <pivotArea field="0" type="button" dataOnly="0" labelOnly="1" outline="0" axis="axisRow" fieldPosition="0"/>
    </format>
    <format dxfId="204">
      <pivotArea dataOnly="0" labelOnly="1" grandRow="1" outline="0" offset="A256" fieldPosition="0"/>
    </format>
    <format dxfId="203">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2">
    <filter fld="0"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479A6EB-B643-49BD-A27A-EC260C11BDAD}" name="PivotTable1" cacheId="0" applyNumberFormats="0" applyBorderFormats="0" applyFontFormats="0" applyPatternFormats="0" applyAlignmentFormats="0" applyWidthHeightFormats="1" dataCaption="Values" showMissing="0" updatedVersion="8" minRefreshableVersion="3" useAutoFormatting="1" itemPrintTitles="1" createdVersion="8" indent="0" compact="0" compactData="0" multipleFieldFilters="0" rowHeaderCaption="Child/Task">
  <location ref="C20:E33" firstHeaderRow="1" firstDataRow="1" firstDataCol="2"/>
  <pivotFields count="18">
    <pivotField axis="axisRow" compact="0" outline="0" showAll="0" defaultSubtotal="0">
      <items count="6">
        <item x="0"/>
        <item x="3"/>
        <item x="1"/>
        <item x="2"/>
        <item x="4"/>
        <item x="5"/>
      </items>
    </pivotField>
    <pivotField compact="0" outline="0" showAll="0" defaultSubtota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multipleItemSelectionAllowed="1" showAll="0"/>
    <pivotField compact="0" outline="0" multipleItemSelectionAllowed="1" showAll="0"/>
    <pivotField dataField="1" compact="0" outline="0" multipleItemSelectionAllowed="1" showAll="0"/>
    <pivotField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3" baseField="2" baseItem="0"/>
  </dataFields>
  <formats count="32">
    <format dxfId="266">
      <pivotArea type="all" dataOnly="0" outline="0" fieldPosition="0"/>
    </format>
    <format dxfId="265">
      <pivotArea outline="0" collapsedLevelsAreSubtotals="1" fieldPosition="0"/>
    </format>
    <format dxfId="264">
      <pivotArea dataOnly="0" labelOnly="1" grandRow="1" outline="0" fieldPosition="0"/>
    </format>
    <format dxfId="263">
      <pivotArea dataOnly="0" labelOnly="1" outline="0" axis="axisValues" fieldPosition="0"/>
    </format>
    <format dxfId="262">
      <pivotArea type="all" dataOnly="0" outline="0" fieldPosition="0"/>
    </format>
    <format dxfId="261">
      <pivotArea outline="0" collapsedLevelsAreSubtotals="1" fieldPosition="0"/>
    </format>
    <format dxfId="260">
      <pivotArea dataOnly="0" labelOnly="1" grandRow="1" outline="0" fieldPosition="0"/>
    </format>
    <format dxfId="259">
      <pivotArea dataOnly="0" labelOnly="1" outline="0" axis="axisValues" fieldPosition="0"/>
    </format>
    <format dxfId="258">
      <pivotArea type="all" dataOnly="0" outline="0" fieldPosition="0"/>
    </format>
    <format dxfId="257">
      <pivotArea outline="0" collapsedLevelsAreSubtotals="1" fieldPosition="0"/>
    </format>
    <format dxfId="256">
      <pivotArea dataOnly="0" labelOnly="1" grandRow="1" outline="0" fieldPosition="0"/>
    </format>
    <format dxfId="255">
      <pivotArea dataOnly="0" labelOnly="1" outline="0" axis="axisValues" fieldPosition="0"/>
    </format>
    <format dxfId="254">
      <pivotArea type="all" dataOnly="0" outline="0" fieldPosition="0"/>
    </format>
    <format dxfId="253">
      <pivotArea outline="0" collapsedLevelsAreSubtotals="1" fieldPosition="0"/>
    </format>
    <format dxfId="252">
      <pivotArea dataOnly="0" labelOnly="1" grandRow="1" outline="0" fieldPosition="0"/>
    </format>
    <format dxfId="251">
      <pivotArea dataOnly="0" labelOnly="1" outline="0" axis="axisValues" fieldPosition="0"/>
    </format>
    <format dxfId="250">
      <pivotArea grandRow="1" outline="0" collapsedLevelsAreSubtotals="1" fieldPosition="0"/>
    </format>
    <format dxfId="249">
      <pivotArea dataOnly="0" labelOnly="1" grandRow="1" outline="0" fieldPosition="0"/>
    </format>
    <format dxfId="248">
      <pivotArea type="all" dataOnly="0" outline="0" fieldPosition="0"/>
    </format>
    <format dxfId="247">
      <pivotArea dataOnly="0" labelOnly="1" outline="0" axis="axisValues" fieldPosition="0"/>
    </format>
    <format dxfId="246">
      <pivotArea field="2" type="button" dataOnly="0" labelOnly="1" outline="0" axis="axisRow" fieldPosition="1"/>
    </format>
    <format dxfId="245">
      <pivotArea dataOnly="0" labelOnly="1" outline="0" axis="axisValues" fieldPosition="0"/>
    </format>
    <format dxfId="244">
      <pivotArea field="2" type="button" dataOnly="0" labelOnly="1" outline="0" axis="axisRow" fieldPosition="1"/>
    </format>
    <format dxfId="243">
      <pivotArea dataOnly="0" labelOnly="1" outline="0" axis="axisValues" fieldPosition="0"/>
    </format>
    <format dxfId="242">
      <pivotArea dataOnly="0" labelOnly="1" fieldPosition="0">
        <references count="1">
          <reference field="2" count="0"/>
        </references>
      </pivotArea>
    </format>
    <format dxfId="241">
      <pivotArea outline="0" collapsedLevelsAreSubtotals="1" fieldPosition="0"/>
    </format>
    <format dxfId="240">
      <pivotArea dataOnly="0" labelOnly="1" fieldPosition="0">
        <references count="1">
          <reference field="2" count="11">
            <x v="0"/>
            <x v="2"/>
            <x v="3"/>
            <x v="4"/>
            <x v="5"/>
            <x v="6"/>
            <x v="7"/>
            <x v="8"/>
            <x v="9"/>
            <x v="10"/>
            <x v="11"/>
          </reference>
        </references>
      </pivotArea>
    </format>
    <format dxfId="239">
      <pivotArea dataOnly="0" labelOnly="1" grandRow="1" outline="0" fieldPosition="0"/>
    </format>
    <format dxfId="238">
      <pivotArea field="0" type="button" dataOnly="0" labelOnly="1" outline="0" axis="axisRow" fieldPosition="0"/>
    </format>
    <format dxfId="237">
      <pivotArea field="0" type="button" dataOnly="0" labelOnly="1" outline="0" axis="axisRow" fieldPosition="0"/>
    </format>
    <format dxfId="236">
      <pivotArea dataOnly="0" labelOnly="1" grandRow="1" outline="0" offset="A256" fieldPosition="0"/>
    </format>
    <format dxfId="235">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3">
    <filter fld="0" type="captionNotEqual" evalOrder="-1" id="3" stringValue1="">
      <autoFilter ref="A1">
        <filterColumn colId="0">
          <customFilters>
            <customFilter operator="notEqual" val=" "/>
          </customFilters>
        </filterColumn>
      </autoFilter>
    </filter>
    <filter fld="1"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A8E6549-46F5-466D-9257-FE5B7A66E48E}" name="PivotTable3"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O20:Q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5" baseField="2" baseItem="0"/>
  </dataFields>
  <formats count="31">
    <format dxfId="297">
      <pivotArea type="all" dataOnly="0" outline="0" fieldPosition="0"/>
    </format>
    <format dxfId="296">
      <pivotArea outline="0" collapsedLevelsAreSubtotals="1" fieldPosition="0"/>
    </format>
    <format dxfId="295">
      <pivotArea dataOnly="0" labelOnly="1" grandRow="1" outline="0" fieldPosition="0"/>
    </format>
    <format dxfId="294">
      <pivotArea dataOnly="0" labelOnly="1" outline="0" axis="axisValues" fieldPosition="0"/>
    </format>
    <format dxfId="293">
      <pivotArea type="all" dataOnly="0" outline="0" fieldPosition="0"/>
    </format>
    <format dxfId="292">
      <pivotArea outline="0" collapsedLevelsAreSubtotals="1" fieldPosition="0"/>
    </format>
    <format dxfId="291">
      <pivotArea dataOnly="0" labelOnly="1" grandRow="1" outline="0" fieldPosition="0"/>
    </format>
    <format dxfId="290">
      <pivotArea dataOnly="0" labelOnly="1" outline="0" axis="axisValues" fieldPosition="0"/>
    </format>
    <format dxfId="289">
      <pivotArea type="all" dataOnly="0" outline="0" fieldPosition="0"/>
    </format>
    <format dxfId="288">
      <pivotArea outline="0" collapsedLevelsAreSubtotals="1" fieldPosition="0"/>
    </format>
    <format dxfId="287">
      <pivotArea dataOnly="0" labelOnly="1" grandRow="1" outline="0" fieldPosition="0"/>
    </format>
    <format dxfId="286">
      <pivotArea dataOnly="0" labelOnly="1" outline="0" axis="axisValues" fieldPosition="0"/>
    </format>
    <format dxfId="285">
      <pivotArea type="all" dataOnly="0" outline="0" fieldPosition="0"/>
    </format>
    <format dxfId="284">
      <pivotArea outline="0" collapsedLevelsAreSubtotals="1" fieldPosition="0"/>
    </format>
    <format dxfId="283">
      <pivotArea dataOnly="0" labelOnly="1" grandRow="1" outline="0" fieldPosition="0"/>
    </format>
    <format dxfId="282">
      <pivotArea dataOnly="0" labelOnly="1" outline="0" axis="axisValues" fieldPosition="0"/>
    </format>
    <format dxfId="281">
      <pivotArea grandRow="1" outline="0" collapsedLevelsAreSubtotals="1" fieldPosition="0"/>
    </format>
    <format dxfId="280">
      <pivotArea dataOnly="0" labelOnly="1" grandRow="1" outline="0" fieldPosition="0"/>
    </format>
    <format dxfId="279">
      <pivotArea type="all" dataOnly="0" outline="0" fieldPosition="0"/>
    </format>
    <format dxfId="278">
      <pivotArea dataOnly="0" labelOnly="1" outline="0" axis="axisValues" fieldPosition="0"/>
    </format>
    <format dxfId="277">
      <pivotArea field="2" type="button" dataOnly="0" labelOnly="1" outline="0" axis="axisRow" fieldPosition="1"/>
    </format>
    <format dxfId="276">
      <pivotArea dataOnly="0" labelOnly="1" outline="0" axis="axisValues" fieldPosition="0"/>
    </format>
    <format dxfId="275">
      <pivotArea field="2" type="button" dataOnly="0" labelOnly="1" outline="0" axis="axisRow" fieldPosition="1"/>
    </format>
    <format dxfId="274">
      <pivotArea dataOnly="0" labelOnly="1" outline="0" axis="axisValues" fieldPosition="0"/>
    </format>
    <format dxfId="273">
      <pivotArea dataOnly="0" labelOnly="1" fieldPosition="0">
        <references count="1">
          <reference field="2" count="0"/>
        </references>
      </pivotArea>
    </format>
    <format dxfId="272">
      <pivotArea outline="0" collapsedLevelsAreSubtotals="1" fieldPosition="0"/>
    </format>
    <format dxfId="271">
      <pivotArea dataOnly="0" labelOnly="1" fieldPosition="0">
        <references count="1">
          <reference field="2" count="11">
            <x v="0"/>
            <x v="2"/>
            <x v="3"/>
            <x v="4"/>
            <x v="5"/>
            <x v="6"/>
            <x v="7"/>
            <x v="8"/>
            <x v="9"/>
            <x v="10"/>
            <x v="11"/>
          </reference>
        </references>
      </pivotArea>
    </format>
    <format dxfId="270">
      <pivotArea dataOnly="0" labelOnly="1" grandRow="1" outline="0" fieldPosition="0"/>
    </format>
    <format dxfId="269">
      <pivotArea field="0" type="button" dataOnly="0" labelOnly="1" outline="0" axis="axisRow" fieldPosition="0"/>
    </format>
    <format dxfId="268">
      <pivotArea field="0" type="button" dataOnly="0" labelOnly="1" outline="0" axis="axisRow" fieldPosition="0"/>
    </format>
    <format dxfId="267">
      <pivotArea dataOnly="0" labelOnly="1" outline="0" fieldPosition="0">
        <references count="1">
          <reference field="0" count="0"/>
        </references>
      </pivotArea>
    </format>
  </formats>
  <pivotTableStyleInfo name="PivotStyleMedium8" showRowHeaders="1" showColHeaders="1" showRowStripes="0" showColStripes="0" showLastColumn="1"/>
  <filters count="1">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A3D5BCA-6CA9-47DE-B63D-E7157B73A0BC}" name="Table3" displayName="Table3" ref="B5:J430" totalsRowShown="0" headerRowDxfId="333" dataDxfId="331" headerRowBorderDxfId="332" tableBorderDxfId="330">
  <autoFilter ref="B5:J430" xr:uid="{5A3D5BCA-6CA9-47DE-B63D-E7157B73A0BC}"/>
  <sortState xmlns:xlrd2="http://schemas.microsoft.com/office/spreadsheetml/2017/richdata2" ref="B6:J204">
    <sortCondition ref="C5:C430"/>
  </sortState>
  <tableColumns count="9">
    <tableColumn id="1" xr3:uid="{19257265-FC7F-4DBD-8EB8-571F7EA2698B}" name="Resource Organization" dataDxfId="329"/>
    <tableColumn id="2" xr3:uid="{FF5D4101-3301-422A-8FA1-0B9C2A1AE1BB}" name="Role Type" dataDxfId="328"/>
    <tableColumn id="11" xr3:uid="{01741699-6AB2-4396-8DD4-EBDA0AF6E086}" name="Subplatform" dataDxfId="327"/>
    <tableColumn id="10" xr3:uid="{D9C8690F-02C1-4251-BB7D-18235D0A2179}" name="Role" dataDxfId="326"/>
    <tableColumn id="3" xr3:uid="{7FD197D2-4519-41F4-A321-E781B0729B14}" name="Resource Title" dataDxfId="325"/>
    <tableColumn id="4" xr3:uid="{32973F31-AE63-447C-B74F-C39875BE8C95}" name="Resource Cost" dataDxfId="324"/>
    <tableColumn id="5" xr3:uid="{D63827DA-D1D8-4FF5-927A-866B6C38F7F0}" name="On/OffShore" dataDxfId="323"/>
    <tableColumn id="6" xr3:uid="{0D937606-643A-4DC0-8870-16C9105C4696}" name="Rack Rate" dataDxfId="322" dataCellStyle="Currency"/>
    <tableColumn id="7" xr3:uid="{5094DAF2-CCD3-4512-B081-35DA37FEBBF3}" name="Level" dataDxfId="321" dataCellStyle="Currenc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ECE9E5-0D0C-492F-B144-FF80EF71D355}" name="TB.ScopeEstimation" displayName="TB.ScopeEstimation" ref="C62:T123" totalsRowShown="0" headerRowDxfId="320" dataDxfId="318" headerRowBorderDxfId="319" tableBorderDxfId="317" totalsRowBorderDxfId="316">
  <tableColumns count="18">
    <tableColumn id="1" xr3:uid="{CDACD88E-6C93-4AB0-89BC-74096E6C3CAD}" name="Bucket" dataDxfId="315" dataCellStyle="Percent"/>
    <tableColumn id="2" xr3:uid="{9520D4AC-5DDE-4B86-9BC1-66BFD863DB4A}" name="Workstream" dataDxfId="314"/>
    <tableColumn id="3" xr3:uid="{C2D7F3B4-96A8-4E1B-942A-9BEFD456B0B9}" name="Child" dataDxfId="313"/>
    <tableColumn id="4" xr3:uid="{127845F1-20F9-404F-932D-8BCDAE1A81FF}" name="ED" dataDxfId="312" dataCellStyle="Percent"/>
    <tableColumn id="5" xr3:uid="{09134761-1579-42FB-BFC7-A06DD1A1347D}" name="Complexity" dataDxfId="311" dataCellStyle="Percent"/>
    <tableColumn id="6" xr3:uid="{D00B0D51-1C31-49E0-B059-893AFC6E7C30}" name="Column6" dataDxfId="310" dataCellStyle="Percent"/>
    <tableColumn id="7" xr3:uid="{F09674D6-D57C-4BBA-85E3-4274341A14FA}" name="Column7" dataDxfId="309" dataCellStyle="Percent"/>
    <tableColumn id="8" xr3:uid="{E903B182-F2BC-4971-9B60-ACC62B366951}" name="Column8" dataDxfId="308" dataCellStyle="Percent"/>
    <tableColumn id="9" xr3:uid="{445EA20E-3CAD-4888-A180-6672B1C1FF35}" name="External Dependencies" dataDxfId="307" dataCellStyle="Percent"/>
    <tableColumn id="10" xr3:uid="{4657D092-3E55-4991-A822-5852C2909FA1}" name="WED" dataDxfId="306" dataCellStyle="Percent">
      <calculatedColumnFormula>IF(ISBLANK(C63)," ",(IF($D$20="Consulting",IFERROR(F63*(1+_xlfn.XLOOKUP(G63,'1.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Factors'!$C$41:$C$44))))))*(1+_xlfn.XLOOKUP(K63,'Complexity Factors'!$B$24:$B$28,'Complexity Factors'!$C$24:$C$28)))</calculatedColumnFormula>
    </tableColumn>
    <tableColumn id="11" xr3:uid="{71E1F880-FF95-4F75-BF24-CAABEE643C5D}" name="Option 1" dataDxfId="305" dataCellStyle="Percent"/>
    <tableColumn id="12" xr3:uid="{96C63D13-F777-419F-9E7F-2F6AD8DCE282}" name="Option 2" dataDxfId="304"/>
    <tableColumn id="13" xr3:uid="{ADB38E7A-B037-4B85-B9FA-A19ED91E9F1F}" name="Option 3" dataDxfId="303"/>
    <tableColumn id="19" xr3:uid="{91EB4FF0-C424-4E25-9985-18D3ED78E252}" name="Op1 WD" dataDxfId="302">
      <calculatedColumnFormula>IF(TB.ScopeEstimation[[#This Row],[Option 1]]="Yes",TB.ScopeEstimation[[#This Row],[WED]],0)</calculatedColumnFormula>
    </tableColumn>
    <tableColumn id="20" xr3:uid="{0DDE1C45-C53F-4352-A742-9D9D979C5699}" name="Op2 WD" dataDxfId="301">
      <calculatedColumnFormula>IF(TB.ScopeEstimation[[#This Row],[Option 2]]="Yes",TB.ScopeEstimation[[#This Row],[WED]],0)</calculatedColumnFormula>
    </tableColumn>
    <tableColumn id="21" xr3:uid="{C175A5E7-3917-41E0-9066-0EE16C78B719}" name="Op3 WD" dataDxfId="300">
      <calculatedColumnFormula>IF(TB.ScopeEstimation[[#This Row],[Option 3]]="Yes",TB.ScopeEstimation[[#This Row],[WED]],0)</calculatedColumnFormula>
    </tableColumn>
    <tableColumn id="14" xr3:uid="{3A214855-2616-4DAB-A0BC-253DC263F0E1}" name="Assumptions" dataDxfId="299" dataCellStyle="Percent"/>
    <tableColumn id="15" xr3:uid="{84BEC336-F131-445A-84E6-010B62ADB664}" name="Client Qs" dataDxfId="298" dataCellStyle="Percent"/>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55B0B89-CDEF-405E-9FF0-8733E0C0D465}" name="Table4" displayName="Table4" ref="B1:J314" totalsRowShown="0" headerRowDxfId="202" dataDxfId="201">
  <autoFilter ref="B1:J314" xr:uid="{355B0B89-CDEF-405E-9FF0-8733E0C0D465}"/>
  <tableColumns count="9">
    <tableColumn id="1" xr3:uid="{1FC96DAE-9BC5-470C-8E09-C4A17492664B}" name="Resource Organization" dataDxfId="200"/>
    <tableColumn id="2" xr3:uid="{E080C2C1-B451-43ED-A477-F7E079F17AF1}" name="Role Type" dataDxfId="199"/>
    <tableColumn id="9" xr3:uid="{B9FDE224-B4FC-4DE6-9E67-77B0EEC55EDE}" name="Role Definition" dataDxfId="198">
      <calculatedColumnFormula>IFERROR(VLOOKUP(Table4[[#This Row],[Role Type]],'Role Descriptions'!$A$1:$E$97,2,FALSE), "Missing role description data; for now, please see equivalent CrederaUS role type")</calculatedColumnFormula>
    </tableColumn>
    <tableColumn id="3" xr3:uid="{61768BBD-4909-4325-8EB9-EBA10E69EBB1}" name="Default Resource Title" dataDxfId="197"/>
    <tableColumn id="4" xr3:uid="{0CEA6923-3725-4A98-97AB-2A50E7443858}" name="Resource Cost" dataDxfId="196"/>
    <tableColumn id="5" xr3:uid="{0C67868E-6AB3-4B92-9451-6BE0C10229A2}" name="On/OffShore" dataDxfId="195"/>
    <tableColumn id="6" xr3:uid="{988957A4-FC45-46B2-A2F6-BB6CAB33FA11}" name="Rack Rate" dataDxfId="194" dataCellStyle="Currency"/>
    <tableColumn id="7" xr3:uid="{4E4050CF-E0D1-4213-A8EA-AC7D2A84595C}" name="Level" dataDxfId="193" dataCellStyle="Currency"/>
    <tableColumn id="8" xr3:uid="{D1B72AB0-C234-4B2C-92E2-60E99ACC4A43}" name="helper" dataDxfId="192">
      <calculatedColumnFormula>_xlfn.XLOOKUP(Table4[[#This Row],[Default Resource Title]],'Updated Rate Card Import'!E:E,'Updated Rate Card Import'!F:F)</calculatedColumnFormula>
    </tableColumn>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2FE98D4-7B77-45D6-9B21-984E2BE95933}" name="Table2" displayName="Table2" ref="A1:N647" totalsRowShown="0" headerRowDxfId="191" dataDxfId="189" headerRowBorderDxfId="190" tableBorderDxfId="188">
  <autoFilter ref="A1:N647" xr:uid="{92FE98D4-7B77-45D6-9B21-984E2BE95933}">
    <filterColumn colId="1">
      <filters>
        <filter val="Gupta, Rajesh"/>
      </filters>
    </filterColumn>
  </autoFilter>
  <tableColumns count="14">
    <tableColumn id="1" xr3:uid="{F8F8EBE5-90D2-408E-9A59-CA738B875631}" name="Employee #" dataDxfId="187"/>
    <tableColumn id="2" xr3:uid="{4BDF1248-68D4-4306-AE1F-CDA051CA6A4F}" name="Last name, First name" dataDxfId="186"/>
    <tableColumn id="3" xr3:uid="{ECFBE8B4-6B2A-479F-BA7F-43FE1ABF4364}" name="Title" dataDxfId="185"/>
    <tableColumn id="4" xr3:uid="{686E866F-193D-4E73-B783-18D923D1F036}" name="Hire Date" dataDxfId="184"/>
    <tableColumn id="5" xr3:uid="{160028B8-8720-4BFE-B00C-CC25BB258E7A}" name="Employment Status: Date" dataDxfId="183"/>
    <tableColumn id="6" xr3:uid="{51B00A64-A90B-432A-9AF9-85D56F097936}" name="Employment Status" dataDxfId="182"/>
    <tableColumn id="7" xr3:uid="{6680C0C3-93B5-4530-BF9E-A2A431C80F6A}" name="Location" dataDxfId="181"/>
    <tableColumn id="8" xr3:uid="{3B815F0C-C495-4EA3-84C7-38743A6FD2EA}" name="Platform" dataDxfId="180"/>
    <tableColumn id="9" xr3:uid="{C211AD72-E57B-4161-B9E0-A8D74034E136}" name="Sub-Platform" dataDxfId="179"/>
    <tableColumn id="10" xr3:uid="{4C9508AF-C822-4D67-815F-2C42FF5A6FEE}" name="Job Title" dataDxfId="178"/>
    <tableColumn id="11" xr3:uid="{865204BC-8BD2-40AD-9133-FC6E4EBE27EE}" name="Division" dataDxfId="177"/>
    <tableColumn id="12" xr3:uid="{CD9C5067-3C3C-45C6-B252-CE2B44E3CEA1}" name="Job Band" dataDxfId="176"/>
    <tableColumn id="13" xr3:uid="{D854AD9F-0C44-45D4-A973-C69B643B27E6}" name="Department2" dataDxfId="175"/>
    <tableColumn id="14" xr3:uid="{A1F2AA80-E992-4FB7-A8AF-2205203A6232}" name="New Level" dataDxfId="174"/>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B9" dT="2025-07-24T16:02:12.30" personId="{325436A3-E77A-4196-9FD7-15D94593445C}" id="{AB6078FD-1CB8-417A-A6E2-DF5734033E5E}">
    <text>Once we have the simplest training video done, we should add a STOP GO WATCH message here directing people to training</text>
  </threadedComment>
  <threadedComment ref="B9" dT="2025-07-30T20:18:28.76" personId="{E4CD2CBA-D642-47C0-82EF-2A7684FF1D1B}" id="{749655E4-64C1-446B-890E-726F8AD64C98}" parentId="{AB6078FD-1CB8-417A-A6E2-DF5734033E5E}">
    <text>@Katie Stevenson (Credera) Bump - need to determine if this is MVP or not</text>
    <mentions>
      <mention mentionpersonId="{28BC1046-2C91-4732-9DED-A7AA31C76A60}" mentionId="{289159C0-B6EF-4B4D-8674-A03833BFC0C4}" startIndex="0" length="26"/>
    </mentions>
  </threadedComment>
</ThreadedComments>
</file>

<file path=xl/threadedComments/threadedComment2.xml><?xml version="1.0" encoding="utf-8"?>
<ThreadedComments xmlns="http://schemas.microsoft.com/office/spreadsheetml/2018/threadedcomments" xmlns:x="http://schemas.openxmlformats.org/spreadsheetml/2006/main">
  <threadedComment ref="B19" dT="2025-08-14T19:25:48.41" personId="{325436A3-E77A-4196-9FD7-15D94593445C}" id="{F833DB94-CD8C-458A-9E82-14591E6EED6E}">
    <text>@Johannes Arntz (Credera) FYI- we just updated this field name based on Pilot feedback. This was previously “Billing Entity”</text>
    <mentions>
      <mention mentionpersonId="{CEC30725-C605-444B-89DD-5BD4CC04CF5C}" mentionId="{8D7D1216-4387-498A-AECF-27DE014526D5}" startIndex="0" length="25"/>
    </mentions>
  </threadedComment>
  <threadedComment ref="B19" dT="2025-08-14T19:25:55.25" personId="{325436A3-E77A-4196-9FD7-15D94593445C}" id="{7CEFF078-C28F-43BF-91AD-0801C2D87DFD}" parentId="{F833DB94-CD8C-458A-9E82-14591E6EED6E}">
    <text>@Cristian Guajardo (Credera) for awareness too</text>
    <mentions>
      <mention mentionpersonId="{2509EA6A-DFA5-8F4B-8D1A-0B5C382E3A9B}" mentionId="{4D7BCB53-1AE1-47F8-8D41-31C4C6A356D1}" startIndex="0" length="28"/>
    </mentions>
  </threadedComment>
</ThreadedComments>
</file>

<file path=xl/threadedComments/threadedComment3.xml><?xml version="1.0" encoding="utf-8"?>
<ThreadedComments xmlns="http://schemas.microsoft.com/office/spreadsheetml/2018/threadedcomments" xmlns:x="http://schemas.openxmlformats.org/spreadsheetml/2006/main">
  <threadedComment ref="AD13" dT="2025-08-14T19:28:39.36" personId="{325436A3-E77A-4196-9FD7-15D94593445C}" id="{32B27DF2-66AB-4E2C-9753-80EF0967DF76}">
    <text>@Ryan Crews (Credera) We need to update this list. Once updated- please update the source range drop down list on Project Inputs</text>
    <mentions>
      <mention mentionpersonId="{03F977FF-9B8E-4390-BD11-BFCC5A61C5AC}" mentionId="{FAC3A13E-5881-4FBC-93BB-0C1DFB2D4F31}" startIndex="0" length="21"/>
    </mentions>
  </threadedComment>
  <threadedComment ref="AD13" dT="2025-08-14T19:30:18.28" personId="{325436A3-E77A-4196-9FD7-15D94593445C}" id="{44DB4FE7-0413-4FFE-882D-16A759C460DB}" parentId="{32B27DF2-66AB-4E2C-9753-80EF0967DF76}">
    <text>And remove blank Yes option</text>
  </threadedComment>
  <threadedComment ref="F56" dT="2025-07-25T22:03:20.82" personId="{325436A3-E77A-4196-9FD7-15D94593445C}" id="{08640E98-71B6-4AFB-8202-9456B36CA307}">
    <text>Replace this whole table with new simplified rates table from Standard Rate Card tab.</text>
  </threadedComment>
  <threadedComment ref="J208" dT="2025-07-25T21:20:21.51" personId="{325436A3-E77A-4196-9FD7-15D94593445C}" id="{64E9AFCD-30D4-48EA-B567-6AC207771AFB}">
    <text>@Katie Stevenson (Credera) we need to capture updated levels for all TADNA folks</text>
    <mentions>
      <mention mentionpersonId="{28BC1046-2C91-4732-9DED-A7AA31C76A60}" mentionId="{84AFACD4-6094-484B-A082-6DF6BE2D9D76}" startIndex="0" length="26"/>
    </mentions>
  </threadedComment>
</ThreadedComments>
</file>

<file path=xl/threadedComments/threadedComment4.xml><?xml version="1.0" encoding="utf-8"?>
<ThreadedComments xmlns="http://schemas.microsoft.com/office/spreadsheetml/2018/threadedcomments" xmlns:x="http://schemas.openxmlformats.org/spreadsheetml/2006/main">
  <threadedComment ref="B2" dT="2025-08-14T20:20:08.89" personId="{325436A3-E77A-4196-9FD7-15D94593445C}" id="{13989036-07ED-4296-B544-5303EDC67345}">
    <text>FINAL REVIEW: Freeze this header and column D to help with the calendar table</text>
  </threadedComment>
  <threadedComment ref="AA48" dT="2025-08-19T21:42:22.41" personId="{325436A3-E77A-4196-9FD7-15D94593445C}" id="{1A508F18-DEE0-4683-A945-E33E8D8F7C1A}">
    <text>Need this to be a drop down with our real capabilities</text>
  </threadedComment>
  <threadedComment ref="C161" dT="2025-08-14T20:05:28.24" personId="{325436A3-E77A-4196-9FD7-15D94593445C}" id="{3057AEFE-E3F8-4FE2-B5B5-4A84B3EA9DFE}">
    <text>@Katie Stevenson (Credera) investigate impact of changing this to actual locations</text>
    <mentions>
      <mention mentionpersonId="{28BC1046-2C91-4732-9DED-A7AA31C76A60}" mentionId="{150BE4BC-4CFA-4CD1-A81B-C250C4EF3695}" startIndex="0" length="26"/>
    </mentions>
  </threadedComment>
  <threadedComment ref="K291" dT="2025-08-18T21:27:15.86" personId="{325436A3-E77A-4196-9FD7-15D94593445C}" id="{0F1A0AC8-43FD-4126-AED5-7E8AB1BB6FD5}">
    <text xml:space="preserve">Katie come fix- why isn’t this populating
</text>
  </threadedComment>
</ThreadedComments>
</file>

<file path=xl/threadedComments/threadedComment5.xml><?xml version="1.0" encoding="utf-8"?>
<ThreadedComments xmlns="http://schemas.microsoft.com/office/spreadsheetml/2018/threadedcomments" xmlns:x="http://schemas.openxmlformats.org/spreadsheetml/2006/main">
  <threadedComment ref="B52" dT="2025-08-06T00:42:02.67" personId="{A2608995-C875-BA4E-80F2-0F14CF6E4C08}" id="{16418555-C342-0C49-84DB-AE775BDAC380}">
    <text xml:space="preserve">@Katie Stevenson (Credera) - in re-reviewing, if the Big header is "Basic financials" should  the name of the one below it be "financial totals"? Feels like we should rename one or the other </text>
    <mentions>
      <mention mentionpersonId="{28BC1046-2C91-4732-9DED-A7AA31C76A60}" mentionId="{D9F68175-BD4E-0E40-B35E-FE7E4078DD75}" startIndex="0" length="26"/>
    </mentions>
  </threadedComment>
  <threadedComment ref="B64" dT="2025-08-06T00:44:07.45" personId="{A2608995-C875-BA4E-80F2-0F14CF6E4C08}" id="{3642D564-BA5C-F546-9FDE-16AE8BDD0C73}">
    <text>@Katie Stevenson (Credera) similar question here, is there a reason it "Financial Total - Revenue" and "Revenue totals" aren't named the same?  Either one is fine.  Just feels off to be different when there's not a second table below it</text>
    <mentions>
      <mention mentionpersonId="{28BC1046-2C91-4732-9DED-A7AA31C76A60}" mentionId="{B0CF7E51-0BF1-034E-815B-784AE6AA24A3}" startIndex="0" length="26"/>
    </mentions>
  </threadedComment>
  <threadedComment ref="B65" dT="2025-08-05T18:35:32.42" personId="{325436A3-E77A-4196-9FD7-15D94593445C}" id="{EEEDD279-BBDD-4C33-92D5-BD28C905FB15}">
    <text xml:space="preserve">@Haley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text>
    <mentions>
      <mention mentionpersonId="{91071D41-1A54-4F2D-AD91-E9A2398C249C}" mentionId="{8ADBC65E-55F2-4704-82F6-55D256CCDD7E}" startIndex="0" length="22"/>
    </mentions>
  </threadedComment>
  <threadedComment ref="B65" dT="2025-08-06T00:47:10.22" personId="{A2608995-C875-BA4E-80F2-0F14CF6E4C08}" id="{7F502FDB-713E-C946-9F5B-4C9B62F680F0}" parentId="{EEEDD279-BBDD-4C33-92D5-BD28C905FB15}">
    <text>@Katie Stevenson (Credera) - sorry, now i fully get your comment.  Yes, this makes a lot of sense.  easier to follow!</text>
    <mentions>
      <mention mentionpersonId="{28BC1046-2C91-4732-9DED-A7AA31C76A60}" mentionId="{9CEA2BFA-F2BB-A647-8B8D-74DC0E5961BF}" startIndex="0" length="26"/>
    </mentions>
  </threadedComment>
  <threadedComment ref="C69" dT="2025-08-14T20:21:15.84" personId="{325436A3-E77A-4196-9FD7-15D94593445C}" id="{380A0712-6A2D-4B60-BC76-AC23DC6855B0}">
    <text>This should not always impact margin, correct? Only for Fixed Fee? Checked bid calc</text>
  </threadedComment>
</ThreadedComments>
</file>

<file path=xl/threadedComments/threadedComment6.xml><?xml version="1.0" encoding="utf-8"?>
<ThreadedComments xmlns="http://schemas.microsoft.com/office/spreadsheetml/2018/threadedcomments" xmlns:x="http://schemas.openxmlformats.org/spreadsheetml/2006/main">
  <threadedComment ref="I3" dT="2025-07-15T19:35:47.84" personId="{325436A3-E77A-4196-9FD7-15D94593445C}" id="{18D9346A-6EF1-4627-A16F-A92CA24E226F}" done="1">
    <text>Let’s change this color to not green if it’s a flag</text>
  </threadedComment>
  <threadedComment ref="I27" dT="2025-07-24T15:56:55.90" personId="{325436A3-E77A-4196-9FD7-15D94593445C}" id="{433E0AB8-78E1-4E94-9928-DBF8AF050461}">
    <text>Utilize annotation to this and a link to the KPI tab</text>
  </threadedComment>
  <threadedComment ref="I27" dT="2025-07-30T20:33:26.00" personId="{E4CD2CBA-D642-47C0-82EF-2A7684FF1D1B}" id="{7E790E47-A36D-4A8C-931A-5E37AF152F57}" parentId="{433E0AB8-78E1-4E94-9928-DBF8AF050461}">
    <text>@Katie Stevenson (Credera) Bump</text>
    <mentions>
      <mention mentionpersonId="{28BC1046-2C91-4732-9DED-A7AA31C76A60}" mentionId="{A5F701AA-87D5-473D-B825-4B9C4BEB15F8}" startIndex="0" length="26"/>
    </mentions>
  </threadedComment>
  <threadedComment ref="C59" dT="2025-08-19T19:00:43.82" personId="{325436A3-E77A-4196-9FD7-15D94593445C}" id="{433CDC30-A16A-4D49-8B26-9742CB9C14CA}">
    <text xml:space="preserve">Should this field autopopulate if a custom rate card is used/client custom rate class? Or should it populate as a “comment” field?
@Marleta Hansen (Credera) </text>
    <mentions>
      <mention mentionpersonId="{DBE32337-1BE6-4DC3-8184-3A5B2C8D53FD}" mentionId="{9E27BE9C-0463-4023-86E7-98E56C0A25EA}" startIndex="132" length="25"/>
    </mentions>
  </threadedComment>
  <threadedComment ref="C59" dT="2025-08-19T20:52:12.61" personId="{A18A5B98-EBC2-4087-98FF-4D56DA9318A4}" id="{2E6E3E96-5FDA-49E2-BB43-D7ABA44A01D5}" parentId="{433CDC30-A16A-4D49-8B26-9742CB9C14CA}">
    <text>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ext>
  </threadedComment>
  <threadedComment ref="I59" dT="2025-08-19T18:45:26.54" personId="{325436A3-E77A-4196-9FD7-15D94593445C}" id="{DAAB6BD6-5CB8-4F96-94A9-B12AF78B623A}">
    <text>Add flag that asks about new rate card, add flag that looks for projects with override rates without a discount. Confirm requirements with Marleta</text>
  </threadedComment>
  <threadedComment ref="P69" dT="2025-07-30T20:34:59.64" personId="{E4CD2CBA-D642-47C0-82EF-2A7684FF1D1B}" id="{47763C8A-96D3-466D-8575-A993B46F1BCC}">
    <text>@Katie Stevenson (Credera) Did we decide we wanted to move this over to the left? Or hide it?</text>
    <mentions>
      <mention mentionpersonId="{28BC1046-2C91-4732-9DED-A7AA31C76A60}" mentionId="{575B9EAA-E91A-48C7-94C5-D368F3DC4EFC}" startIndex="0" length="26"/>
    </mentions>
  </threadedComment>
</ThreadedComments>
</file>

<file path=xl/threadedComments/threadedComment7.xml><?xml version="1.0" encoding="utf-8"?>
<ThreadedComments xmlns="http://schemas.microsoft.com/office/spreadsheetml/2018/threadedcomments" xmlns:x="http://schemas.openxmlformats.org/spreadsheetml/2006/main">
  <threadedComment ref="A2" dT="2025-07-24T15:57:29.46" personId="{325436A3-E77A-4196-9FD7-15D94593445C}" id="{C62BB651-F4BB-4495-9C4E-27394A6DBB19}">
    <text>@Marleta Hansen (Credera) pls send Risk Management slides for KPI’s</text>
    <mentions>
      <mention mentionpersonId="{DBE32337-1BE6-4DC3-8184-3A5B2C8D53FD}" mentionId="{BE360259-9AAE-4927-9900-6C906E70BCEC}" startIndex="0" length="25"/>
    </mentions>
  </threadedComment>
</ThreadedComments>
</file>

<file path=xl/threadedComments/threadedComment8.xml><?xml version="1.0" encoding="utf-8"?>
<ThreadedComments xmlns="http://schemas.microsoft.com/office/spreadsheetml/2018/threadedcomments" xmlns:x="http://schemas.openxmlformats.org/spreadsheetml/2006/main">
  <threadedComment ref="C4" dT="2025-07-16T20:27:23.20" personId="{E4CD2CBA-D642-47C0-82EF-2A7684FF1D1B}" id="{F6009B7B-84FA-4366-A5FC-4CEA04431EF8}">
    <text>@Katie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AC127F76-06F5-452E-9526-3EE53883A4E6}" startIndex="0" length="26"/>
    </mentions>
  </threadedComment>
  <threadedComment ref="C4" dT="2025-07-30T20:35:31.62" personId="{E4CD2CBA-D642-47C0-82EF-2A7684FF1D1B}" id="{72B245CC-24E1-47C5-B437-A1DB241220B7}" parentId="{F6009B7B-84FA-4366-A5FC-4CEA04431EF8}">
    <text>@Katie Stevenson (Credera) Bump</text>
    <mentions>
      <mention mentionpersonId="{28BC1046-2C91-4732-9DED-A7AA31C76A60}" mentionId="{87128D44-96AC-4C17-98B6-BAC42733B273}" startIndex="0" length="26"/>
    </mentions>
  </threadedComment>
  <threadedComment ref="T59" dT="2025-07-28T20:46:28.92" personId="{325436A3-E77A-4196-9FD7-15D94593445C}" id="{F76A7D65-4FDA-4660-B919-C1E17BD12FFA}">
    <text>Can we reduce the vertical height used here?</text>
  </threadedComment>
  <threadedComment ref="T59" dT="2025-07-30T20:35:52.81" personId="{E4CD2CBA-D642-47C0-82EF-2A7684FF1D1B}" id="{865F0156-1A9B-4E4C-8B73-F452BA73781D}" parentId="{F76A7D65-4FDA-4660-B919-C1E17BD12FFA}">
    <text>@Katie Stevenson (Credera) Bump</text>
    <mentions>
      <mention mentionpersonId="{28BC1046-2C91-4732-9DED-A7AA31C76A60}" mentionId="{66F0AE80-5C15-44AF-B6A7-9F125BDC8060}" startIndex="0" length="26"/>
    </mentions>
  </threadedComment>
</ThreadedComments>
</file>

<file path=xl/threadedComments/threadedComment9.xml><?xml version="1.0" encoding="utf-8"?>
<ThreadedComments xmlns="http://schemas.microsoft.com/office/spreadsheetml/2018/threadedcomments" xmlns:x="http://schemas.openxmlformats.org/spreadsheetml/2006/main">
  <threadedComment ref="B6" dT="2025-07-16T20:27:44.78" personId="{E4CD2CBA-D642-47C0-82EF-2A7684FF1D1B}" id="{9C193BF1-1EB3-4E7D-8B10-B0E4FA266D38}">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F0B76DDC-4CD7-41DF-BB49-2BB2AB7D028D}" startIndex="1" length="26"/>
    </mentions>
  </threadedComment>
  <threadedComment ref="B6" dT="2025-07-30T20:36:06.85" personId="{E4CD2CBA-D642-47C0-82EF-2A7684FF1D1B}" id="{761B8363-B77E-4CFE-94A3-221BBF05D205}" parentId="{9C193BF1-1EB3-4E7D-8B10-B0E4FA266D38}">
    <text>@Katie Stevenson (Credera) Bump</text>
    <mentions>
      <mention mentionpersonId="{28BC1046-2C91-4732-9DED-A7AA31C76A60}" mentionId="{EDDE4A75-4FEB-4550-8EA2-F19090FD8C8C}" startIndex="0" length="26"/>
    </mentions>
  </threadedComment>
</ThreadedComments>
</file>

<file path=xl/threadedComments/threadedComment10.xml><?xml version="1.0" encoding="utf-8"?>
<ThreadedComments xmlns="http://schemas.microsoft.com/office/spreadsheetml/2018/threadedcomments" xmlns:x="http://schemas.openxmlformats.org/spreadsheetml/2006/main">
  <threadedComment ref="B3" dT="2025-07-17T22:33:17.40" personId="{E4CD2CBA-D642-47C0-82EF-2A7684FF1D1B}" id="{052A2392-96F3-43DB-854F-BC60DAF48085}">
    <text>“Review” or “compare”? I think Compare is more active and a better presentation of the purpose of this page</text>
  </threadedComment>
  <threadedComment ref="B3" dT="2025-07-30T20:37:20.52" personId="{E4CD2CBA-D642-47C0-82EF-2A7684FF1D1B}" id="{32479B7F-2CBC-415B-B279-698A8B1424FE}" parentId="{052A2392-96F3-43DB-854F-BC60DAF48085}">
    <text>@Katie Stevenson (Credera) Bump</text>
    <mentions>
      <mention mentionpersonId="{28BC1046-2C91-4732-9DED-A7AA31C76A60}" mentionId="{A04E6AE6-E20F-4100-8EC8-5F75EA69E9F2}" startIndex="0" length="26"/>
    </mentions>
  </threadedComment>
  <threadedComment ref="B6" dT="2025-07-16T20:27:57.44" personId="{E4CD2CBA-D642-47C0-82EF-2A7684FF1D1B}" id="{02659B2E-3775-4BA1-BC9E-349C1D2FB8F2}">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380AC14E-D0D0-4F75-B54C-ACD3795E86F8}" startIndex="1" length="26"/>
    </mentions>
  </threadedComment>
  <threadedComment ref="B6" dT="2025-07-30T20:37:29.02" personId="{E4CD2CBA-D642-47C0-82EF-2A7684FF1D1B}" id="{DD57EA95-5A3E-41FE-8CF8-51E8C465D7E4}" parentId="{02659B2E-3775-4BA1-BC9E-349C1D2FB8F2}">
    <text>@Katie Stevenson (Credera) Bump</text>
    <mentions>
      <mention mentionpersonId="{28BC1046-2C91-4732-9DED-A7AA31C76A60}" mentionId="{B9C23D45-1841-459F-9733-BE94DD1C925C}" startIndex="0" length="26"/>
    </mentions>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1.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0.vml"/><Relationship Id="rId1" Type="http://schemas.openxmlformats.org/officeDocument/2006/relationships/printerSettings" Target="../printerSettings/printerSettings3.bin"/><Relationship Id="rId5" Type="http://schemas.microsoft.com/office/2017/10/relationships/threadedComment" Target="../threadedComments/threadedComment8.xml"/><Relationship Id="rId4" Type="http://schemas.openxmlformats.org/officeDocument/2006/relationships/comments" Target="../comments10.xml"/></Relationships>
</file>

<file path=xl/worksheets/_rels/sheet1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17/10/relationships/threadedComment" Target="../threadedComments/threadedComment9.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comments" Target="../comments11.xml"/><Relationship Id="rId5" Type="http://schemas.openxmlformats.org/officeDocument/2006/relationships/vmlDrawing" Target="../drawings/vmlDrawing11.vml"/><Relationship Id="rId4"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3" Type="http://schemas.microsoft.com/office/2017/10/relationships/threadedComment" Target="../threadedComments/threadedComment10.xml"/><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applewebdata://0354CD68-BF9E-4F10-A378-5260E0C63CDB/" TargetMode="External"/><Relationship Id="rId1" Type="http://schemas.openxmlformats.org/officeDocument/2006/relationships/hyperlink" Target="applewebdata://0354CD68-BF9E-4F10-A378-5260E0C63CDB/" TargetMode="External"/><Relationship Id="rId5" Type="http://schemas.openxmlformats.org/officeDocument/2006/relationships/comments" Target="../comments13.xml"/><Relationship Id="rId4"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ECE0E-8018-C34D-878F-8BC87D1DB6E7}">
  <sheetPr codeName="Sheet4">
    <tabColor theme="3"/>
    <pageSetUpPr autoPageBreaks="0"/>
  </sheetPr>
  <dimension ref="A1:AD44"/>
  <sheetViews>
    <sheetView showGridLines="0" topLeftCell="A7" zoomScaleNormal="100" workbookViewId="0">
      <selection activeCell="B15" sqref="B15:C15"/>
    </sheetView>
  </sheetViews>
  <sheetFormatPr defaultColWidth="10.21875" defaultRowHeight="18.75" customHeight="1" x14ac:dyDescent="0.3"/>
  <cols>
    <col min="1" max="1" width="2.44140625" style="780" customWidth="1"/>
    <col min="2" max="2" width="32.44140625" style="476" customWidth="1"/>
    <col min="3" max="3" width="173.44140625" style="780" customWidth="1"/>
    <col min="4" max="4" width="34.21875" style="476" customWidth="1"/>
    <col min="5" max="5" width="30.77734375" style="476" customWidth="1"/>
    <col min="6" max="6" width="42.44140625" style="476" customWidth="1"/>
    <col min="7" max="7" width="52.44140625" style="476" customWidth="1"/>
    <col min="8" max="8" width="12.77734375" style="776" customWidth="1"/>
    <col min="9" max="9" width="49" style="476" customWidth="1"/>
    <col min="10" max="10" width="11.44140625" style="476" customWidth="1"/>
    <col min="11" max="11" width="9.77734375" style="476" customWidth="1"/>
    <col min="12" max="12" width="11.44140625" style="476" customWidth="1"/>
    <col min="13" max="13" width="23" style="476" customWidth="1"/>
    <col min="14" max="14" width="29.44140625" style="476" customWidth="1"/>
    <col min="15" max="15" width="20.44140625" style="476" bestFit="1" customWidth="1"/>
    <col min="16" max="18" width="10.21875" style="476"/>
    <col min="19" max="19" width="16.44140625" style="476" bestFit="1" customWidth="1"/>
    <col min="20" max="20" width="9.77734375" style="476" bestFit="1" customWidth="1"/>
    <col min="21" max="21" width="15.44140625" style="476" bestFit="1" customWidth="1"/>
    <col min="22" max="22" width="9.77734375" style="476" bestFit="1" customWidth="1"/>
    <col min="23" max="28" width="10.21875" style="476"/>
    <col min="29" max="29" width="164" style="476" customWidth="1"/>
    <col min="30" max="30" width="175.44140625" style="476" customWidth="1"/>
    <col min="31" max="16384" width="10.21875" style="476"/>
  </cols>
  <sheetData>
    <row r="1" spans="1:30" s="470" customFormat="1" ht="9.4499999999999993" customHeight="1" x14ac:dyDescent="0.3">
      <c r="A1" s="761"/>
      <c r="B1" s="762"/>
      <c r="C1" s="763"/>
      <c r="D1" s="762"/>
      <c r="E1" s="762"/>
      <c r="F1" s="762"/>
      <c r="G1" s="762"/>
      <c r="H1" s="764"/>
      <c r="I1" s="762"/>
      <c r="J1" s="762"/>
      <c r="K1" s="762"/>
      <c r="L1" s="762"/>
      <c r="M1" s="762"/>
      <c r="N1" s="762"/>
      <c r="O1" s="762"/>
      <c r="P1" s="762"/>
      <c r="Q1" s="762"/>
      <c r="R1" s="762"/>
      <c r="S1" s="762"/>
      <c r="T1" s="762"/>
      <c r="U1" s="762"/>
      <c r="V1" s="762"/>
      <c r="W1" s="765"/>
    </row>
    <row r="2" spans="1:30" s="784" customFormat="1" ht="25.05" customHeight="1" x14ac:dyDescent="0.3">
      <c r="A2" s="781"/>
      <c r="B2" s="782" t="s">
        <v>2301</v>
      </c>
      <c r="C2" s="783"/>
      <c r="W2" s="785"/>
      <c r="AC2" s="786"/>
      <c r="AD2" s="786"/>
    </row>
    <row r="3" spans="1:30" s="784" customFormat="1" ht="16.95" customHeight="1" x14ac:dyDescent="0.3">
      <c r="A3" s="781"/>
      <c r="B3" s="470" t="s">
        <v>2287</v>
      </c>
      <c r="C3" s="783"/>
      <c r="W3" s="785"/>
      <c r="AC3" s="786"/>
      <c r="AD3" s="786"/>
    </row>
    <row r="4" spans="1:30" s="470" customFormat="1" ht="22.5" customHeight="1" x14ac:dyDescent="0.35">
      <c r="A4" s="766"/>
      <c r="B4" s="1269" t="s">
        <v>2358</v>
      </c>
      <c r="D4" s="792"/>
      <c r="M4" s="768"/>
      <c r="W4" s="767"/>
    </row>
    <row r="5" spans="1:30" ht="10.95" customHeight="1" x14ac:dyDescent="0.3">
      <c r="A5" s="769"/>
      <c r="B5" s="1378"/>
      <c r="C5" s="1379"/>
      <c r="H5" s="770"/>
      <c r="M5" s="771"/>
      <c r="W5" s="772"/>
    </row>
    <row r="6" spans="1:30" ht="17.399999999999999" x14ac:dyDescent="0.3">
      <c r="A6" s="769"/>
      <c r="B6" s="1380" t="s">
        <v>2295</v>
      </c>
      <c r="C6" s="1381"/>
      <c r="H6" s="770"/>
      <c r="M6" s="771"/>
      <c r="W6" s="772"/>
    </row>
    <row r="7" spans="1:30" ht="25.95" customHeight="1" x14ac:dyDescent="0.3">
      <c r="A7" s="769"/>
      <c r="B7" s="1378" t="s">
        <v>2352</v>
      </c>
      <c r="C7" s="1379"/>
      <c r="H7" s="770"/>
      <c r="M7" s="771"/>
      <c r="W7" s="772"/>
    </row>
    <row r="8" spans="1:30" ht="45" customHeight="1" x14ac:dyDescent="0.3">
      <c r="A8" s="769"/>
      <c r="B8" s="1631" t="s">
        <v>2360</v>
      </c>
      <c r="C8" s="1631"/>
      <c r="D8" s="854"/>
      <c r="E8" s="854"/>
      <c r="F8" s="773"/>
      <c r="H8" s="771"/>
      <c r="W8" s="772"/>
    </row>
    <row r="9" spans="1:30" ht="13.8" x14ac:dyDescent="0.3">
      <c r="A9" s="769"/>
      <c r="B9" s="1257"/>
      <c r="C9" s="1257"/>
      <c r="D9" s="854"/>
      <c r="E9" s="854"/>
      <c r="F9" s="773"/>
      <c r="H9" s="771"/>
      <c r="W9" s="772"/>
    </row>
    <row r="10" spans="1:30" ht="17.399999999999999" x14ac:dyDescent="0.3">
      <c r="A10" s="769"/>
      <c r="B10" s="1380" t="s">
        <v>2353</v>
      </c>
      <c r="C10" s="1381"/>
      <c r="H10" s="770"/>
      <c r="M10" s="771"/>
      <c r="W10" s="772"/>
    </row>
    <row r="11" spans="1:30" ht="13.8" x14ac:dyDescent="0.3">
      <c r="A11" s="769"/>
      <c r="B11" s="1625" t="s">
        <v>6</v>
      </c>
      <c r="C11" s="1625"/>
      <c r="D11" s="854"/>
      <c r="E11" s="854"/>
      <c r="F11" s="773"/>
      <c r="H11" s="771"/>
      <c r="W11" s="772"/>
    </row>
    <row r="12" spans="1:30" ht="13.8" x14ac:dyDescent="0.3">
      <c r="A12" s="769"/>
      <c r="B12" s="1625" t="s">
        <v>2359</v>
      </c>
      <c r="C12" s="1625"/>
      <c r="H12" s="476"/>
      <c r="W12" s="772"/>
    </row>
    <row r="13" spans="1:30" ht="13.95" customHeight="1" x14ac:dyDescent="0.3">
      <c r="A13" s="769"/>
      <c r="B13" s="1625" t="s">
        <v>2356</v>
      </c>
      <c r="C13" s="1625"/>
      <c r="H13" s="476"/>
      <c r="U13" s="774"/>
      <c r="W13" s="772"/>
    </row>
    <row r="14" spans="1:30" ht="13.95" customHeight="1" x14ac:dyDescent="0.3">
      <c r="A14" s="769"/>
      <c r="B14" s="1625" t="s">
        <v>3</v>
      </c>
      <c r="C14" s="1625"/>
      <c r="G14" s="775"/>
      <c r="H14" s="476"/>
      <c r="U14" s="770"/>
      <c r="W14" s="772"/>
    </row>
    <row r="15" spans="1:30" ht="13.95" customHeight="1" x14ac:dyDescent="0.3">
      <c r="A15" s="769"/>
      <c r="B15" s="1625" t="s">
        <v>5</v>
      </c>
      <c r="C15" s="1625"/>
      <c r="H15" s="476"/>
      <c r="U15" s="407"/>
      <c r="W15" s="772"/>
    </row>
    <row r="16" spans="1:30" ht="13.8" x14ac:dyDescent="0.3">
      <c r="A16" s="769"/>
      <c r="B16" s="1624" t="s">
        <v>2354</v>
      </c>
      <c r="C16" s="1624"/>
      <c r="H16" s="476"/>
      <c r="W16" s="772"/>
    </row>
    <row r="17" spans="1:23" ht="13.8" x14ac:dyDescent="0.3">
      <c r="A17" s="769"/>
      <c r="B17" s="1258"/>
      <c r="C17" s="1258"/>
      <c r="H17" s="476"/>
      <c r="W17" s="772"/>
    </row>
    <row r="18" spans="1:23" ht="17.399999999999999" x14ac:dyDescent="0.3">
      <c r="A18" s="769"/>
      <c r="B18" s="1380" t="s">
        <v>2361</v>
      </c>
      <c r="C18" s="1381"/>
      <c r="H18" s="476"/>
      <c r="S18" s="476" t="s">
        <v>7</v>
      </c>
      <c r="W18" s="772"/>
    </row>
    <row r="19" spans="1:23" ht="13.8" x14ac:dyDescent="0.3">
      <c r="A19" s="769"/>
      <c r="B19" s="1626" t="s">
        <v>2365</v>
      </c>
      <c r="C19" s="1626"/>
      <c r="H19" s="476"/>
      <c r="W19" s="772"/>
    </row>
    <row r="20" spans="1:23" ht="13.8" x14ac:dyDescent="0.3">
      <c r="A20" s="769"/>
      <c r="B20" s="1626" t="s">
        <v>2362</v>
      </c>
      <c r="C20" s="1626"/>
      <c r="H20" s="476"/>
      <c r="W20" s="772"/>
    </row>
    <row r="21" spans="1:23" ht="13.8" x14ac:dyDescent="0.3">
      <c r="A21" s="769"/>
      <c r="B21" s="1629" t="s">
        <v>2395</v>
      </c>
      <c r="C21" s="1630"/>
      <c r="H21" s="476"/>
      <c r="W21" s="772"/>
    </row>
    <row r="22" spans="1:23" ht="13.8" x14ac:dyDescent="0.3">
      <c r="A22" s="769"/>
      <c r="B22" s="1629" t="s">
        <v>2396</v>
      </c>
      <c r="C22" s="1630"/>
      <c r="H22" s="476"/>
      <c r="W22" s="772"/>
    </row>
    <row r="23" spans="1:23" ht="13.8" x14ac:dyDescent="0.3">
      <c r="A23" s="769"/>
      <c r="B23" s="1629" t="s">
        <v>2397</v>
      </c>
      <c r="C23" s="1630"/>
      <c r="H23" s="476"/>
      <c r="W23" s="772"/>
    </row>
    <row r="24" spans="1:23" ht="13.8" x14ac:dyDescent="0.3">
      <c r="A24" s="769"/>
      <c r="B24" s="1629" t="s">
        <v>2398</v>
      </c>
      <c r="C24" s="1630"/>
      <c r="W24" s="772"/>
    </row>
    <row r="25" spans="1:23" ht="13.8" x14ac:dyDescent="0.3">
      <c r="A25" s="769"/>
      <c r="B25" s="1627" t="s">
        <v>3188</v>
      </c>
      <c r="C25" s="1628"/>
      <c r="H25" s="476"/>
      <c r="S25" s="476" t="s">
        <v>7</v>
      </c>
      <c r="W25" s="772"/>
    </row>
    <row r="26" spans="1:23" ht="13.8" x14ac:dyDescent="0.3"/>
    <row r="27" spans="1:23" ht="17.399999999999999" x14ac:dyDescent="0.3">
      <c r="A27" s="769"/>
      <c r="B27" s="1380" t="s">
        <v>3187</v>
      </c>
      <c r="C27" s="1381"/>
      <c r="H27" s="476"/>
      <c r="S27" s="476" t="s">
        <v>7</v>
      </c>
      <c r="W27" s="772"/>
    </row>
    <row r="28" spans="1:23" ht="9" customHeight="1" x14ac:dyDescent="0.3">
      <c r="A28" s="769"/>
      <c r="B28" s="1304" t="s">
        <v>13</v>
      </c>
      <c r="C28" s="1304"/>
      <c r="H28" s="476"/>
      <c r="W28" s="772"/>
    </row>
    <row r="29" spans="1:23" ht="25.95" customHeight="1" x14ac:dyDescent="0.3">
      <c r="A29" s="769"/>
      <c r="B29" s="1133" t="s">
        <v>8</v>
      </c>
      <c r="C29" s="1134" t="s">
        <v>9</v>
      </c>
      <c r="D29" s="790"/>
      <c r="E29" s="790"/>
      <c r="H29" s="476"/>
      <c r="W29" s="772"/>
    </row>
    <row r="30" spans="1:23" ht="45" customHeight="1" x14ac:dyDescent="0.3">
      <c r="A30" s="769"/>
      <c r="B30" s="1135" t="s">
        <v>10</v>
      </c>
      <c r="C30" s="1259" t="s">
        <v>2400</v>
      </c>
      <c r="D30" s="791"/>
      <c r="E30" s="791"/>
      <c r="H30" s="476"/>
      <c r="W30" s="772"/>
    </row>
    <row r="31" spans="1:23" ht="45" customHeight="1" x14ac:dyDescent="0.3">
      <c r="A31" s="769"/>
      <c r="B31" s="1136" t="s">
        <v>2372</v>
      </c>
      <c r="C31" s="1260" t="s">
        <v>2401</v>
      </c>
      <c r="D31" s="791"/>
      <c r="E31" s="1623"/>
      <c r="F31" s="1623"/>
      <c r="G31" s="1623"/>
      <c r="H31" s="476"/>
      <c r="N31" s="777"/>
      <c r="O31" s="777"/>
      <c r="P31" s="777"/>
      <c r="W31" s="772"/>
    </row>
    <row r="32" spans="1:23" ht="45" customHeight="1" x14ac:dyDescent="0.3">
      <c r="A32" s="769"/>
      <c r="B32" s="1136" t="s">
        <v>2373</v>
      </c>
      <c r="C32" s="1260" t="s">
        <v>3189</v>
      </c>
      <c r="D32" s="791"/>
      <c r="E32" s="791"/>
      <c r="H32" s="476"/>
      <c r="W32" s="772"/>
    </row>
    <row r="33" spans="1:23" ht="45" customHeight="1" x14ac:dyDescent="0.3">
      <c r="A33" s="769"/>
      <c r="B33" s="1136" t="s">
        <v>2374</v>
      </c>
      <c r="C33" s="1260" t="s">
        <v>2355</v>
      </c>
      <c r="D33" s="791"/>
      <c r="E33" s="791"/>
      <c r="H33" s="476"/>
      <c r="W33" s="772"/>
    </row>
    <row r="34" spans="1:23" ht="45" customHeight="1" x14ac:dyDescent="0.3">
      <c r="A34" s="769"/>
      <c r="B34" s="1136" t="s">
        <v>2162</v>
      </c>
      <c r="C34" s="1260" t="s">
        <v>2399</v>
      </c>
      <c r="D34" s="791"/>
      <c r="E34" s="791"/>
      <c r="H34" s="476"/>
      <c r="W34" s="772"/>
    </row>
    <row r="35" spans="1:23" ht="45" customHeight="1" x14ac:dyDescent="0.3">
      <c r="A35" s="769"/>
      <c r="B35" s="1136" t="s">
        <v>2263</v>
      </c>
      <c r="C35" s="1260" t="s">
        <v>3199</v>
      </c>
      <c r="D35" s="791"/>
      <c r="E35" s="791"/>
      <c r="H35" s="476"/>
      <c r="W35" s="772"/>
    </row>
    <row r="36" spans="1:23" ht="8.5500000000000007" customHeight="1" x14ac:dyDescent="0.3">
      <c r="A36" s="769"/>
      <c r="B36" s="1385"/>
      <c r="C36" s="1386"/>
      <c r="D36" s="791"/>
      <c r="E36" s="791"/>
      <c r="H36" s="476"/>
      <c r="W36" s="772"/>
    </row>
    <row r="37" spans="1:23" ht="45" customHeight="1" x14ac:dyDescent="0.3">
      <c r="A37" s="769"/>
      <c r="B37" s="1136" t="s">
        <v>11</v>
      </c>
      <c r="C37" s="1260" t="s">
        <v>2363</v>
      </c>
      <c r="D37" s="791"/>
      <c r="H37" s="476"/>
      <c r="W37" s="772"/>
    </row>
    <row r="38" spans="1:23" ht="45" customHeight="1" x14ac:dyDescent="0.3">
      <c r="A38" s="769"/>
      <c r="B38" s="1136" t="s">
        <v>12</v>
      </c>
      <c r="C38" s="1260" t="s">
        <v>2364</v>
      </c>
      <c r="D38" s="791"/>
      <c r="E38" s="791"/>
      <c r="H38" s="476"/>
      <c r="W38" s="772"/>
    </row>
    <row r="39" spans="1:23" ht="45" customHeight="1" x14ac:dyDescent="0.3">
      <c r="A39" s="769"/>
      <c r="B39" s="1137" t="s">
        <v>14</v>
      </c>
      <c r="C39" s="1261" t="s">
        <v>2402</v>
      </c>
      <c r="D39" s="791"/>
      <c r="E39" s="791"/>
      <c r="H39" s="476"/>
      <c r="W39" s="772"/>
    </row>
    <row r="40" spans="1:23" ht="13.8" x14ac:dyDescent="0.3">
      <c r="A40" s="769"/>
      <c r="B40" s="778"/>
      <c r="C40" s="779"/>
      <c r="H40" s="476"/>
      <c r="W40" s="772"/>
    </row>
    <row r="41" spans="1:23" ht="18.75" customHeight="1" x14ac:dyDescent="0.3">
      <c r="A41" s="769"/>
      <c r="C41" s="476"/>
      <c r="H41" s="476"/>
      <c r="W41" s="772"/>
    </row>
    <row r="42" spans="1:23" ht="18.75" customHeight="1" x14ac:dyDescent="0.3">
      <c r="A42" s="769"/>
      <c r="C42" s="476"/>
      <c r="H42" s="476"/>
      <c r="U42" s="774"/>
      <c r="W42" s="772"/>
    </row>
    <row r="43" spans="1:23" ht="18.75" customHeight="1" x14ac:dyDescent="0.3">
      <c r="C43" s="476"/>
    </row>
    <row r="44" spans="1:23" ht="18.75" customHeight="1" x14ac:dyDescent="0.3">
      <c r="C44" s="476"/>
    </row>
  </sheetData>
  <sheetProtection selectLockedCells="1"/>
  <mergeCells count="15">
    <mergeCell ref="B11:C11"/>
    <mergeCell ref="B8:C8"/>
    <mergeCell ref="B13:C13"/>
    <mergeCell ref="B14:C14"/>
    <mergeCell ref="B20:C20"/>
    <mergeCell ref="E31:G31"/>
    <mergeCell ref="B16:C16"/>
    <mergeCell ref="B12:C12"/>
    <mergeCell ref="B19:C19"/>
    <mergeCell ref="B25:C25"/>
    <mergeCell ref="B22:C22"/>
    <mergeCell ref="B23:C23"/>
    <mergeCell ref="B24:C24"/>
    <mergeCell ref="B21:C21"/>
    <mergeCell ref="B15:C15"/>
  </mergeCells>
  <pageMargins left="0.7" right="0.7" top="0.75" bottom="0.75" header="0.3" footer="0.3"/>
  <headerFooter>
    <oddFooter>&amp;C_x000D_&amp;1#&amp;"Calibri"&amp;10&amp;K000000 Confidential - Not for Public Consumption or Distribution</oddFooter>
  </headerFooter>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EC54B-5C72-1740-826A-FEFF2DF61306}">
  <sheetPr codeName="Sheet7">
    <tabColor theme="3" tint="0.89999084444715716"/>
    <pageSetUpPr autoPageBreaks="0"/>
  </sheetPr>
  <dimension ref="B1:O115"/>
  <sheetViews>
    <sheetView showGridLines="0" zoomScale="95" zoomScaleNormal="112" workbookViewId="0">
      <pane ySplit="4" topLeftCell="A18" activePane="bottomLeft" state="frozen"/>
      <selection activeCell="G20" sqref="G20"/>
      <selection pane="bottomLeft" activeCell="C28" sqref="C28"/>
    </sheetView>
  </sheetViews>
  <sheetFormatPr defaultColWidth="8.77734375" defaultRowHeight="14.4" x14ac:dyDescent="0.3"/>
  <cols>
    <col min="1" max="1" width="3.21875" style="395" customWidth="1"/>
    <col min="2" max="2" width="49.6640625" style="395" customWidth="1"/>
    <col min="3" max="3" width="42.44140625" style="395" customWidth="1"/>
    <col min="4" max="4" width="20.44140625" style="395" bestFit="1" customWidth="1"/>
    <col min="5" max="5" width="28.44140625" style="395" customWidth="1"/>
    <col min="6" max="6" width="27.33203125" style="395" customWidth="1"/>
    <col min="7" max="7" width="17.44140625" style="395" customWidth="1"/>
    <col min="8" max="8" width="12.44140625" style="395" customWidth="1"/>
    <col min="9" max="9" width="13.44140625" style="395" customWidth="1"/>
    <col min="10" max="11" width="13.44140625" style="396" customWidth="1"/>
    <col min="12" max="12" width="13.44140625" style="395" customWidth="1"/>
    <col min="13" max="13" width="32.21875" style="395" customWidth="1"/>
    <col min="14" max="14" width="29.44140625" style="397" customWidth="1"/>
    <col min="15" max="15" width="35.77734375" style="397" customWidth="1"/>
    <col min="16" max="16" width="28.44140625" style="395" customWidth="1"/>
    <col min="17" max="17" width="26.44140625" style="395" customWidth="1"/>
    <col min="18" max="16383" width="8.77734375" style="395"/>
    <col min="16384" max="16384" width="8.77734375" style="395" bestFit="1"/>
  </cols>
  <sheetData>
    <row r="1" spans="2:15" s="391" customFormat="1" ht="7.05" customHeight="1" x14ac:dyDescent="0.3">
      <c r="J1" s="392"/>
      <c r="K1" s="392"/>
      <c r="N1" s="393"/>
      <c r="O1" s="393"/>
    </row>
    <row r="2" spans="2:15" s="391" customFormat="1" ht="25.8" x14ac:dyDescent="0.3">
      <c r="B2" s="394" t="s">
        <v>2158</v>
      </c>
      <c r="C2" s="474"/>
      <c r="D2" s="1650" t="s">
        <v>0</v>
      </c>
      <c r="E2" s="1651"/>
      <c r="F2" s="1652"/>
      <c r="G2" s="731"/>
      <c r="J2" s="392"/>
      <c r="K2" s="392"/>
      <c r="N2" s="393"/>
      <c r="O2" s="393"/>
    </row>
    <row r="3" spans="2:15" s="391" customFormat="1" x14ac:dyDescent="0.3">
      <c r="B3" s="472" t="s">
        <v>2198</v>
      </c>
      <c r="D3" s="832" t="s">
        <v>2159</v>
      </c>
      <c r="E3" s="742" t="s">
        <v>2260</v>
      </c>
      <c r="F3" s="836" t="s">
        <v>2239</v>
      </c>
      <c r="G3" s="730"/>
      <c r="J3" s="392"/>
      <c r="K3" s="392"/>
      <c r="N3" s="393"/>
      <c r="O3" s="393"/>
    </row>
    <row r="4" spans="2:15" s="391" customFormat="1" ht="8.5500000000000007" customHeight="1" x14ac:dyDescent="0.3">
      <c r="D4" s="729"/>
      <c r="G4" s="730"/>
      <c r="J4" s="392"/>
      <c r="K4" s="392"/>
      <c r="N4" s="393"/>
      <c r="O4" s="393"/>
    </row>
    <row r="5" spans="2:15" ht="5.55" customHeight="1" x14ac:dyDescent="0.3"/>
    <row r="6" spans="2:15" ht="13.95" customHeight="1" x14ac:dyDescent="0.25">
      <c r="B6" s="740" t="s">
        <v>2</v>
      </c>
      <c r="C6" s="400"/>
      <c r="D6" s="400"/>
      <c r="E6" s="400"/>
      <c r="F6" s="401"/>
      <c r="G6" s="402"/>
      <c r="H6" s="402"/>
      <c r="I6" s="402"/>
      <c r="J6" s="403"/>
      <c r="K6" s="403"/>
      <c r="L6" s="401"/>
      <c r="M6" s="403"/>
      <c r="N6" s="403"/>
      <c r="O6" s="403"/>
    </row>
    <row r="7" spans="2:15" s="624" customFormat="1" ht="26.55" customHeight="1" x14ac:dyDescent="0.3">
      <c r="B7" s="1635" t="s">
        <v>3250</v>
      </c>
      <c r="C7" s="1635"/>
      <c r="D7" s="1635"/>
      <c r="E7" s="1635"/>
      <c r="F7" s="1635"/>
      <c r="G7" s="848"/>
      <c r="H7" s="848"/>
      <c r="I7" s="848"/>
      <c r="L7" s="847"/>
    </row>
    <row r="8" spans="2:15" s="624" customFormat="1" ht="13.8" x14ac:dyDescent="0.3">
      <c r="B8" s="1643" t="s">
        <v>2310</v>
      </c>
      <c r="C8" s="1643"/>
      <c r="D8" s="1643"/>
      <c r="E8" s="1643"/>
      <c r="F8" s="405"/>
      <c r="G8" s="848"/>
      <c r="H8" s="848"/>
      <c r="I8" s="848"/>
      <c r="L8" s="847"/>
    </row>
    <row r="9" spans="2:15" s="624" customFormat="1" ht="13.8" x14ac:dyDescent="0.3">
      <c r="B9" s="1468" t="s">
        <v>3251</v>
      </c>
      <c r="C9" s="1468"/>
      <c r="D9" s="1468"/>
      <c r="E9" s="1468"/>
      <c r="F9" s="405"/>
      <c r="G9" s="848"/>
      <c r="H9" s="848"/>
      <c r="I9" s="848"/>
      <c r="L9" s="847"/>
    </row>
    <row r="10" spans="2:15" s="624" customFormat="1" ht="13.8" x14ac:dyDescent="0.3">
      <c r="B10" s="1644" t="s">
        <v>3252</v>
      </c>
      <c r="C10" s="1644"/>
      <c r="D10" s="1644"/>
      <c r="E10" s="1644"/>
      <c r="F10" s="405"/>
      <c r="G10" s="848"/>
      <c r="H10" s="848"/>
      <c r="I10" s="848"/>
      <c r="L10" s="847"/>
    </row>
    <row r="11" spans="2:15" ht="7.95" customHeight="1" x14ac:dyDescent="0.25">
      <c r="B11" s="406"/>
      <c r="C11" s="406"/>
      <c r="D11" s="406"/>
      <c r="E11" s="405"/>
      <c r="F11" s="405"/>
      <c r="G11" s="407"/>
      <c r="H11" s="407"/>
      <c r="I11" s="407"/>
      <c r="J11" s="395"/>
      <c r="K11" s="395"/>
      <c r="L11" s="405"/>
      <c r="N11" s="395"/>
      <c r="O11" s="395"/>
    </row>
    <row r="12" spans="2:15" s="411" customFormat="1" ht="24" customHeight="1" x14ac:dyDescent="0.3">
      <c r="B12" s="1162" t="s">
        <v>2312</v>
      </c>
      <c r="C12" s="408"/>
      <c r="D12" s="408"/>
      <c r="E12" s="408"/>
      <c r="F12" s="408"/>
      <c r="G12" s="408"/>
      <c r="H12" s="408"/>
      <c r="I12" s="409"/>
      <c r="J12" s="408"/>
      <c r="K12" s="408"/>
      <c r="L12" s="401"/>
      <c r="M12" s="408"/>
      <c r="N12" s="410"/>
      <c r="O12" s="410"/>
    </row>
    <row r="13" spans="2:15" x14ac:dyDescent="0.3">
      <c r="B13" s="395" t="s">
        <v>3296</v>
      </c>
      <c r="I13" s="413"/>
      <c r="J13" s="395"/>
      <c r="K13" s="395"/>
      <c r="L13" s="405"/>
    </row>
    <row r="14" spans="2:15" x14ac:dyDescent="0.3">
      <c r="B14" s="395" t="s">
        <v>3297</v>
      </c>
      <c r="I14" s="413"/>
      <c r="J14" s="395"/>
      <c r="K14" s="395"/>
      <c r="L14" s="405"/>
    </row>
    <row r="15" spans="2:15" x14ac:dyDescent="0.3">
      <c r="B15" s="627"/>
      <c r="I15" s="413"/>
      <c r="J15" s="395"/>
      <c r="K15" s="395"/>
      <c r="L15" s="405"/>
    </row>
    <row r="16" spans="2:15" x14ac:dyDescent="0.3">
      <c r="B16" s="1658" t="s">
        <v>2167</v>
      </c>
      <c r="C16" s="1659"/>
      <c r="I16" s="413"/>
      <c r="J16" s="395"/>
      <c r="K16" s="395"/>
      <c r="L16" s="405"/>
    </row>
    <row r="17" spans="2:12" ht="19.95" customHeight="1" x14ac:dyDescent="0.3">
      <c r="B17" s="865" t="s">
        <v>15</v>
      </c>
      <c r="C17" s="866" t="s">
        <v>295</v>
      </c>
      <c r="D17" s="831"/>
      <c r="E17" s="1653" t="s">
        <v>2269</v>
      </c>
      <c r="F17" s="1654"/>
      <c r="G17" s="418"/>
      <c r="I17" s="416"/>
      <c r="J17" s="416"/>
      <c r="K17" s="416"/>
      <c r="L17" s="413"/>
    </row>
    <row r="18" spans="2:12" ht="24.45" customHeight="1" x14ac:dyDescent="0.3">
      <c r="B18" s="867" t="s">
        <v>1304</v>
      </c>
      <c r="C18" s="868" t="s">
        <v>1431</v>
      </c>
      <c r="D18" s="419"/>
      <c r="E18" s="1655"/>
      <c r="F18" s="1656"/>
      <c r="G18" s="418"/>
      <c r="I18" s="413"/>
      <c r="J18" s="413"/>
      <c r="K18" s="413"/>
      <c r="L18" s="413"/>
    </row>
    <row r="19" spans="2:12" ht="19.95" customHeight="1" x14ac:dyDescent="0.3">
      <c r="B19" s="867" t="s">
        <v>3573</v>
      </c>
      <c r="C19" s="868" t="s">
        <v>1881</v>
      </c>
      <c r="D19" s="420"/>
      <c r="E19" s="1270" t="s">
        <v>16</v>
      </c>
      <c r="F19" s="1265" t="s">
        <v>20</v>
      </c>
      <c r="G19" s="421"/>
      <c r="I19" s="413"/>
      <c r="J19" s="413"/>
      <c r="K19" s="413"/>
      <c r="L19" s="413"/>
    </row>
    <row r="20" spans="2:12" ht="19.95" customHeight="1" x14ac:dyDescent="0.3">
      <c r="B20" s="867" t="s">
        <v>19</v>
      </c>
      <c r="C20" s="868" t="s">
        <v>275</v>
      </c>
      <c r="D20" s="419"/>
      <c r="E20" s="1271" t="s">
        <v>18</v>
      </c>
      <c r="F20" s="1266" t="s">
        <v>20</v>
      </c>
      <c r="G20" s="422"/>
      <c r="I20" s="413"/>
      <c r="J20" s="413"/>
      <c r="K20" s="413"/>
      <c r="L20" s="413"/>
    </row>
    <row r="21" spans="2:12" ht="27" customHeight="1" x14ac:dyDescent="0.3">
      <c r="B21" s="867" t="s">
        <v>3298</v>
      </c>
      <c r="C21" s="868" t="s">
        <v>275</v>
      </c>
      <c r="D21" s="1376"/>
      <c r="E21" s="1272" t="s">
        <v>21</v>
      </c>
      <c r="F21" s="1267" t="s">
        <v>216</v>
      </c>
      <c r="G21" s="422"/>
      <c r="I21" s="413"/>
      <c r="J21" s="413"/>
      <c r="K21" s="413"/>
      <c r="L21" s="413"/>
    </row>
    <row r="22" spans="2:12" ht="25.95" customHeight="1" x14ac:dyDescent="0.3">
      <c r="B22" s="871" t="s">
        <v>2064</v>
      </c>
      <c r="C22" s="1621">
        <v>1324</v>
      </c>
      <c r="D22" s="419"/>
      <c r="E22" s="1272" t="s">
        <v>2240</v>
      </c>
      <c r="F22" s="1268" t="s">
        <v>1279</v>
      </c>
      <c r="I22" s="413"/>
      <c r="J22" s="413"/>
      <c r="K22" s="413"/>
      <c r="L22" s="413"/>
    </row>
    <row r="23" spans="2:12" ht="19.95" customHeight="1" x14ac:dyDescent="0.3">
      <c r="B23" s="869" t="s">
        <v>22</v>
      </c>
      <c r="C23" s="868" t="s">
        <v>3691</v>
      </c>
      <c r="D23" s="423"/>
      <c r="I23" s="413"/>
      <c r="J23" s="413"/>
      <c r="K23" s="413"/>
      <c r="L23" s="413"/>
    </row>
    <row r="24" spans="2:12" ht="19.95" customHeight="1" x14ac:dyDescent="0.3">
      <c r="B24" s="869" t="s">
        <v>23</v>
      </c>
      <c r="C24" s="870" t="s">
        <v>289</v>
      </c>
      <c r="D24" s="417"/>
      <c r="I24" s="413"/>
      <c r="J24" s="413"/>
      <c r="K24" s="424"/>
      <c r="L24" s="413"/>
    </row>
    <row r="25" spans="2:12" ht="19.95" customHeight="1" x14ac:dyDescent="0.3">
      <c r="B25" s="869" t="s">
        <v>24</v>
      </c>
      <c r="C25" s="870" t="s">
        <v>266</v>
      </c>
      <c r="D25" s="417"/>
      <c r="I25" s="413"/>
      <c r="J25" s="413"/>
      <c r="K25" s="424"/>
      <c r="L25" s="413"/>
    </row>
    <row r="26" spans="2:12" ht="52.5" customHeight="1" x14ac:dyDescent="0.3">
      <c r="B26" s="871" t="s">
        <v>3572</v>
      </c>
      <c r="C26" s="868"/>
      <c r="D26" s="1544" t="str">
        <f>IF(AND(C25="Client Custom Rates",ISBLANK(C26)),"Please select Client Rate Card or select different Rate Class","")</f>
        <v/>
      </c>
      <c r="I26" s="413"/>
      <c r="J26" s="413"/>
      <c r="K26" s="425"/>
      <c r="L26" s="413"/>
    </row>
    <row r="27" spans="2:12" ht="19.95" customHeight="1" x14ac:dyDescent="0.3">
      <c r="B27" s="867" t="s">
        <v>1890</v>
      </c>
      <c r="C27" s="872">
        <v>45916</v>
      </c>
      <c r="D27" s="426"/>
      <c r="J27" s="395"/>
      <c r="K27" s="398"/>
    </row>
    <row r="28" spans="2:12" ht="19.95" customHeight="1" x14ac:dyDescent="0.3">
      <c r="B28" s="867" t="s">
        <v>27</v>
      </c>
      <c r="C28" s="1377" t="s">
        <v>223</v>
      </c>
      <c r="D28" s="420"/>
      <c r="J28" s="395"/>
      <c r="K28" s="398"/>
    </row>
    <row r="29" spans="2:12" ht="19.95" customHeight="1" x14ac:dyDescent="0.3">
      <c r="B29" s="867" t="s">
        <v>2286</v>
      </c>
      <c r="C29" s="1377">
        <v>30</v>
      </c>
      <c r="J29" s="395"/>
      <c r="K29" s="398"/>
    </row>
    <row r="30" spans="2:12" ht="19.95" hidden="1" customHeight="1" x14ac:dyDescent="0.3">
      <c r="B30" s="867" t="s">
        <v>2276</v>
      </c>
      <c r="C30" s="872" t="s">
        <v>2278</v>
      </c>
      <c r="J30" s="395"/>
      <c r="K30" s="398"/>
    </row>
    <row r="31" spans="2:12" ht="19.95" customHeight="1" x14ac:dyDescent="0.3">
      <c r="B31" s="867" t="s">
        <v>2190</v>
      </c>
      <c r="C31" s="872" t="s">
        <v>2195</v>
      </c>
      <c r="J31" s="395"/>
      <c r="K31" s="398"/>
    </row>
    <row r="32" spans="2:12" ht="19.95" customHeight="1" x14ac:dyDescent="0.3">
      <c r="B32" s="867" t="s">
        <v>2366</v>
      </c>
      <c r="C32" s="872" t="s">
        <v>2194</v>
      </c>
      <c r="D32" s="420"/>
      <c r="J32" s="395"/>
      <c r="K32" s="398"/>
    </row>
    <row r="33" spans="2:15" ht="26.25" customHeight="1" x14ac:dyDescent="0.3">
      <c r="B33" s="797" t="s">
        <v>2349</v>
      </c>
      <c r="C33" s="1647"/>
      <c r="D33" s="1647"/>
      <c r="E33" s="1647"/>
      <c r="F33" s="1647"/>
      <c r="G33" s="403"/>
      <c r="H33" s="403"/>
      <c r="I33" s="403"/>
      <c r="J33" s="427"/>
      <c r="K33" s="428"/>
      <c r="L33" s="403"/>
      <c r="M33" s="403"/>
      <c r="N33" s="428"/>
      <c r="O33" s="428"/>
    </row>
    <row r="34" spans="2:15" s="624" customFormat="1" ht="28.95" customHeight="1" x14ac:dyDescent="0.3">
      <c r="B34" s="1637" t="s">
        <v>2375</v>
      </c>
      <c r="C34" s="1637"/>
      <c r="D34" s="1637"/>
      <c r="E34" s="1637"/>
      <c r="F34" s="1637"/>
      <c r="G34" s="1262"/>
      <c r="H34" s="1262"/>
    </row>
    <row r="35" spans="2:15" s="624" customFormat="1" ht="29.55" customHeight="1" x14ac:dyDescent="0.3">
      <c r="B35" s="1638" t="s">
        <v>3200</v>
      </c>
      <c r="C35" s="1638"/>
      <c r="D35" s="1638"/>
      <c r="E35" s="1638"/>
      <c r="F35" s="1638"/>
      <c r="G35" s="1262"/>
      <c r="H35" s="1262"/>
    </row>
    <row r="36" spans="2:15" ht="13.8" x14ac:dyDescent="0.25">
      <c r="B36" s="1262"/>
      <c r="C36" s="1262"/>
      <c r="D36" s="1262"/>
      <c r="E36" s="1262"/>
      <c r="F36" s="1262"/>
      <c r="G36" s="1262"/>
      <c r="H36" s="1262"/>
      <c r="J36" s="395"/>
      <c r="K36" s="395"/>
      <c r="N36" s="395"/>
      <c r="O36" s="395"/>
    </row>
    <row r="37" spans="2:15" ht="16.05" customHeight="1" x14ac:dyDescent="0.3">
      <c r="B37" s="1660" t="s">
        <v>2313</v>
      </c>
      <c r="C37" s="1661"/>
      <c r="D37" s="397"/>
      <c r="E37" s="412"/>
      <c r="H37" s="397"/>
      <c r="I37" s="412"/>
      <c r="K37" s="395"/>
      <c r="L37" s="429"/>
      <c r="M37" s="429"/>
    </row>
    <row r="38" spans="2:15" x14ac:dyDescent="0.3">
      <c r="B38" s="1648" t="s">
        <v>3178</v>
      </c>
      <c r="C38" s="1649"/>
      <c r="D38" s="430"/>
      <c r="E38" s="1657"/>
      <c r="F38" s="431"/>
      <c r="G38" s="432"/>
      <c r="H38" s="397"/>
      <c r="I38" s="433"/>
      <c r="J38" s="433"/>
      <c r="K38" s="433"/>
      <c r="L38" s="433"/>
      <c r="M38" s="433"/>
    </row>
    <row r="39" spans="2:15" x14ac:dyDescent="0.3">
      <c r="B39" s="1645" t="s">
        <v>3179</v>
      </c>
      <c r="C39" s="1646"/>
      <c r="D39" s="430"/>
      <c r="E39" s="1657"/>
      <c r="F39" s="431"/>
      <c r="G39" s="432"/>
      <c r="H39" s="397"/>
      <c r="I39" s="434"/>
      <c r="J39" s="432"/>
      <c r="K39" s="425"/>
      <c r="L39" s="432"/>
      <c r="M39" s="435"/>
    </row>
    <row r="40" spans="2:15" ht="17.25" customHeight="1" x14ac:dyDescent="0.3">
      <c r="B40" s="1645" t="s">
        <v>3180</v>
      </c>
      <c r="C40" s="1646"/>
      <c r="D40" s="430"/>
      <c r="E40" s="1657"/>
      <c r="F40" s="431"/>
      <c r="G40" s="432"/>
      <c r="H40" s="397"/>
      <c r="I40" s="434"/>
      <c r="J40" s="432"/>
      <c r="K40" s="425"/>
      <c r="L40" s="432"/>
      <c r="M40" s="435"/>
    </row>
    <row r="41" spans="2:15" x14ac:dyDescent="0.3">
      <c r="B41" s="1645" t="s">
        <v>3181</v>
      </c>
      <c r="C41" s="1646"/>
      <c r="D41" s="430"/>
      <c r="E41" s="1657"/>
      <c r="F41" s="436"/>
      <c r="G41" s="432"/>
      <c r="H41" s="397"/>
      <c r="I41" s="434"/>
      <c r="J41" s="432"/>
      <c r="K41" s="425"/>
      <c r="L41" s="432"/>
      <c r="M41" s="435"/>
    </row>
    <row r="42" spans="2:15" x14ac:dyDescent="0.3">
      <c r="B42" s="1645" t="s">
        <v>3182</v>
      </c>
      <c r="C42" s="1646"/>
      <c r="D42" s="430"/>
      <c r="E42" s="1657"/>
      <c r="F42" s="436"/>
      <c r="G42" s="432"/>
      <c r="H42" s="397"/>
      <c r="I42" s="434"/>
      <c r="J42" s="432"/>
      <c r="K42" s="425"/>
      <c r="L42" s="432"/>
      <c r="M42" s="435"/>
    </row>
    <row r="43" spans="2:15" x14ac:dyDescent="0.3">
      <c r="B43" s="1645" t="s">
        <v>3183</v>
      </c>
      <c r="C43" s="1646"/>
      <c r="D43" s="430"/>
      <c r="E43" s="1657"/>
      <c r="F43" s="436"/>
      <c r="G43" s="432"/>
      <c r="H43" s="397"/>
      <c r="I43" s="434"/>
      <c r="J43" s="432"/>
      <c r="K43" s="425"/>
      <c r="L43" s="432"/>
      <c r="M43" s="435"/>
    </row>
    <row r="44" spans="2:15" x14ac:dyDescent="0.3">
      <c r="B44" s="1641" t="s">
        <v>2242</v>
      </c>
      <c r="C44" s="1642"/>
      <c r="D44" s="430"/>
      <c r="E44" s="1657"/>
      <c r="F44" s="436"/>
      <c r="G44" s="432"/>
      <c r="H44" s="397"/>
      <c r="I44" s="434"/>
      <c r="J44" s="432"/>
      <c r="K44" s="437"/>
      <c r="L44" s="432"/>
      <c r="M44" s="435"/>
    </row>
    <row r="45" spans="2:15" x14ac:dyDescent="0.3">
      <c r="B45" s="1641" t="s">
        <v>2243</v>
      </c>
      <c r="C45" s="1642"/>
      <c r="D45" s="430"/>
      <c r="E45" s="1657"/>
      <c r="F45" s="436"/>
      <c r="G45" s="432"/>
      <c r="H45" s="397"/>
      <c r="I45" s="438"/>
      <c r="J45" s="432"/>
      <c r="K45" s="437"/>
      <c r="L45" s="432"/>
      <c r="M45" s="437"/>
    </row>
    <row r="46" spans="2:15" x14ac:dyDescent="0.3">
      <c r="B46" s="1641" t="s">
        <v>2244</v>
      </c>
      <c r="C46" s="1642"/>
      <c r="D46" s="430"/>
      <c r="E46" s="1657"/>
      <c r="F46" s="436"/>
      <c r="G46" s="432"/>
      <c r="H46" s="397"/>
      <c r="J46" s="397"/>
      <c r="K46" s="395"/>
    </row>
    <row r="47" spans="2:15" x14ac:dyDescent="0.3">
      <c r="B47" s="1641" t="s">
        <v>2245</v>
      </c>
      <c r="C47" s="1642"/>
      <c r="D47" s="430"/>
      <c r="E47" s="1657"/>
      <c r="F47" s="436"/>
      <c r="G47" s="432"/>
      <c r="H47" s="397"/>
      <c r="I47" s="439"/>
      <c r="J47" s="395"/>
      <c r="K47" s="395"/>
    </row>
    <row r="48" spans="2:15" x14ac:dyDescent="0.3">
      <c r="B48" s="1641" t="s">
        <v>2246</v>
      </c>
      <c r="C48" s="1642"/>
      <c r="D48" s="430"/>
      <c r="E48" s="440"/>
      <c r="F48" s="441"/>
      <c r="G48" s="442"/>
      <c r="H48" s="397"/>
      <c r="I48" s="413"/>
      <c r="J48" s="443"/>
      <c r="K48" s="443"/>
      <c r="L48" s="413"/>
      <c r="M48" s="413"/>
    </row>
    <row r="49" spans="2:15" x14ac:dyDescent="0.3">
      <c r="B49" s="1641" t="s">
        <v>2247</v>
      </c>
      <c r="C49" s="1642"/>
      <c r="D49" s="430"/>
      <c r="E49" s="440"/>
      <c r="F49" s="441"/>
      <c r="G49" s="442"/>
      <c r="H49" s="397"/>
      <c r="I49" s="413"/>
      <c r="J49" s="443"/>
      <c r="K49" s="443"/>
      <c r="L49" s="413"/>
      <c r="M49" s="413"/>
    </row>
    <row r="50" spans="2:15" x14ac:dyDescent="0.3">
      <c r="B50" s="1641" t="s">
        <v>2248</v>
      </c>
      <c r="C50" s="1642"/>
      <c r="D50" s="430"/>
      <c r="E50" s="440"/>
      <c r="F50" s="441"/>
      <c r="G50" s="442"/>
      <c r="H50" s="397"/>
      <c r="I50" s="413"/>
      <c r="J50" s="443"/>
      <c r="K50" s="443"/>
      <c r="L50" s="413"/>
      <c r="M50" s="413"/>
    </row>
    <row r="51" spans="2:15" x14ac:dyDescent="0.3">
      <c r="B51" s="1641" t="s">
        <v>2249</v>
      </c>
      <c r="C51" s="1642"/>
      <c r="D51" s="430"/>
      <c r="E51" s="440"/>
      <c r="F51" s="441"/>
      <c r="G51" s="442"/>
      <c r="H51" s="397"/>
      <c r="I51" s="413"/>
      <c r="J51" s="443"/>
      <c r="K51" s="443"/>
      <c r="L51" s="413"/>
      <c r="M51" s="413"/>
    </row>
    <row r="52" spans="2:15" x14ac:dyDescent="0.3">
      <c r="B52" s="1641" t="s">
        <v>2250</v>
      </c>
      <c r="C52" s="1642"/>
      <c r="D52" s="430"/>
      <c r="E52" s="440"/>
      <c r="F52" s="441"/>
      <c r="G52" s="442"/>
      <c r="H52" s="397"/>
      <c r="I52" s="413"/>
      <c r="J52" s="443"/>
      <c r="K52" s="443"/>
      <c r="L52" s="413"/>
      <c r="M52" s="413"/>
    </row>
    <row r="53" spans="2:15" x14ac:dyDescent="0.3">
      <c r="B53" s="1641" t="s">
        <v>2251</v>
      </c>
      <c r="C53" s="1642"/>
      <c r="D53" s="430"/>
      <c r="E53" s="440"/>
      <c r="F53" s="441"/>
      <c r="G53" s="442"/>
      <c r="H53" s="397"/>
      <c r="I53" s="413"/>
      <c r="J53" s="443"/>
      <c r="K53" s="443"/>
      <c r="L53" s="413"/>
      <c r="M53" s="413"/>
    </row>
    <row r="54" spans="2:15" x14ac:dyDescent="0.3">
      <c r="B54" s="1641" t="s">
        <v>2252</v>
      </c>
      <c r="C54" s="1642"/>
      <c r="D54" s="430"/>
      <c r="E54" s="440"/>
      <c r="F54" s="441"/>
      <c r="G54" s="442"/>
      <c r="H54" s="397"/>
      <c r="I54" s="413"/>
      <c r="J54" s="443"/>
      <c r="K54" s="443"/>
      <c r="L54" s="413"/>
      <c r="M54" s="413"/>
    </row>
    <row r="55" spans="2:15" x14ac:dyDescent="0.3">
      <c r="B55" s="1641" t="s">
        <v>2253</v>
      </c>
      <c r="C55" s="1642"/>
      <c r="D55" s="430"/>
      <c r="E55" s="440"/>
      <c r="F55" s="441"/>
      <c r="G55" s="442"/>
      <c r="H55" s="397"/>
      <c r="I55" s="413"/>
      <c r="J55" s="443"/>
      <c r="K55" s="443"/>
      <c r="L55" s="413"/>
      <c r="M55" s="413"/>
    </row>
    <row r="56" spans="2:15" x14ac:dyDescent="0.3">
      <c r="B56" s="1641" t="s">
        <v>2254</v>
      </c>
      <c r="C56" s="1642"/>
      <c r="D56" s="430"/>
      <c r="E56" s="440"/>
      <c r="F56" s="441"/>
      <c r="G56" s="442"/>
      <c r="H56" s="397"/>
      <c r="I56" s="413"/>
      <c r="J56" s="443"/>
      <c r="K56" s="443"/>
      <c r="L56" s="413"/>
      <c r="M56" s="413"/>
    </row>
    <row r="57" spans="2:15" x14ac:dyDescent="0.3">
      <c r="B57" s="1639" t="s">
        <v>2255</v>
      </c>
      <c r="C57" s="1640"/>
      <c r="D57" s="430"/>
      <c r="E57" s="440"/>
      <c r="H57" s="397"/>
      <c r="I57" s="413"/>
      <c r="J57" s="443"/>
      <c r="K57" s="443"/>
      <c r="L57" s="413"/>
      <c r="M57" s="413"/>
    </row>
    <row r="58" spans="2:15" x14ac:dyDescent="0.3">
      <c r="B58" s="444"/>
      <c r="C58" s="445"/>
      <c r="D58" s="445"/>
      <c r="E58" s="446"/>
      <c r="F58" s="447"/>
      <c r="G58" s="447"/>
      <c r="H58" s="411"/>
      <c r="I58" s="448"/>
      <c r="J58" s="449"/>
      <c r="K58" s="450"/>
      <c r="L58" s="413"/>
      <c r="M58" s="413"/>
    </row>
    <row r="59" spans="2:15" ht="17.399999999999999" x14ac:dyDescent="0.3">
      <c r="B59" s="798" t="s">
        <v>2350</v>
      </c>
      <c r="C59" s="799"/>
      <c r="D59" s="451"/>
      <c r="E59" s="452"/>
      <c r="F59" s="453"/>
      <c r="G59" s="453"/>
      <c r="H59" s="403"/>
      <c r="I59" s="454"/>
      <c r="J59" s="455"/>
      <c r="K59" s="456"/>
      <c r="L59" s="454"/>
      <c r="M59" s="454"/>
      <c r="N59" s="428"/>
      <c r="O59" s="428"/>
    </row>
    <row r="60" spans="2:15" s="624" customFormat="1" x14ac:dyDescent="0.3">
      <c r="B60" s="1632" t="s">
        <v>3177</v>
      </c>
      <c r="C60" s="1632"/>
      <c r="D60" s="1632"/>
      <c r="E60" s="1632"/>
      <c r="F60" s="1214"/>
      <c r="G60" s="1214"/>
      <c r="H60" s="1209"/>
      <c r="I60" s="838"/>
      <c r="J60" s="849"/>
      <c r="K60" s="850"/>
      <c r="L60" s="838"/>
      <c r="M60" s="838"/>
      <c r="N60" s="851"/>
      <c r="O60" s="851"/>
    </row>
    <row r="61" spans="2:15" s="624" customFormat="1" x14ac:dyDescent="0.3">
      <c r="B61" s="1636" t="s">
        <v>2404</v>
      </c>
      <c r="C61" s="1636"/>
      <c r="D61" s="1636"/>
      <c r="E61" s="1636"/>
      <c r="F61" s="1636"/>
      <c r="G61" s="1636"/>
      <c r="H61" s="1636"/>
      <c r="I61" s="838"/>
      <c r="J61" s="849"/>
      <c r="K61" s="850"/>
      <c r="L61" s="838"/>
      <c r="M61" s="838"/>
      <c r="N61" s="851"/>
      <c r="O61" s="851"/>
    </row>
    <row r="62" spans="2:15" x14ac:dyDescent="0.3">
      <c r="C62" s="396"/>
      <c r="D62" s="396"/>
      <c r="E62" s="446"/>
      <c r="F62" s="447"/>
      <c r="G62" s="447"/>
      <c r="I62" s="413"/>
      <c r="J62" s="443"/>
      <c r="K62" s="450"/>
      <c r="L62" s="413"/>
      <c r="M62" s="413"/>
    </row>
    <row r="63" spans="2:15" x14ac:dyDescent="0.3">
      <c r="B63" s="1633" t="s">
        <v>2163</v>
      </c>
      <c r="C63" s="1634"/>
      <c r="D63" s="396"/>
      <c r="E63" s="446"/>
      <c r="F63" s="447"/>
      <c r="G63" s="447"/>
      <c r="I63" s="413"/>
      <c r="J63" s="443"/>
      <c r="K63" s="450"/>
      <c r="L63" s="413"/>
      <c r="M63" s="413"/>
    </row>
    <row r="64" spans="2:15" x14ac:dyDescent="0.3">
      <c r="B64" s="873" t="s">
        <v>43</v>
      </c>
      <c r="C64" s="874" t="s">
        <v>2164</v>
      </c>
      <c r="D64" s="423"/>
      <c r="E64" s="446"/>
      <c r="F64" s="447"/>
      <c r="G64" s="447"/>
      <c r="I64" s="413"/>
      <c r="J64" s="443"/>
      <c r="K64" s="450"/>
      <c r="L64" s="413"/>
      <c r="M64" s="413"/>
    </row>
    <row r="65" spans="2:13" x14ac:dyDescent="0.3">
      <c r="B65" s="869" t="s">
        <v>44</v>
      </c>
      <c r="C65" s="875" t="s">
        <v>2165</v>
      </c>
      <c r="D65" s="423"/>
      <c r="I65" s="413"/>
      <c r="J65" s="443"/>
      <c r="K65" s="443"/>
      <c r="L65" s="413"/>
      <c r="M65" s="413"/>
    </row>
    <row r="66" spans="2:13" x14ac:dyDescent="0.3">
      <c r="B66" s="876" t="s">
        <v>45</v>
      </c>
      <c r="C66" s="877" t="s">
        <v>2166</v>
      </c>
      <c r="D66" s="423"/>
      <c r="I66" s="413"/>
      <c r="J66" s="443"/>
      <c r="K66" s="443"/>
      <c r="L66" s="413"/>
      <c r="M66" s="413"/>
    </row>
    <row r="67" spans="2:13" x14ac:dyDescent="0.3">
      <c r="B67" s="396"/>
      <c r="C67" s="446"/>
      <c r="D67" s="446"/>
      <c r="I67" s="413"/>
      <c r="J67" s="443"/>
      <c r="K67" s="443"/>
      <c r="L67" s="413"/>
      <c r="M67" s="413"/>
    </row>
    <row r="68" spans="2:13" x14ac:dyDescent="0.3">
      <c r="C68" s="399"/>
      <c r="D68" s="399"/>
      <c r="E68" s="399"/>
      <c r="F68" s="446"/>
      <c r="G68" s="446"/>
      <c r="I68" s="413"/>
      <c r="J68" s="443"/>
      <c r="K68" s="443"/>
      <c r="L68" s="413"/>
      <c r="M68" s="413"/>
    </row>
    <row r="69" spans="2:13" x14ac:dyDescent="0.3">
      <c r="B69" s="457"/>
      <c r="C69" s="399"/>
      <c r="D69" s="399"/>
      <c r="E69" s="458"/>
      <c r="F69" s="446"/>
      <c r="G69" s="446"/>
      <c r="I69" s="413"/>
      <c r="J69" s="443"/>
      <c r="K69" s="443"/>
      <c r="L69" s="413"/>
      <c r="M69" s="413"/>
    </row>
    <row r="70" spans="2:13" x14ac:dyDescent="0.3">
      <c r="B70" s="457"/>
      <c r="C70" s="396"/>
      <c r="D70" s="396"/>
      <c r="E70" s="429"/>
      <c r="I70" s="413"/>
      <c r="J70" s="443"/>
      <c r="K70" s="443"/>
      <c r="L70" s="413"/>
      <c r="M70" s="413"/>
    </row>
    <row r="71" spans="2:13" x14ac:dyDescent="0.3">
      <c r="B71" s="395" t="s">
        <v>13</v>
      </c>
      <c r="C71" s="459"/>
      <c r="D71" s="459"/>
      <c r="I71" s="413"/>
      <c r="J71" s="443"/>
      <c r="K71" s="443"/>
      <c r="L71" s="413"/>
      <c r="M71" s="413"/>
    </row>
    <row r="72" spans="2:13" x14ac:dyDescent="0.3">
      <c r="C72" s="412"/>
      <c r="D72" s="412"/>
      <c r="I72" s="413"/>
      <c r="J72" s="443"/>
      <c r="K72" s="443"/>
      <c r="L72" s="413"/>
      <c r="M72" s="413"/>
    </row>
    <row r="73" spans="2:13" x14ac:dyDescent="0.3">
      <c r="B73" s="429"/>
      <c r="C73" s="460"/>
      <c r="D73" s="460"/>
      <c r="I73" s="413"/>
      <c r="J73" s="443"/>
      <c r="K73" s="443"/>
      <c r="L73" s="413"/>
      <c r="M73" s="413"/>
    </row>
    <row r="74" spans="2:13" x14ac:dyDescent="0.3">
      <c r="B74" s="461"/>
      <c r="E74" s="439"/>
      <c r="I74" s="413"/>
      <c r="J74" s="443"/>
      <c r="K74" s="443"/>
      <c r="L74" s="413"/>
      <c r="M74" s="413"/>
    </row>
    <row r="75" spans="2:13" x14ac:dyDescent="0.3">
      <c r="B75" s="461"/>
      <c r="C75" s="459"/>
      <c r="D75" s="459"/>
      <c r="E75" s="462"/>
      <c r="I75" s="463"/>
      <c r="J75" s="413"/>
      <c r="K75" s="413"/>
      <c r="L75" s="413"/>
      <c r="M75" s="413"/>
    </row>
    <row r="76" spans="2:13" x14ac:dyDescent="0.3">
      <c r="B76" s="461"/>
      <c r="C76" s="464"/>
      <c r="D76" s="465"/>
      <c r="J76" s="395"/>
      <c r="K76" s="395"/>
    </row>
    <row r="77" spans="2:13" x14ac:dyDescent="0.3">
      <c r="B77" s="429"/>
      <c r="C77" s="439"/>
      <c r="D77" s="439"/>
      <c r="J77" s="395"/>
      <c r="K77" s="395"/>
    </row>
    <row r="78" spans="2:13" x14ac:dyDescent="0.3">
      <c r="B78" s="458"/>
      <c r="C78" s="439"/>
      <c r="D78" s="439"/>
      <c r="J78" s="395"/>
      <c r="K78" s="395"/>
    </row>
    <row r="79" spans="2:13" x14ac:dyDescent="0.3">
      <c r="B79" s="466"/>
      <c r="C79" s="439"/>
      <c r="D79" s="439"/>
      <c r="J79" s="395"/>
      <c r="K79" s="395"/>
    </row>
    <row r="80" spans="2:13" x14ac:dyDescent="0.3">
      <c r="B80" s="399"/>
      <c r="C80" s="439"/>
      <c r="D80" s="439"/>
      <c r="J80" s="395"/>
      <c r="K80" s="395"/>
    </row>
    <row r="81" spans="2:15" x14ac:dyDescent="0.3">
      <c r="B81" s="399"/>
      <c r="C81" s="462"/>
      <c r="D81" s="462"/>
      <c r="J81" s="395"/>
      <c r="K81" s="395"/>
    </row>
    <row r="82" spans="2:15" x14ac:dyDescent="0.3">
      <c r="B82" s="399"/>
      <c r="J82" s="395"/>
      <c r="K82" s="395"/>
    </row>
    <row r="83" spans="2:15" x14ac:dyDescent="0.3">
      <c r="B83" s="399"/>
      <c r="C83" s="458"/>
      <c r="D83" s="458"/>
      <c r="E83" s="458"/>
      <c r="I83" s="458"/>
      <c r="J83" s="395"/>
      <c r="K83" s="395"/>
    </row>
    <row r="84" spans="2:15" s="624" customFormat="1" ht="24" customHeight="1" x14ac:dyDescent="0.3">
      <c r="I84" s="1207"/>
      <c r="N84" s="851"/>
      <c r="O84" s="851"/>
    </row>
    <row r="85" spans="2:15" s="624" customFormat="1" ht="52.05" customHeight="1" x14ac:dyDescent="0.3">
      <c r="I85" s="1208"/>
      <c r="N85" s="851"/>
      <c r="O85" s="851"/>
    </row>
    <row r="86" spans="2:15" ht="16.05" customHeight="1" x14ac:dyDescent="0.3">
      <c r="I86" s="460"/>
      <c r="J86" s="395"/>
      <c r="K86" s="395"/>
    </row>
    <row r="87" spans="2:15" ht="16.05" customHeight="1" x14ac:dyDescent="0.3">
      <c r="I87" s="460"/>
      <c r="J87" s="395"/>
      <c r="K87" s="395"/>
    </row>
    <row r="88" spans="2:15" ht="16.05" customHeight="1" x14ac:dyDescent="0.3">
      <c r="I88" s="460"/>
      <c r="J88" s="395"/>
      <c r="K88" s="395"/>
    </row>
    <row r="89" spans="2:15" ht="16.05" customHeight="1" x14ac:dyDescent="0.3">
      <c r="I89" s="460"/>
      <c r="J89" s="395"/>
      <c r="K89" s="395"/>
    </row>
    <row r="90" spans="2:15" x14ac:dyDescent="0.3">
      <c r="B90" s="396"/>
      <c r="C90" s="396"/>
      <c r="D90" s="396"/>
      <c r="J90" s="395"/>
      <c r="K90" s="395"/>
    </row>
    <row r="91" spans="2:15" x14ac:dyDescent="0.3">
      <c r="B91" s="396"/>
      <c r="C91" s="396"/>
      <c r="D91" s="396"/>
      <c r="J91" s="395"/>
      <c r="K91" s="395"/>
    </row>
    <row r="92" spans="2:15" x14ac:dyDescent="0.3">
      <c r="B92" s="396"/>
      <c r="C92" s="467"/>
      <c r="D92" s="467"/>
      <c r="E92" s="467"/>
      <c r="F92" s="467"/>
      <c r="G92" s="467"/>
      <c r="H92" s="397"/>
      <c r="I92" s="397"/>
      <c r="J92" s="395"/>
      <c r="K92" s="395"/>
    </row>
    <row r="93" spans="2:15" x14ac:dyDescent="0.3">
      <c r="B93" s="396"/>
      <c r="C93" s="468"/>
      <c r="D93" s="468"/>
      <c r="E93" s="468"/>
      <c r="F93" s="468"/>
      <c r="G93" s="468"/>
      <c r="H93" s="468"/>
      <c r="I93" s="468"/>
      <c r="J93" s="395"/>
      <c r="K93" s="395"/>
    </row>
    <row r="94" spans="2:15" x14ac:dyDescent="0.3">
      <c r="B94" s="396"/>
      <c r="C94" s="396"/>
      <c r="D94" s="396"/>
      <c r="E94" s="399"/>
      <c r="J94" s="395"/>
      <c r="K94" s="395"/>
    </row>
    <row r="95" spans="2:15" x14ac:dyDescent="0.3">
      <c r="B95" s="396"/>
      <c r="C95" s="396"/>
      <c r="D95" s="396"/>
      <c r="E95" s="399"/>
      <c r="J95" s="395"/>
      <c r="K95" s="395"/>
    </row>
    <row r="96" spans="2:15" x14ac:dyDescent="0.3">
      <c r="B96" s="396"/>
      <c r="C96" s="396"/>
      <c r="D96" s="396"/>
      <c r="J96" s="395"/>
      <c r="K96" s="395"/>
    </row>
    <row r="97" spans="3:15" x14ac:dyDescent="0.3">
      <c r="C97" s="396"/>
      <c r="D97" s="396"/>
      <c r="J97" s="395"/>
      <c r="K97" s="395"/>
    </row>
    <row r="98" spans="3:15" x14ac:dyDescent="0.3">
      <c r="C98" s="396"/>
      <c r="D98" s="396"/>
      <c r="J98" s="395"/>
      <c r="K98" s="395"/>
    </row>
    <row r="99" spans="3:15" x14ac:dyDescent="0.3">
      <c r="C99" s="396"/>
      <c r="D99" s="396"/>
      <c r="J99" s="395"/>
      <c r="K99" s="395"/>
    </row>
    <row r="100" spans="3:15" ht="13.8" x14ac:dyDescent="0.25">
      <c r="C100" s="396"/>
      <c r="D100" s="396"/>
      <c r="J100" s="395"/>
      <c r="K100" s="395"/>
      <c r="N100" s="395"/>
      <c r="O100" s="395"/>
    </row>
    <row r="101" spans="3:15" ht="13.8" x14ac:dyDescent="0.25">
      <c r="C101" s="396"/>
      <c r="D101" s="396"/>
      <c r="J101" s="395"/>
      <c r="K101" s="395"/>
      <c r="N101" s="395"/>
      <c r="O101" s="395"/>
    </row>
    <row r="102" spans="3:15" ht="13.8" x14ac:dyDescent="0.25">
      <c r="N102" s="395"/>
      <c r="O102" s="395"/>
    </row>
    <row r="103" spans="3:15" ht="13.8" x14ac:dyDescent="0.25">
      <c r="N103" s="395"/>
      <c r="O103" s="395"/>
    </row>
    <row r="104" spans="3:15" ht="13.8" x14ac:dyDescent="0.25">
      <c r="N104" s="395"/>
      <c r="O104" s="395"/>
    </row>
    <row r="105" spans="3:15" ht="13.8" x14ac:dyDescent="0.25">
      <c r="N105" s="395"/>
      <c r="O105" s="395"/>
    </row>
    <row r="106" spans="3:15" ht="13.8" x14ac:dyDescent="0.25">
      <c r="N106" s="395"/>
      <c r="O106" s="395"/>
    </row>
    <row r="107" spans="3:15" ht="13.8" x14ac:dyDescent="0.25">
      <c r="N107" s="395"/>
      <c r="O107" s="395"/>
    </row>
    <row r="108" spans="3:15" ht="13.8" x14ac:dyDescent="0.25">
      <c r="N108" s="395"/>
      <c r="O108" s="395"/>
    </row>
    <row r="109" spans="3:15" ht="13.8" x14ac:dyDescent="0.25">
      <c r="N109" s="395"/>
      <c r="O109" s="395"/>
    </row>
    <row r="110" spans="3:15" ht="13.8" x14ac:dyDescent="0.25">
      <c r="N110" s="395"/>
      <c r="O110" s="395"/>
    </row>
    <row r="111" spans="3:15" ht="13.8" x14ac:dyDescent="0.25">
      <c r="N111" s="395"/>
      <c r="O111" s="395"/>
    </row>
    <row r="112" spans="3:15" ht="13.8" x14ac:dyDescent="0.25">
      <c r="N112" s="395"/>
      <c r="O112" s="395"/>
    </row>
    <row r="113" spans="14:15" ht="13.8" x14ac:dyDescent="0.25">
      <c r="N113" s="395"/>
      <c r="O113" s="395"/>
    </row>
    <row r="114" spans="14:15" ht="13.8" x14ac:dyDescent="0.25">
      <c r="N114" s="395"/>
      <c r="O114" s="395"/>
    </row>
    <row r="115" spans="14:15" ht="13.8" x14ac:dyDescent="0.25">
      <c r="N115" s="395"/>
      <c r="O115" s="395"/>
    </row>
  </sheetData>
  <sheetProtection sort="0" pivotTables="0"/>
  <mergeCells count="34">
    <mergeCell ref="B52:C52"/>
    <mergeCell ref="B51:C51"/>
    <mergeCell ref="B50:C50"/>
    <mergeCell ref="B49:C49"/>
    <mergeCell ref="B48:C48"/>
    <mergeCell ref="B38:C38"/>
    <mergeCell ref="B47:C47"/>
    <mergeCell ref="B46:C46"/>
    <mergeCell ref="D2:F2"/>
    <mergeCell ref="E17:F18"/>
    <mergeCell ref="E38:E47"/>
    <mergeCell ref="B16:C16"/>
    <mergeCell ref="B37:C37"/>
    <mergeCell ref="B45:C45"/>
    <mergeCell ref="B44:C44"/>
    <mergeCell ref="B43:C43"/>
    <mergeCell ref="B42:C42"/>
    <mergeCell ref="B41:C41"/>
    <mergeCell ref="B60:E60"/>
    <mergeCell ref="B63:C63"/>
    <mergeCell ref="B7:F7"/>
    <mergeCell ref="B61:H61"/>
    <mergeCell ref="B34:F34"/>
    <mergeCell ref="B35:F35"/>
    <mergeCell ref="B57:C57"/>
    <mergeCell ref="B56:C56"/>
    <mergeCell ref="B55:C55"/>
    <mergeCell ref="B53:C53"/>
    <mergeCell ref="B8:E8"/>
    <mergeCell ref="B10:E10"/>
    <mergeCell ref="B54:C54"/>
    <mergeCell ref="B40:C40"/>
    <mergeCell ref="C33:F33"/>
    <mergeCell ref="B39:C39"/>
  </mergeCells>
  <conditionalFormatting sqref="B33:O33 B34:B35 I34:O36 B37:O37 B38 D38:O38 B39:O59 F60:O60 B60:B61 I61:O61 B62:O62 B63 D63:O63 B64:O77">
    <cfRule type="expression" dxfId="173" priority="2">
      <formula>OR($C$19="Select Entity",$C$19="TA Digital")</formula>
    </cfRule>
  </conditionalFormatting>
  <conditionalFormatting sqref="C64:D66">
    <cfRule type="expression" dxfId="172" priority="66">
      <formula>#REF!="Canada"</formula>
    </cfRule>
    <cfRule type="expression" dxfId="171" priority="67">
      <formula>#REF!="India"</formula>
    </cfRule>
    <cfRule type="expression" dxfId="170" priority="68">
      <formula>#REF!="US"</formula>
    </cfRule>
    <cfRule type="expression" dxfId="169" priority="69">
      <formula>#REF!="UK"</formula>
    </cfRule>
  </conditionalFormatting>
  <conditionalFormatting sqref="D32">
    <cfRule type="expression" dxfId="168" priority="15">
      <formula>#REF!="Canada"</formula>
    </cfRule>
    <cfRule type="expression" dxfId="167" priority="16">
      <formula>#REF!="India"</formula>
    </cfRule>
    <cfRule type="expression" dxfId="166" priority="17">
      <formula>#REF!="US"</formula>
    </cfRule>
    <cfRule type="expression" dxfId="165" priority="18">
      <formula>#REF!="UK"</formula>
    </cfRule>
  </conditionalFormatting>
  <conditionalFormatting sqref="E16">
    <cfRule type="expression" dxfId="164" priority="3" stopIfTrue="1">
      <formula>OR($C$19="Select Entity",$C$19="Credera US")</formula>
    </cfRule>
  </conditionalFormatting>
  <conditionalFormatting sqref="E17:F22 B31:C32">
    <cfRule type="expression" dxfId="163" priority="10">
      <formula>OR($C$19="Credera US",$C$19="Select Entity")</formula>
    </cfRule>
  </conditionalFormatting>
  <conditionalFormatting sqref="F38:G47">
    <cfRule type="expression" dxfId="162" priority="27">
      <formula>#REF!="Canada"</formula>
    </cfRule>
    <cfRule type="expression" dxfId="161" priority="28">
      <formula>#REF!="India"</formula>
    </cfRule>
    <cfRule type="expression" dxfId="160" priority="29">
      <formula>#REF!="US"</formula>
    </cfRule>
    <cfRule type="expression" dxfId="159" priority="30">
      <formula>#REF!="UK"</formula>
    </cfRule>
  </conditionalFormatting>
  <conditionalFormatting sqref="G17:G19">
    <cfRule type="expression" dxfId="158" priority="74">
      <formula>#REF!="Canada"</formula>
    </cfRule>
    <cfRule type="expression" dxfId="157" priority="75">
      <formula>#REF!="India"</formula>
    </cfRule>
    <cfRule type="expression" dxfId="156" priority="76">
      <formula>#REF!="US"</formula>
    </cfRule>
    <cfRule type="expression" dxfId="155" priority="77">
      <formula>#REF!="UK"</formula>
    </cfRule>
  </conditionalFormatting>
  <conditionalFormatting sqref="J39:J45">
    <cfRule type="expression" dxfId="154" priority="23">
      <formula>#REF!="Canada"</formula>
    </cfRule>
    <cfRule type="expression" dxfId="153" priority="24">
      <formula>#REF!="India"</formula>
    </cfRule>
    <cfRule type="expression" dxfId="152" priority="25">
      <formula>#REF!="US"</formula>
    </cfRule>
    <cfRule type="expression" dxfId="151" priority="26">
      <formula>#REF!="UK"</formula>
    </cfRule>
  </conditionalFormatting>
  <conditionalFormatting sqref="L39:L45">
    <cfRule type="expression" dxfId="150" priority="19">
      <formula>#REF!="Canada"</formula>
    </cfRule>
    <cfRule type="expression" dxfId="149" priority="20">
      <formula>#REF!="India"</formula>
    </cfRule>
    <cfRule type="expression" dxfId="148" priority="21">
      <formula>#REF!="US"</formula>
    </cfRule>
    <cfRule type="expression" dxfId="147" priority="22">
      <formula>#REF!="UK"</formula>
    </cfRule>
  </conditionalFormatting>
  <conditionalFormatting sqref="M39:M44">
    <cfRule type="expression" dxfId="146" priority="62">
      <formula>#REF!="Canada"</formula>
    </cfRule>
    <cfRule type="expression" dxfId="145" priority="63">
      <formula>#REF!="India"</formula>
    </cfRule>
    <cfRule type="expression" dxfId="144" priority="64">
      <formula>#REF!="US"</formula>
    </cfRule>
    <cfRule type="expression" dxfId="143" priority="65">
      <formula>#REF!="UK"</formula>
    </cfRule>
  </conditionalFormatting>
  <dataValidations count="1">
    <dataValidation type="list" allowBlank="1" showInputMessage="1" showErrorMessage="1" sqref="C26" xr:uid="{81D4C549-21D1-4E49-A654-FB54508A3260}">
      <formula1>ClientRateCards</formula1>
    </dataValidation>
  </dataValidations>
  <pageMargins left="0.7" right="0.7" top="0.75" bottom="0.75" header="0.3" footer="0.3"/>
  <pageSetup orientation="portrait" r:id="rId1"/>
  <headerFooter>
    <oddFooter>&amp;C_x000D_&amp;1#&amp;"Calibri"&amp;10&amp;K000000 Confidential - Not for Public Consumption or Distribution</oddFooter>
  </headerFooter>
  <legacyDrawing r:id="rId2"/>
  <extLst>
    <ext xmlns:x14="http://schemas.microsoft.com/office/spreadsheetml/2009/9/main" uri="{CCE6A557-97BC-4b89-ADB6-D9C93CAAB3DF}">
      <x14:dataValidations xmlns:xm="http://schemas.microsoft.com/office/excel/2006/main" count="14">
        <x14:dataValidation type="list" allowBlank="1" showInputMessage="1" showErrorMessage="1" xr:uid="{207761DC-39D4-E941-ACE2-D7D1FC93FCE9}">
          <x14:formula1>
            <xm:f>'Rates &amp; Drop Downs INT'!$AD$6:$AD$12</xm:f>
          </x14:formula1>
          <xm:sqref>C20</xm:sqref>
        </x14:dataValidation>
        <x14:dataValidation type="list" allowBlank="1" showInputMessage="1" showErrorMessage="1" xr:uid="{52BE490A-C2EB-4428-AD23-565A022DA898}">
          <x14:formula1>
            <xm:f>'Rates &amp; Drop Downs INT'!$AC$6:$AC$9</xm:f>
          </x14:formula1>
          <xm:sqref>C25</xm:sqref>
        </x14:dataValidation>
        <x14:dataValidation type="list" allowBlank="1" showInputMessage="1" showErrorMessage="1" xr:uid="{BA4956AA-E9E4-4061-9914-FFB2C5F470FC}">
          <x14:formula1>
            <xm:f>'Rates &amp; Drop Downs INT'!$Y$6:$Y$10</xm:f>
          </x14:formula1>
          <xm:sqref>C28</xm:sqref>
        </x14:dataValidation>
        <x14:dataValidation type="list" allowBlank="1" showInputMessage="1" showErrorMessage="1" xr:uid="{6874B0B7-A6AA-49F2-B676-223003782091}">
          <x14:formula1>
            <xm:f>'Rates &amp; Drop Downs INT'!$T$6:$T$8</xm:f>
          </x14:formula1>
          <xm:sqref>G19 F21</xm:sqref>
        </x14:dataValidation>
        <x14:dataValidation type="list" allowBlank="1" showInputMessage="1" showErrorMessage="1" xr:uid="{B2B90BD8-4DD8-44D5-99B1-C32F22D9035B}">
          <x14:formula1>
            <xm:f>'Rates &amp; Drop Downs INT'!$Z$6:$Z$10</xm:f>
          </x14:formula1>
          <xm:sqref>G17 F19</xm:sqref>
        </x14:dataValidation>
        <x14:dataValidation type="list" allowBlank="1" showInputMessage="1" showErrorMessage="1" xr:uid="{E5EA2F03-A9E3-496F-92F2-3098F952953E}">
          <x14:formula1>
            <xm:f>'Rates &amp; Drop Downs INT'!$AA$6:$AA$8</xm:f>
          </x14:formula1>
          <xm:sqref>G18 F20</xm:sqref>
        </x14:dataValidation>
        <x14:dataValidation type="list" allowBlank="1" showInputMessage="1" showErrorMessage="1" xr:uid="{F53F9515-1DBC-4D69-A346-5CC3BB4644BC}">
          <x14:formula1>
            <xm:f>'Rates &amp; Drop Downs INT'!$AG$6:$AG$8</xm:f>
          </x14:formula1>
          <xm:sqref>C19</xm:sqref>
        </x14:dataValidation>
        <x14:dataValidation type="list" allowBlank="1" showInputMessage="1" showErrorMessage="1" xr:uid="{FA77A49B-D7F8-4A0E-A70E-8E281B6AA190}">
          <x14:formula1>
            <xm:f>'Complexity Factors'!$B$31:$B$36</xm:f>
          </x14:formula1>
          <xm:sqref>F22</xm:sqref>
        </x14:dataValidation>
        <x14:dataValidation type="list" allowBlank="1" showInputMessage="1" showErrorMessage="1" xr:uid="{0ECF7194-5379-4349-831F-31AE71D54416}">
          <x14:formula1>
            <xm:f>'Rates &amp; Drop Downs INT'!$L$7:$L$18</xm:f>
          </x14:formula1>
          <xm:sqref>C17</xm:sqref>
        </x14:dataValidation>
        <x14:dataValidation type="list" allowBlank="1" showInputMessage="1" showErrorMessage="1" xr:uid="{92451C56-271C-43BE-A6C6-988178DD6413}">
          <x14:formula1>
            <xm:f>'Rates &amp; Drop Downs INT'!$W$6:$W$10</xm:f>
          </x14:formula1>
          <xm:sqref>C30</xm:sqref>
        </x14:dataValidation>
        <x14:dataValidation type="list" allowBlank="1" showInputMessage="1" showErrorMessage="1" xr:uid="{D36EAA0A-6A69-457D-B411-FA8659972AF5}">
          <x14:formula1>
            <xm:f>'Rates &amp; Drop Downs INT'!$BZ$6:$BZ$9</xm:f>
          </x14:formula1>
          <xm:sqref>C21</xm:sqref>
        </x14:dataValidation>
        <x14:dataValidation type="list" allowBlank="1" showInputMessage="1" showErrorMessage="1" xr:uid="{DCA96C6F-5BA0-45AB-97E8-46FE400E8C4F}">
          <x14:formula1>
            <xm:f>'Rates &amp; Drop Downs INT'!$BX$9:$BX$10</xm:f>
          </x14:formula1>
          <xm:sqref>C31</xm:sqref>
        </x14:dataValidation>
        <x14:dataValidation type="list" allowBlank="1" showInputMessage="1" showErrorMessage="1" xr:uid="{369E3ECA-09CB-465F-BB68-EED7B30FE1ED}">
          <x14:formula1>
            <xm:f>'Rates &amp; Drop Downs INT'!$V$6:$V$12</xm:f>
          </x14:formula1>
          <xm:sqref>C24</xm:sqref>
        </x14:dataValidation>
        <x14:dataValidation type="list" allowBlank="1" showInputMessage="1" showErrorMessage="1" xr:uid="{B64414AA-2275-4DF6-AF07-84F3AA587EFE}">
          <x14:formula1>
            <xm:f>'Rates &amp; Drop Downs INT'!$BX$6:$BX$8</xm:f>
          </x14:formula1>
          <xm:sqref>C32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12D5A-88D8-EF4C-8FCD-71BB842088D2}">
  <sheetPr codeName="Sheet17">
    <tabColor rgb="FF92D050"/>
    <pageSetUpPr autoPageBreaks="0"/>
  </sheetPr>
  <dimension ref="A1:DI748"/>
  <sheetViews>
    <sheetView showGridLines="0" topLeftCell="BM1" zoomScale="86" zoomScaleNormal="86" workbookViewId="0">
      <pane ySplit="5" topLeftCell="A6" activePane="bottomLeft" state="frozen"/>
      <selection activeCell="Q1" sqref="Q1"/>
      <selection pane="bottomLeft" activeCell="CF417" sqref="A417:XFD417"/>
    </sheetView>
  </sheetViews>
  <sheetFormatPr defaultColWidth="8.77734375" defaultRowHeight="13.05" customHeight="1" x14ac:dyDescent="0.25"/>
  <cols>
    <col min="1" max="1" width="19.44140625" style="2" customWidth="1"/>
    <col min="2" max="2" width="26.77734375" style="2" customWidth="1"/>
    <col min="3" max="3" width="46.21875" style="2" bestFit="1" customWidth="1"/>
    <col min="4" max="5" width="46.21875" style="2" customWidth="1"/>
    <col min="6" max="6" width="70.44140625" style="2" bestFit="1" customWidth="1"/>
    <col min="7" max="7" width="28.44140625" style="2" bestFit="1" customWidth="1"/>
    <col min="8" max="8" width="16.44140625" style="2" customWidth="1"/>
    <col min="9" max="9" width="15.21875" style="2" bestFit="1" customWidth="1"/>
    <col min="10" max="10" width="15" style="76" customWidth="1"/>
    <col min="11" max="11" width="19.44140625" style="2" customWidth="1"/>
    <col min="12" max="17" width="15" style="2" customWidth="1"/>
    <col min="18" max="18" width="16.77734375" style="2" customWidth="1"/>
    <col min="19" max="19" width="30.44140625" style="2" customWidth="1"/>
    <col min="20" max="20" width="15" style="2" customWidth="1"/>
    <col min="21" max="21" width="16.77734375" style="2" customWidth="1"/>
    <col min="22" max="24" width="35.44140625" style="2" customWidth="1"/>
    <col min="25" max="25" width="12.44140625" style="2" customWidth="1"/>
    <col min="26" max="28" width="8.77734375" style="2" customWidth="1"/>
    <col min="29" max="29" width="18.77734375" style="2" customWidth="1"/>
    <col min="30" max="30" width="17.33203125" style="2" bestFit="1" customWidth="1"/>
    <col min="31" max="31" width="19.44140625" style="2" customWidth="1"/>
    <col min="32" max="42" width="8.77734375" style="2" customWidth="1"/>
    <col min="43" max="45" width="8.77734375" style="2"/>
    <col min="46" max="46" width="9.44140625" style="2" customWidth="1"/>
    <col min="47" max="47" width="11.21875" style="2" bestFit="1" customWidth="1"/>
    <col min="48" max="49" width="28.21875" style="2" customWidth="1"/>
    <col min="50" max="52" width="8.77734375" style="2" customWidth="1"/>
    <col min="53" max="53" width="27.44140625" style="2" bestFit="1" customWidth="1"/>
    <col min="54" max="54" width="12.77734375" style="2" customWidth="1"/>
    <col min="55" max="55" width="8.77734375" style="2" customWidth="1"/>
    <col min="56" max="57" width="11.77734375" style="2" bestFit="1" customWidth="1"/>
    <col min="58" max="58" width="8.77734375" style="2" customWidth="1"/>
    <col min="59" max="59" width="15.77734375" style="2" customWidth="1"/>
    <col min="60" max="60" width="8.77734375" style="2" customWidth="1"/>
    <col min="61" max="64" width="8.77734375" style="2"/>
    <col min="65" max="65" width="17.21875" style="2" bestFit="1" customWidth="1"/>
    <col min="66" max="66" width="11.21875" style="2" bestFit="1" customWidth="1"/>
    <col min="67" max="67" width="13.44140625" style="2" bestFit="1" customWidth="1"/>
    <col min="68" max="68" width="32.77734375" style="2" bestFit="1" customWidth="1"/>
    <col min="69" max="69" width="7.44140625" style="2" bestFit="1" customWidth="1"/>
    <col min="70" max="70" width="8.77734375" style="2" bestFit="1" customWidth="1"/>
    <col min="71" max="71" width="12.21875" style="149" bestFit="1" customWidth="1"/>
    <col min="72" max="72" width="12.21875" style="2" bestFit="1" customWidth="1"/>
    <col min="73" max="84" width="8.77734375" style="2"/>
    <col min="85" max="85" width="23.21875" style="2" bestFit="1" customWidth="1"/>
    <col min="86" max="88" width="23.44140625" style="2" bestFit="1" customWidth="1"/>
    <col min="89" max="89" width="27.44140625" style="2" bestFit="1" customWidth="1"/>
    <col min="90" max="90" width="27.44140625" style="2" customWidth="1"/>
    <col min="91" max="91" width="8.77734375" style="39"/>
    <col min="92" max="92" width="66.6640625" style="2" hidden="1" customWidth="1"/>
    <col min="93" max="93" width="75.21875" style="2" hidden="1" customWidth="1"/>
    <col min="94" max="95" width="15.5546875" style="2" bestFit="1" customWidth="1"/>
    <col min="96" max="96" width="15.77734375" style="2" bestFit="1" customWidth="1"/>
    <col min="97" max="97" width="15.88671875" style="2" bestFit="1" customWidth="1"/>
    <col min="98" max="98" width="18.6640625" style="2" bestFit="1" customWidth="1"/>
    <col min="99" max="99" width="9.21875" style="2" bestFit="1" customWidth="1"/>
    <col min="100" max="100" width="52.44140625" style="2" bestFit="1" customWidth="1"/>
    <col min="101" max="101" width="47.77734375" style="2" bestFit="1" customWidth="1"/>
    <col min="102" max="102" width="15.5546875" style="2" bestFit="1" customWidth="1"/>
    <col min="103" max="109" width="8.77734375" style="2"/>
    <col min="110" max="110" width="21.21875" style="2" bestFit="1" customWidth="1"/>
    <col min="111" max="111" width="34.77734375" style="2" bestFit="1" customWidth="1"/>
    <col min="112" max="16384" width="8.77734375" style="2"/>
  </cols>
  <sheetData>
    <row r="1" spans="1:113" s="469" customFormat="1" ht="13.05" customHeight="1" x14ac:dyDescent="0.25">
      <c r="B1" s="1662" t="s">
        <v>231</v>
      </c>
      <c r="C1" s="1662"/>
      <c r="D1" s="1662"/>
      <c r="E1" s="1662"/>
      <c r="F1" s="1662"/>
      <c r="J1" s="757"/>
      <c r="BS1" s="758"/>
      <c r="CM1" s="1575"/>
    </row>
    <row r="2" spans="1:113" s="469" customFormat="1" ht="13.05" customHeight="1" x14ac:dyDescent="0.25">
      <c r="B2" s="1662"/>
      <c r="C2" s="1662"/>
      <c r="D2" s="1662"/>
      <c r="E2" s="1662"/>
      <c r="F2" s="1662"/>
      <c r="J2" s="757"/>
      <c r="BS2" s="758"/>
      <c r="CM2" s="1575"/>
    </row>
    <row r="3" spans="1:113" s="4" customFormat="1" ht="13.05" customHeight="1" x14ac:dyDescent="0.25">
      <c r="A3" s="108"/>
      <c r="B3" s="759" t="s">
        <v>232</v>
      </c>
      <c r="C3" s="108"/>
      <c r="D3" s="108"/>
      <c r="E3" s="108"/>
      <c r="F3" s="108"/>
      <c r="G3" s="108"/>
      <c r="H3" s="108"/>
      <c r="I3" s="108"/>
      <c r="J3" s="74"/>
      <c r="BS3" s="342"/>
      <c r="CM3" s="85"/>
    </row>
    <row r="4" spans="1:113" ht="13.05" customHeight="1" x14ac:dyDescent="0.25">
      <c r="B4" s="1615" t="s">
        <v>233</v>
      </c>
      <c r="C4" s="1615"/>
      <c r="D4" s="1615"/>
      <c r="E4" s="1615"/>
      <c r="F4" s="1615"/>
      <c r="G4" s="1615" t="s">
        <v>234</v>
      </c>
      <c r="H4" s="1615"/>
      <c r="I4" s="1615" t="s">
        <v>234</v>
      </c>
      <c r="J4" s="1616"/>
      <c r="K4" s="31"/>
      <c r="L4" s="1615"/>
      <c r="M4" s="1615"/>
      <c r="N4" s="1615"/>
      <c r="O4" s="1615"/>
      <c r="P4" s="1615"/>
      <c r="Q4" s="31"/>
      <c r="R4" s="31"/>
      <c r="S4" s="31"/>
      <c r="T4" s="31"/>
      <c r="U4" s="31"/>
      <c r="AN4" s="1211"/>
      <c r="AT4" s="1211"/>
      <c r="AU4" s="1211"/>
      <c r="AV4" s="1211"/>
      <c r="AW4" s="1211"/>
      <c r="AX4" s="1211"/>
      <c r="BN4" s="2" t="s">
        <v>2095</v>
      </c>
      <c r="CG4" s="1211"/>
      <c r="CH4" s="1211"/>
      <c r="CI4" s="1211"/>
      <c r="CJ4" s="1211"/>
      <c r="CK4" s="1211"/>
      <c r="CL4" s="1211"/>
      <c r="CM4" s="1619"/>
      <c r="CN4" s="1211"/>
      <c r="CO4" s="1211"/>
      <c r="CP4" s="1211" t="s">
        <v>119</v>
      </c>
      <c r="CQ4" s="1211" t="s">
        <v>119</v>
      </c>
      <c r="CR4" s="1211" t="s">
        <v>120</v>
      </c>
      <c r="CS4" s="1211" t="s">
        <v>120</v>
      </c>
      <c r="CT4" s="1211" t="s">
        <v>120</v>
      </c>
      <c r="CU4" s="1211"/>
      <c r="CV4" s="1211"/>
      <c r="CW4" s="1211"/>
      <c r="DF4" s="1211"/>
      <c r="DG4" s="1211"/>
      <c r="DH4" s="1211"/>
      <c r="DI4" s="1211"/>
    </row>
    <row r="5" spans="1:113" s="728" customFormat="1" ht="16.05" customHeight="1" thickBot="1" x14ac:dyDescent="0.35">
      <c r="A5" s="724" t="s">
        <v>235</v>
      </c>
      <c r="B5" s="725" t="s">
        <v>236</v>
      </c>
      <c r="C5" s="726" t="s">
        <v>237</v>
      </c>
      <c r="D5" s="726" t="s">
        <v>1990</v>
      </c>
      <c r="E5" s="726" t="s">
        <v>1324</v>
      </c>
      <c r="F5" s="726" t="s">
        <v>238</v>
      </c>
      <c r="G5" s="726" t="s">
        <v>239</v>
      </c>
      <c r="H5" s="726" t="s">
        <v>240</v>
      </c>
      <c r="I5" s="726" t="s">
        <v>241</v>
      </c>
      <c r="J5" s="727" t="s">
        <v>173</v>
      </c>
      <c r="O5" s="728" t="s">
        <v>1309</v>
      </c>
      <c r="P5" s="728" t="s">
        <v>2096</v>
      </c>
      <c r="R5" s="724" t="s">
        <v>173</v>
      </c>
      <c r="S5" s="724" t="s">
        <v>242</v>
      </c>
      <c r="T5" s="724" t="s">
        <v>243</v>
      </c>
      <c r="U5" s="724" t="s">
        <v>244</v>
      </c>
      <c r="V5" s="724" t="s">
        <v>23</v>
      </c>
      <c r="W5" s="724" t="s">
        <v>2277</v>
      </c>
      <c r="X5" s="724" t="s">
        <v>2283</v>
      </c>
      <c r="Y5" s="724" t="s">
        <v>23</v>
      </c>
      <c r="Z5" s="724" t="s">
        <v>245</v>
      </c>
      <c r="AA5" s="724" t="s">
        <v>246</v>
      </c>
      <c r="AB5" s="724" t="s">
        <v>247</v>
      </c>
      <c r="AC5" s="724" t="s">
        <v>49</v>
      </c>
      <c r="AD5" s="724" t="s">
        <v>248</v>
      </c>
      <c r="AE5" s="724" t="s">
        <v>249</v>
      </c>
      <c r="AG5" s="724" t="s">
        <v>1880</v>
      </c>
      <c r="AJ5" s="728" t="s">
        <v>250</v>
      </c>
      <c r="AN5" s="728" t="s">
        <v>251</v>
      </c>
      <c r="AQ5" s="728" t="s">
        <v>3680</v>
      </c>
      <c r="AR5" s="728" t="s">
        <v>1192</v>
      </c>
      <c r="AT5" s="728" t="s">
        <v>245</v>
      </c>
      <c r="AU5" s="728" t="s">
        <v>1877</v>
      </c>
      <c r="AV5" s="728" t="s">
        <v>1746</v>
      </c>
      <c r="AW5" s="728" t="s">
        <v>1846</v>
      </c>
      <c r="AX5" s="728" t="s">
        <v>1162</v>
      </c>
      <c r="AZ5" s="728" t="s">
        <v>1324</v>
      </c>
      <c r="BA5" s="728" t="s">
        <v>2084</v>
      </c>
      <c r="BB5" s="728" t="s">
        <v>242</v>
      </c>
      <c r="BC5" s="728" t="s">
        <v>2083</v>
      </c>
      <c r="BD5" s="728" t="s">
        <v>190</v>
      </c>
      <c r="BE5" s="728" t="s">
        <v>191</v>
      </c>
      <c r="BM5" s="1617"/>
      <c r="BN5" s="1617"/>
      <c r="BO5" s="1617"/>
      <c r="BP5" s="1617"/>
      <c r="BQ5" s="1617"/>
      <c r="BR5" s="1617"/>
      <c r="BS5" s="1618"/>
      <c r="BT5" s="1617"/>
      <c r="BZ5" s="728" t="s">
        <v>3175</v>
      </c>
      <c r="CG5" s="728" t="s">
        <v>245</v>
      </c>
      <c r="CH5" s="728" t="s">
        <v>1877</v>
      </c>
      <c r="CI5" s="728" t="s">
        <v>1746</v>
      </c>
      <c r="CJ5" s="728" t="s">
        <v>1846</v>
      </c>
      <c r="CK5" s="728" t="s">
        <v>3324</v>
      </c>
      <c r="CL5" s="728" t="s">
        <v>3544</v>
      </c>
      <c r="CM5" s="1576" t="s">
        <v>173</v>
      </c>
      <c r="CN5" s="728" t="s">
        <v>3538</v>
      </c>
      <c r="CO5" s="728" t="s">
        <v>3539</v>
      </c>
      <c r="CP5" s="728" t="s">
        <v>191</v>
      </c>
      <c r="CQ5" s="728" t="s">
        <v>3540</v>
      </c>
      <c r="CR5" s="728" t="s">
        <v>190</v>
      </c>
      <c r="CS5" s="728" t="s">
        <v>3541</v>
      </c>
      <c r="CT5" s="728" t="s">
        <v>3571</v>
      </c>
      <c r="CU5" s="728" t="s">
        <v>3213</v>
      </c>
      <c r="CV5" s="728" t="s">
        <v>3542</v>
      </c>
      <c r="CW5" s="728" t="s">
        <v>3543</v>
      </c>
      <c r="DF5" t="s">
        <v>3169</v>
      </c>
      <c r="DG5" t="s">
        <v>3213</v>
      </c>
      <c r="DH5" t="s">
        <v>1162</v>
      </c>
    </row>
    <row r="6" spans="1:113" ht="15" customHeight="1" x14ac:dyDescent="0.3">
      <c r="A6" s="2" t="s">
        <v>176</v>
      </c>
      <c r="B6" s="4" t="s">
        <v>176</v>
      </c>
      <c r="C6" s="4" t="s">
        <v>1420</v>
      </c>
      <c r="D6" s="4"/>
      <c r="E6" s="4"/>
      <c r="F6" s="4" t="s">
        <v>1878</v>
      </c>
      <c r="G6" s="343">
        <v>65</v>
      </c>
      <c r="H6" s="4" t="s">
        <v>119</v>
      </c>
      <c r="I6" s="344">
        <v>90</v>
      </c>
      <c r="J6" s="345">
        <v>0</v>
      </c>
      <c r="K6" s="2" t="s">
        <v>1192</v>
      </c>
      <c r="L6" s="2" t="s">
        <v>2459</v>
      </c>
      <c r="M6" s="2" t="s">
        <v>3681</v>
      </c>
      <c r="N6" s="2" t="s">
        <v>3680</v>
      </c>
      <c r="O6" s="2" t="s">
        <v>176</v>
      </c>
      <c r="P6" s="2" t="s">
        <v>2459</v>
      </c>
      <c r="R6" s="2">
        <v>0</v>
      </c>
      <c r="S6" s="2" t="s">
        <v>254</v>
      </c>
      <c r="T6" s="2" t="s">
        <v>216</v>
      </c>
      <c r="U6" s="67" t="s">
        <v>255</v>
      </c>
      <c r="V6" s="2" t="s">
        <v>2236</v>
      </c>
      <c r="W6" s="2" t="s">
        <v>2278</v>
      </c>
      <c r="Y6" s="2" t="s">
        <v>256</v>
      </c>
      <c r="Z6" s="2" t="s">
        <v>20</v>
      </c>
      <c r="AA6" s="2" t="s">
        <v>20</v>
      </c>
      <c r="AC6" s="2" t="s">
        <v>256</v>
      </c>
      <c r="AD6" s="2" t="s">
        <v>20</v>
      </c>
      <c r="AE6" s="2" t="s">
        <v>20</v>
      </c>
      <c r="AG6" s="2" t="s">
        <v>203</v>
      </c>
      <c r="AJ6" s="2" t="s">
        <v>101</v>
      </c>
      <c r="AN6" s="106" t="str">
        <f>IF(OR('1. Project Inputs'!$C$24="Consulting",'1. Project Inputs'!$C$24="Digital - MarTech Consulting/Strategy")=TRUE,'1. Project Inputs'!B38,IF('1. Project Inputs'!$C$24="Select",'1. Project Inputs'!B38,'Rates &amp; Drop Downs INT'!AE7))</f>
        <v>UX</v>
      </c>
      <c r="AQ6" s="2" t="s">
        <v>285</v>
      </c>
      <c r="AR6" s="2" t="s">
        <v>1192</v>
      </c>
      <c r="AT6" s="2" t="s">
        <v>262</v>
      </c>
      <c r="AU6" s="2" t="s">
        <v>262</v>
      </c>
      <c r="AV6" s="2" t="s">
        <v>1787</v>
      </c>
      <c r="AW6" s="2" t="s">
        <v>1787</v>
      </c>
      <c r="AX6" s="2" t="s">
        <v>1752</v>
      </c>
      <c r="BM6" s="2" t="s">
        <v>2156</v>
      </c>
      <c r="BN6" s="2" t="s">
        <v>2096</v>
      </c>
      <c r="BO6" s="2" t="s">
        <v>2098</v>
      </c>
      <c r="BP6" s="2" t="s">
        <v>2097</v>
      </c>
      <c r="BQ6" s="2" t="s">
        <v>2100</v>
      </c>
      <c r="BR6" s="2" t="s">
        <v>2101</v>
      </c>
      <c r="BS6" s="149" t="s">
        <v>2157</v>
      </c>
      <c r="BT6" s="2" t="s">
        <v>2120</v>
      </c>
      <c r="BW6" s="390" t="s">
        <v>2187</v>
      </c>
      <c r="BX6" s="2" t="s">
        <v>2196</v>
      </c>
      <c r="BZ6" s="2" t="s">
        <v>3176</v>
      </c>
      <c r="CG6" s="2" t="s">
        <v>297</v>
      </c>
      <c r="CH6" s="2" t="s">
        <v>1845</v>
      </c>
      <c r="CI6" s="2" t="s">
        <v>1872</v>
      </c>
      <c r="CJ6" s="2" t="s">
        <v>1860</v>
      </c>
      <c r="CK6" s="2" t="s">
        <v>3351</v>
      </c>
      <c r="CL6" s="2" t="s">
        <v>3545</v>
      </c>
      <c r="CM6" s="39">
        <v>2</v>
      </c>
      <c r="CN6" s="2" t="str">
        <f>_xlfn.XLOOKUP(CP6,$I$205:$I$287,$F$205:$F$287,"X",1)</f>
        <v>TADigital NA Consulting | Content &amp; SEO - Associate Web Content Analyst</v>
      </c>
      <c r="CO6" s="2" t="str">
        <f>_xlfn.XLOOKUP(CW6,$C$373:$C$430,$F$373:$F$430,"X",1)</f>
        <v>TADigital India Consulting | Cloud &amp; Engineering - L2 / B1-B3 | Associate Engineer</v>
      </c>
      <c r="CP6" s="1579">
        <v>0</v>
      </c>
      <c r="CQ6" s="1579">
        <v>0</v>
      </c>
      <c r="CR6" s="1579">
        <v>35</v>
      </c>
      <c r="CS6" s="1579">
        <f>CT6*(1-0.18)</f>
        <v>10.66</v>
      </c>
      <c r="CT6" s="1579">
        <v>13</v>
      </c>
      <c r="CU6" s="2">
        <f>_xlfn.XLOOKUP(CW6,$C$373:$C$430,$G$373:$G$430,"X",1)</f>
        <v>13</v>
      </c>
      <c r="CV6" s="2" t="str">
        <f t="shared" ref="CV6:CV69" si="0">_xlfn.XLOOKUP(CN6,$F$205:$F$287,TADNorthAmerica,"X",1)</f>
        <v>Content &amp; SEO - Associate Web Content Analyst</v>
      </c>
      <c r="CW6" s="2" t="str">
        <f>_xlfn.XLOOKUP(CL6,'[1]Rates &amp; Drop Downs INT'!D$373:D$430,'[1]Rates &amp; Drop Downs INT'!C$373:C$430,"X",1)</f>
        <v>Cloud &amp; Engineering - 2 | Associate Engineer</v>
      </c>
      <c r="CX6" s="2" t="s">
        <v>216</v>
      </c>
      <c r="CZ6" s="2" t="s">
        <v>216</v>
      </c>
      <c r="DB6" s="2" t="s">
        <v>216</v>
      </c>
      <c r="DF6" t="s">
        <v>297</v>
      </c>
      <c r="DG6" t="s">
        <v>3536</v>
      </c>
      <c r="DH6" t="s">
        <v>3425</v>
      </c>
    </row>
    <row r="7" spans="1:113" ht="13.05" customHeight="1" thickBot="1" x14ac:dyDescent="0.35">
      <c r="A7" s="2" t="s">
        <v>430</v>
      </c>
      <c r="B7" s="346" t="s">
        <v>176</v>
      </c>
      <c r="C7" s="346" t="s">
        <v>252</v>
      </c>
      <c r="D7" s="346"/>
      <c r="E7" s="346"/>
      <c r="F7" s="346" t="s">
        <v>253</v>
      </c>
      <c r="G7" s="347">
        <v>72</v>
      </c>
      <c r="H7" s="346" t="s">
        <v>119</v>
      </c>
      <c r="I7" s="348">
        <v>195</v>
      </c>
      <c r="J7" s="349">
        <v>1</v>
      </c>
      <c r="K7" s="2" t="s">
        <v>1192</v>
      </c>
      <c r="L7" s="2" t="s">
        <v>260</v>
      </c>
      <c r="M7" s="2" t="s">
        <v>330</v>
      </c>
      <c r="N7" s="2" t="s">
        <v>272</v>
      </c>
      <c r="O7" s="2" t="s">
        <v>257</v>
      </c>
      <c r="P7" s="2" t="s">
        <v>3681</v>
      </c>
      <c r="R7" s="2">
        <v>1</v>
      </c>
      <c r="S7" s="2" t="s">
        <v>261</v>
      </c>
      <c r="T7" s="2" t="s">
        <v>78</v>
      </c>
      <c r="U7" s="67" t="s">
        <v>262</v>
      </c>
      <c r="V7" s="2" t="s">
        <v>263</v>
      </c>
      <c r="W7" s="2" t="s">
        <v>2279</v>
      </c>
      <c r="Y7" s="2" t="s">
        <v>223</v>
      </c>
      <c r="Z7" s="2" t="s">
        <v>264</v>
      </c>
      <c r="AA7" s="2" t="s">
        <v>265</v>
      </c>
      <c r="AC7" s="2" t="s">
        <v>266</v>
      </c>
      <c r="AD7" s="2" t="s">
        <v>78</v>
      </c>
      <c r="AE7" s="2" t="s">
        <v>267</v>
      </c>
      <c r="AG7" s="2" t="s">
        <v>1881</v>
      </c>
      <c r="AJ7" s="2" t="s">
        <v>268</v>
      </c>
      <c r="AN7" s="106" t="str">
        <f>IF(OR('1. Project Inputs'!$C$24="Consulting",'1. Project Inputs'!$C$24="Digital - MarTech Consulting/Strategy")=TRUE,'1. Project Inputs'!B39,IF('1. Project Inputs'!$C$24="Select",'1. Project Inputs'!B39,'Rates &amp; Drop Downs INT'!AE8))</f>
        <v>UI</v>
      </c>
      <c r="AQ7" s="2" t="s">
        <v>272</v>
      </c>
      <c r="AT7" s="2" t="s">
        <v>262</v>
      </c>
      <c r="AU7" s="2" t="s">
        <v>262</v>
      </c>
      <c r="AV7" s="2" t="s">
        <v>1787</v>
      </c>
      <c r="AW7" s="2" t="s">
        <v>1787</v>
      </c>
      <c r="AX7" s="2" t="s">
        <v>1753</v>
      </c>
      <c r="BM7" s="2" t="s">
        <v>294</v>
      </c>
      <c r="BN7" s="2" t="s">
        <v>1192</v>
      </c>
      <c r="BO7" s="350">
        <v>45658</v>
      </c>
      <c r="BP7" s="2" t="s">
        <v>2102</v>
      </c>
      <c r="BQ7" s="2" t="s">
        <v>2103</v>
      </c>
      <c r="BR7" s="2">
        <v>8</v>
      </c>
      <c r="BS7" s="149">
        <v>45656</v>
      </c>
      <c r="BT7" s="149">
        <f>IF(WEEKDAY(BO7,1)=2,BO7,BO7-WEEKDAY(BO7,1)+2)</f>
        <v>45656</v>
      </c>
      <c r="BW7" s="387"/>
      <c r="BX7" s="388" t="s">
        <v>2194</v>
      </c>
      <c r="BZ7" s="2" t="s">
        <v>275</v>
      </c>
      <c r="CG7" s="2" t="s">
        <v>297</v>
      </c>
      <c r="CH7" s="2" t="s">
        <v>1845</v>
      </c>
      <c r="CI7" s="2" t="s">
        <v>1872</v>
      </c>
      <c r="CJ7" s="2" t="s">
        <v>1860</v>
      </c>
      <c r="CK7" s="2" t="s">
        <v>720</v>
      </c>
      <c r="CL7" s="2" t="s">
        <v>3546</v>
      </c>
      <c r="CM7" s="39">
        <v>5</v>
      </c>
      <c r="CN7" s="2" t="str">
        <f t="shared" ref="CN7:CN70" si="1">_xlfn.XLOOKUP(CP7,$I$205:$I$287,$F$205:$F$287,"X",1)</f>
        <v>TADigital NA | Management - Associate Practice Director</v>
      </c>
      <c r="CO7" s="2" t="str">
        <f t="shared" ref="CO7:CO70" si="2">_xlfn.XLOOKUP(CW7,$C$373:$C$430,$F$373:$F$430,"X",1)</f>
        <v>TADigital India Consulting | Cloud &amp; Engineering - L2 / B1-B3 | Associate Engineer</v>
      </c>
      <c r="CP7" s="1579">
        <v>290</v>
      </c>
      <c r="CQ7" s="1579">
        <v>140</v>
      </c>
      <c r="CR7" s="1579">
        <v>105</v>
      </c>
      <c r="CS7" s="1579">
        <f t="shared" ref="CS7:CS70" si="3">CT7*(1-0.18)</f>
        <v>45.1</v>
      </c>
      <c r="CT7" s="1579">
        <v>55</v>
      </c>
      <c r="CU7" s="2">
        <f t="shared" ref="CU7:CU70" si="4">_xlfn.XLOOKUP(CW7,$C$373:$C$430,$G$373:$G$430,"X",1)</f>
        <v>13</v>
      </c>
      <c r="CV7" s="2" t="str">
        <f t="shared" si="0"/>
        <v>Management - Associate Practice Director</v>
      </c>
      <c r="CW7" s="2" t="str">
        <f>_xlfn.XLOOKUP(CL7,'[1]Rates &amp; Drop Downs INT'!D$373:D$430,'[1]Rates &amp; Drop Downs INT'!C$373:C$430,"X",1)</f>
        <v>Cloud &amp; Engineering - 2 | Associate Engineer</v>
      </c>
      <c r="CX7" s="129" t="s">
        <v>1930</v>
      </c>
      <c r="CZ7" s="118" t="s">
        <v>1935</v>
      </c>
      <c r="DB7" s="129" t="s">
        <v>1940</v>
      </c>
      <c r="DF7" t="s">
        <v>297</v>
      </c>
      <c r="DG7" t="s">
        <v>3536</v>
      </c>
      <c r="DH7" t="s">
        <v>3426</v>
      </c>
    </row>
    <row r="8" spans="1:113" ht="13.05" customHeight="1" thickBot="1" x14ac:dyDescent="0.35">
      <c r="A8" s="2" t="s">
        <v>269</v>
      </c>
      <c r="B8" s="346" t="s">
        <v>176</v>
      </c>
      <c r="C8" s="4" t="s">
        <v>258</v>
      </c>
      <c r="D8" s="4"/>
      <c r="E8" s="4"/>
      <c r="F8" s="346" t="s">
        <v>271</v>
      </c>
      <c r="G8" s="343">
        <v>77</v>
      </c>
      <c r="H8" s="346" t="s">
        <v>119</v>
      </c>
      <c r="I8" s="344">
        <v>200</v>
      </c>
      <c r="J8" s="351">
        <v>2</v>
      </c>
      <c r="L8" s="2" t="s">
        <v>273</v>
      </c>
      <c r="M8" s="2" t="s">
        <v>2459</v>
      </c>
      <c r="N8" s="2" t="s">
        <v>285</v>
      </c>
      <c r="O8" s="2" t="s">
        <v>269</v>
      </c>
      <c r="P8" s="2" t="s">
        <v>1192</v>
      </c>
      <c r="R8" s="2">
        <v>2</v>
      </c>
      <c r="S8" s="2" t="s">
        <v>274</v>
      </c>
      <c r="T8" s="2" t="s">
        <v>275</v>
      </c>
      <c r="U8" s="2" t="s">
        <v>276</v>
      </c>
      <c r="V8" s="2" t="s">
        <v>3575</v>
      </c>
      <c r="W8" s="2" t="s">
        <v>2280</v>
      </c>
      <c r="Y8" s="2" t="s">
        <v>1883</v>
      </c>
      <c r="Z8" s="2" t="s">
        <v>279</v>
      </c>
      <c r="AA8" s="2" t="s">
        <v>280</v>
      </c>
      <c r="AC8" s="2" t="s">
        <v>281</v>
      </c>
      <c r="AD8" s="2" t="s">
        <v>275</v>
      </c>
      <c r="AE8" s="2" t="s">
        <v>282</v>
      </c>
      <c r="AG8" s="2" t="s">
        <v>1882</v>
      </c>
      <c r="AJ8" s="2" t="str">
        <f>'1. Project Inputs'!C64</f>
        <v>Enter Option 1 Name</v>
      </c>
      <c r="AN8" s="106" t="str">
        <f>IF(OR('1. Project Inputs'!$C$24="Consulting",'1. Project Inputs'!$C$24="Digital - MarTech Consulting/Strategy")=TRUE,'1. Project Inputs'!B40,IF('1. Project Inputs'!$C$24="Select",'1. Project Inputs'!B40,'Rates &amp; Drop Downs INT'!AE9))</f>
        <v>CMS + Web Integration</v>
      </c>
      <c r="AT8" s="2" t="s">
        <v>262</v>
      </c>
      <c r="AU8" s="2" t="s">
        <v>262</v>
      </c>
      <c r="AV8" s="2" t="s">
        <v>1787</v>
      </c>
      <c r="AW8" s="2" t="s">
        <v>1787</v>
      </c>
      <c r="AX8" s="2" t="s">
        <v>1754</v>
      </c>
      <c r="BM8" s="2" t="s">
        <v>294</v>
      </c>
      <c r="BN8" s="2" t="s">
        <v>1192</v>
      </c>
      <c r="BO8" s="350">
        <v>45671</v>
      </c>
      <c r="BP8" s="2" t="s">
        <v>2121</v>
      </c>
      <c r="BQ8" s="2" t="s">
        <v>2103</v>
      </c>
      <c r="BR8" s="2">
        <v>8</v>
      </c>
      <c r="BS8" s="149">
        <v>45670</v>
      </c>
      <c r="BT8" s="149">
        <f t="shared" ref="BT8:BT71" si="5">IF(WEEKDAY(BO8,1)=2,BO8,BO8-WEEKDAY(BO8,1)+2)</f>
        <v>45670</v>
      </c>
      <c r="BW8" s="389" t="s">
        <v>2188</v>
      </c>
      <c r="BX8" s="388" t="s">
        <v>2191</v>
      </c>
      <c r="BZ8" s="2" t="s">
        <v>203</v>
      </c>
      <c r="CG8" s="2" t="s">
        <v>297</v>
      </c>
      <c r="CH8" s="2" t="s">
        <v>1845</v>
      </c>
      <c r="CI8" s="2" t="s">
        <v>1872</v>
      </c>
      <c r="CJ8" s="2" t="s">
        <v>1860</v>
      </c>
      <c r="CK8" s="2" t="s">
        <v>532</v>
      </c>
      <c r="CL8" s="2" t="s">
        <v>3547</v>
      </c>
      <c r="CM8" s="39">
        <v>2</v>
      </c>
      <c r="CN8" s="2" t="str">
        <f t="shared" si="1"/>
        <v>TADigital NA Consulting | Content &amp; SEO - Associate Content Strategist</v>
      </c>
      <c r="CO8" s="2" t="str">
        <f t="shared" si="2"/>
        <v>TADigital India Consulting | Cloud &amp; Engineering - L2 / B1-B3 | Associate Engineer</v>
      </c>
      <c r="CP8" s="1579">
        <v>160</v>
      </c>
      <c r="CQ8" s="1579">
        <v>80</v>
      </c>
      <c r="CR8" s="1579">
        <v>55</v>
      </c>
      <c r="CS8" s="1579">
        <f t="shared" si="3"/>
        <v>14.760000000000002</v>
      </c>
      <c r="CT8" s="1579">
        <v>18</v>
      </c>
      <c r="CU8" s="2">
        <f t="shared" si="4"/>
        <v>13</v>
      </c>
      <c r="CV8" s="2" t="str">
        <f t="shared" si="0"/>
        <v>Content &amp; SEO - Associate Content Strategist</v>
      </c>
      <c r="CW8" s="2" t="str">
        <f>_xlfn.XLOOKUP(CL8,'[1]Rates &amp; Drop Downs INT'!D$373:D$430,'[1]Rates &amp; Drop Downs INT'!C$373:C$430,"X",1)</f>
        <v>Cloud &amp; Engineering - 2 | Associate Engineer</v>
      </c>
      <c r="CX8" s="129" t="s">
        <v>1931</v>
      </c>
      <c r="CZ8" s="118" t="s">
        <v>1936</v>
      </c>
      <c r="DB8" s="129" t="s">
        <v>1941</v>
      </c>
      <c r="DF8" t="s">
        <v>297</v>
      </c>
      <c r="DG8" t="s">
        <v>3536</v>
      </c>
      <c r="DH8" t="s">
        <v>3427</v>
      </c>
    </row>
    <row r="9" spans="1:113" ht="13.05" customHeight="1" x14ac:dyDescent="0.3">
      <c r="A9" s="2" t="s">
        <v>283</v>
      </c>
      <c r="B9" s="4" t="s">
        <v>176</v>
      </c>
      <c r="C9" s="4" t="s">
        <v>258</v>
      </c>
      <c r="D9" s="4"/>
      <c r="E9" s="4"/>
      <c r="F9" s="4" t="s">
        <v>259</v>
      </c>
      <c r="G9" s="343">
        <v>96</v>
      </c>
      <c r="H9" s="4" t="s">
        <v>119</v>
      </c>
      <c r="I9" s="344">
        <v>240</v>
      </c>
      <c r="J9" s="352">
        <v>3</v>
      </c>
      <c r="L9" s="2" t="s">
        <v>286</v>
      </c>
      <c r="O9" s="2" t="s">
        <v>283</v>
      </c>
      <c r="P9" s="2" t="s">
        <v>3680</v>
      </c>
      <c r="R9" s="2">
        <v>3</v>
      </c>
      <c r="S9" s="2" t="s">
        <v>287</v>
      </c>
      <c r="U9" s="2" t="s">
        <v>288</v>
      </c>
      <c r="V9" s="2" t="s">
        <v>3576</v>
      </c>
      <c r="W9" s="2" t="s">
        <v>2281</v>
      </c>
      <c r="Y9" s="2" t="s">
        <v>278</v>
      </c>
      <c r="Z9" s="2" t="s">
        <v>290</v>
      </c>
      <c r="AC9" s="2" t="s">
        <v>291</v>
      </c>
      <c r="AD9" s="2" t="s">
        <v>292</v>
      </c>
      <c r="AE9" s="2" t="s">
        <v>293</v>
      </c>
      <c r="AJ9" s="2" t="str">
        <f>'1. Project Inputs'!C65</f>
        <v>Enter Option 2 Name</v>
      </c>
      <c r="AN9" s="106" t="str">
        <f>IF(OR('1. Project Inputs'!$C$24="Consulting",'1. Project Inputs'!$C$24="Digital - MarTech Consulting/Strategy")=TRUE,'1. Project Inputs'!B41,IF('1. Project Inputs'!$C$24="Select",'1. Project Inputs'!B41,'Rates &amp; Drop Downs INT'!AE10))</f>
        <v>Services/Integrations</v>
      </c>
      <c r="AT9" s="2" t="s">
        <v>262</v>
      </c>
      <c r="AU9" s="2" t="s">
        <v>262</v>
      </c>
      <c r="AV9" s="2" t="s">
        <v>1788</v>
      </c>
      <c r="AW9" s="2" t="s">
        <v>1788</v>
      </c>
      <c r="AX9" s="2" t="s">
        <v>1755</v>
      </c>
      <c r="BG9" s="67" t="s">
        <v>255</v>
      </c>
      <c r="BH9" s="67" t="s">
        <v>255</v>
      </c>
      <c r="BM9" s="2" t="s">
        <v>294</v>
      </c>
      <c r="BN9" s="2" t="s">
        <v>1192</v>
      </c>
      <c r="BO9" s="350">
        <v>45778</v>
      </c>
      <c r="BP9" s="2" t="s">
        <v>2122</v>
      </c>
      <c r="BQ9" s="2" t="s">
        <v>2103</v>
      </c>
      <c r="BR9" s="2">
        <v>8</v>
      </c>
      <c r="BS9" s="149">
        <v>45775</v>
      </c>
      <c r="BT9" s="149">
        <f t="shared" si="5"/>
        <v>45775</v>
      </c>
      <c r="BW9" s="390"/>
      <c r="BX9" s="2" t="s">
        <v>2195</v>
      </c>
      <c r="BZ9" s="2" t="s">
        <v>1881</v>
      </c>
      <c r="CG9" s="2" t="s">
        <v>297</v>
      </c>
      <c r="CH9" s="2" t="s">
        <v>1845</v>
      </c>
      <c r="CI9" s="2" t="s">
        <v>1872</v>
      </c>
      <c r="CJ9" s="2" t="s">
        <v>1860</v>
      </c>
      <c r="CK9" s="2" t="s">
        <v>542</v>
      </c>
      <c r="CL9" s="2" t="s">
        <v>3548</v>
      </c>
      <c r="CM9" s="39">
        <v>5</v>
      </c>
      <c r="CN9" s="2" t="str">
        <f t="shared" si="1"/>
        <v>TADigital NA | Management - Associate Practice Director</v>
      </c>
      <c r="CO9" s="2" t="str">
        <f t="shared" si="2"/>
        <v>TADigital India Consulting | Cloud &amp; Engineering - L2 / B1-B3 | Associate Engineer</v>
      </c>
      <c r="CP9" s="1579">
        <v>290</v>
      </c>
      <c r="CQ9" s="1579">
        <v>167.5</v>
      </c>
      <c r="CR9" s="1579">
        <v>125</v>
      </c>
      <c r="CS9" s="1579">
        <f t="shared" si="3"/>
        <v>51.250000000000007</v>
      </c>
      <c r="CT9" s="1579">
        <v>62.5</v>
      </c>
      <c r="CU9" s="2">
        <f t="shared" si="4"/>
        <v>13</v>
      </c>
      <c r="CV9" s="2" t="str">
        <f t="shared" si="0"/>
        <v>Management - Associate Practice Director</v>
      </c>
      <c r="CW9" s="2" t="str">
        <f>_xlfn.XLOOKUP(CL9,'[1]Rates &amp; Drop Downs INT'!D$373:D$430,'[1]Rates &amp; Drop Downs INT'!C$373:C$430,"X",1)</f>
        <v>Cloud &amp; Engineering - 2 | Associate Engineer</v>
      </c>
      <c r="CZ9" s="118" t="s">
        <v>1937</v>
      </c>
      <c r="DB9" s="129" t="s">
        <v>1942</v>
      </c>
      <c r="DF9" t="s">
        <v>297</v>
      </c>
      <c r="DG9" t="s">
        <v>3536</v>
      </c>
      <c r="DH9" t="s">
        <v>3428</v>
      </c>
    </row>
    <row r="10" spans="1:113" ht="13.05" customHeight="1" thickBot="1" x14ac:dyDescent="0.35">
      <c r="A10" s="2" t="s">
        <v>294</v>
      </c>
      <c r="B10" s="346" t="s">
        <v>176</v>
      </c>
      <c r="C10" s="346" t="s">
        <v>270</v>
      </c>
      <c r="D10" s="346"/>
      <c r="E10" s="346"/>
      <c r="F10" s="346" t="s">
        <v>271</v>
      </c>
      <c r="G10" s="347">
        <v>77</v>
      </c>
      <c r="H10" s="346" t="s">
        <v>119</v>
      </c>
      <c r="I10" s="348">
        <v>200</v>
      </c>
      <c r="J10" s="353">
        <v>2</v>
      </c>
      <c r="L10" s="2" t="s">
        <v>295</v>
      </c>
      <c r="O10" s="2" t="s">
        <v>294</v>
      </c>
      <c r="P10" s="2" t="s">
        <v>1192</v>
      </c>
      <c r="R10" s="2">
        <v>4</v>
      </c>
      <c r="S10" s="2" t="s">
        <v>296</v>
      </c>
      <c r="U10" s="2" t="s">
        <v>297</v>
      </c>
      <c r="V10" s="2" t="s">
        <v>277</v>
      </c>
      <c r="W10" s="2" t="s">
        <v>2282</v>
      </c>
      <c r="Y10" s="2" t="s">
        <v>1884</v>
      </c>
      <c r="Z10" s="2" t="s">
        <v>299</v>
      </c>
      <c r="AD10" s="2" t="s">
        <v>300</v>
      </c>
      <c r="AE10" s="2" t="s">
        <v>301</v>
      </c>
      <c r="AJ10" s="2" t="str">
        <f>'1. Project Inputs'!C66</f>
        <v>Enter Option 3 Name</v>
      </c>
      <c r="AN10" s="106" t="str">
        <f>IF(OR('1. Project Inputs'!$C$24="Consulting",'1. Project Inputs'!$C$24="Digital - MarTech Consulting/Strategy")=TRUE,'1. Project Inputs'!B42,IF('1. Project Inputs'!$C$24="Select",'1. Project Inputs'!B42,'Rates &amp; Drop Downs INT'!AE11))</f>
        <v>E-Commerce</v>
      </c>
      <c r="AT10" s="2" t="s">
        <v>262</v>
      </c>
      <c r="AU10" s="2" t="s">
        <v>262</v>
      </c>
      <c r="AV10" s="2" t="s">
        <v>1788</v>
      </c>
      <c r="AW10" s="2" t="s">
        <v>1788</v>
      </c>
      <c r="AX10" s="2" t="s">
        <v>1756</v>
      </c>
      <c r="BG10" s="67" t="s">
        <v>262</v>
      </c>
      <c r="BH10" s="67" t="s">
        <v>262</v>
      </c>
      <c r="BM10" s="2" t="s">
        <v>294</v>
      </c>
      <c r="BN10" s="2" t="s">
        <v>1192</v>
      </c>
      <c r="BO10" s="350">
        <v>45884</v>
      </c>
      <c r="BP10" s="2" t="s">
        <v>2109</v>
      </c>
      <c r="BQ10" s="2" t="s">
        <v>2103</v>
      </c>
      <c r="BR10" s="2">
        <v>8</v>
      </c>
      <c r="BS10" s="149">
        <v>45880</v>
      </c>
      <c r="BT10" s="149">
        <f t="shared" si="5"/>
        <v>45880</v>
      </c>
      <c r="BW10" s="390"/>
      <c r="BX10" s="388" t="s">
        <v>2192</v>
      </c>
      <c r="CG10" s="2" t="s">
        <v>297</v>
      </c>
      <c r="CH10" s="2" t="s">
        <v>1845</v>
      </c>
      <c r="CI10" s="2" t="s">
        <v>1872</v>
      </c>
      <c r="CJ10" s="2" t="s">
        <v>1860</v>
      </c>
      <c r="CK10" s="2" t="s">
        <v>3352</v>
      </c>
      <c r="CL10" s="2" t="s">
        <v>3549</v>
      </c>
      <c r="CM10" s="39">
        <v>5</v>
      </c>
      <c r="CN10" s="2" t="str">
        <f t="shared" si="1"/>
        <v>TADigital NA | Management - Practice Director / Delivery Director</v>
      </c>
      <c r="CO10" s="2" t="str">
        <f t="shared" si="2"/>
        <v>TADigital India Consulting | Cloud &amp; Engineering - L2 / B1-B3 | Associate Engineer</v>
      </c>
      <c r="CP10" s="1579">
        <v>315</v>
      </c>
      <c r="CQ10" s="1579">
        <v>165</v>
      </c>
      <c r="CR10" s="1579">
        <v>115</v>
      </c>
      <c r="CS10" s="1579">
        <f t="shared" si="3"/>
        <v>45.1</v>
      </c>
      <c r="CT10" s="1579">
        <v>55</v>
      </c>
      <c r="CU10" s="2">
        <f t="shared" si="4"/>
        <v>13</v>
      </c>
      <c r="CV10" s="2" t="str">
        <f t="shared" si="0"/>
        <v>Management - Practice Director / Delivery Director</v>
      </c>
      <c r="CW10" s="2" t="str">
        <f>_xlfn.XLOOKUP(CL10,'[1]Rates &amp; Drop Downs INT'!D$373:D$430,'[1]Rates &amp; Drop Downs INT'!C$373:C$430,"X",1)</f>
        <v>Cloud &amp; Engineering - 2 | Associate Engineer</v>
      </c>
      <c r="CZ10" s="118" t="s">
        <v>1938</v>
      </c>
      <c r="DB10" s="129" t="s">
        <v>1943</v>
      </c>
      <c r="DF10" t="s">
        <v>2439</v>
      </c>
      <c r="DG10" t="s">
        <v>3481</v>
      </c>
      <c r="DH10" t="s">
        <v>326</v>
      </c>
    </row>
    <row r="11" spans="1:113" ht="13.05" customHeight="1" thickBot="1" x14ac:dyDescent="0.35">
      <c r="A11" s="2" t="s">
        <v>2367</v>
      </c>
      <c r="B11" s="346" t="s">
        <v>176</v>
      </c>
      <c r="C11" s="346" t="s">
        <v>270</v>
      </c>
      <c r="D11" s="346"/>
      <c r="E11" s="346"/>
      <c r="F11" s="4" t="s">
        <v>259</v>
      </c>
      <c r="G11" s="343">
        <v>96</v>
      </c>
      <c r="H11" s="4" t="s">
        <v>119</v>
      </c>
      <c r="I11" s="344">
        <v>240</v>
      </c>
      <c r="J11" s="345">
        <v>3</v>
      </c>
      <c r="L11" s="2" t="s">
        <v>303</v>
      </c>
      <c r="R11" s="2">
        <v>5</v>
      </c>
      <c r="S11" s="2" t="s">
        <v>304</v>
      </c>
      <c r="U11" s="2" t="s">
        <v>290</v>
      </c>
      <c r="V11" s="2" t="s">
        <v>289</v>
      </c>
      <c r="AD11" s="2" t="s">
        <v>3574</v>
      </c>
      <c r="AE11" s="2" t="s">
        <v>307</v>
      </c>
      <c r="AN11" s="106" t="str">
        <f>IF(OR('1. Project Inputs'!$C$24="Consulting",'1. Project Inputs'!$C$24="Digital - MarTech Consulting/Strategy")=TRUE,'1. Project Inputs'!B43,IF('1. Project Inputs'!$C$24="Select",'1. Project Inputs'!B43,""))</f>
        <v/>
      </c>
      <c r="AT11" s="2" t="s">
        <v>262</v>
      </c>
      <c r="AU11" s="2" t="s">
        <v>262</v>
      </c>
      <c r="AV11" s="2" t="s">
        <v>1788</v>
      </c>
      <c r="AW11" s="2" t="s">
        <v>1788</v>
      </c>
      <c r="AX11" s="2" t="s">
        <v>1757</v>
      </c>
      <c r="BG11" s="2" t="s">
        <v>276</v>
      </c>
      <c r="BH11" s="2" t="s">
        <v>276</v>
      </c>
      <c r="BM11" s="2" t="s">
        <v>294</v>
      </c>
      <c r="BN11" s="2" t="s">
        <v>1192</v>
      </c>
      <c r="BO11" s="350">
        <v>45932</v>
      </c>
      <c r="BP11" s="2" t="s">
        <v>2123</v>
      </c>
      <c r="BQ11" s="2" t="s">
        <v>2103</v>
      </c>
      <c r="BR11" s="2">
        <v>8</v>
      </c>
      <c r="BS11" s="149">
        <v>45929</v>
      </c>
      <c r="BT11" s="149">
        <f t="shared" si="5"/>
        <v>45929</v>
      </c>
      <c r="BW11" s="390"/>
      <c r="BX11" s="388"/>
      <c r="CG11" s="2" t="s">
        <v>297</v>
      </c>
      <c r="CH11" s="2" t="s">
        <v>1845</v>
      </c>
      <c r="CI11" s="2" t="s">
        <v>1872</v>
      </c>
      <c r="CJ11" s="2" t="s">
        <v>1860</v>
      </c>
      <c r="CK11" s="2" t="s">
        <v>446</v>
      </c>
      <c r="CL11" s="2" t="s">
        <v>3546</v>
      </c>
      <c r="CM11" s="39">
        <v>4</v>
      </c>
      <c r="CN11" s="2" t="str">
        <f t="shared" si="1"/>
        <v>TADigital NA Consulting - Sr. Project Manager</v>
      </c>
      <c r="CO11" s="2" t="str">
        <f t="shared" si="2"/>
        <v>TADigital India Consulting | Cloud &amp; Engineering - L2 / B1-B3 | Associate Engineer</v>
      </c>
      <c r="CP11" s="1579">
        <v>235</v>
      </c>
      <c r="CQ11" s="1579">
        <v>130</v>
      </c>
      <c r="CR11" s="1579">
        <v>80</v>
      </c>
      <c r="CS11" s="1579">
        <f t="shared" si="3"/>
        <v>38.950000000000003</v>
      </c>
      <c r="CT11" s="1579">
        <v>47.5</v>
      </c>
      <c r="CU11" s="2">
        <f t="shared" si="4"/>
        <v>13</v>
      </c>
      <c r="CV11" s="2" t="str">
        <f t="shared" si="0"/>
        <v>Sr. Project Manager</v>
      </c>
      <c r="CW11" s="2" t="str">
        <f>_xlfn.XLOOKUP(CL11,'[1]Rates &amp; Drop Downs INT'!D$373:D$430,'[1]Rates &amp; Drop Downs INT'!C$373:C$430,"X",1)</f>
        <v>Cloud &amp; Engineering - 2 | Associate Engineer</v>
      </c>
      <c r="DF11" t="s">
        <v>2439</v>
      </c>
      <c r="DG11" t="s">
        <v>3481</v>
      </c>
      <c r="DH11" t="s">
        <v>2429</v>
      </c>
    </row>
    <row r="12" spans="1:113" ht="13.05" customHeight="1" thickBot="1" x14ac:dyDescent="0.35">
      <c r="A12" s="2" t="s">
        <v>205</v>
      </c>
      <c r="B12" s="346" t="s">
        <v>176</v>
      </c>
      <c r="C12" s="346" t="s">
        <v>380</v>
      </c>
      <c r="D12" s="346"/>
      <c r="E12" s="346"/>
      <c r="F12" s="346" t="s">
        <v>271</v>
      </c>
      <c r="G12" s="347">
        <v>77</v>
      </c>
      <c r="H12" s="346" t="s">
        <v>119</v>
      </c>
      <c r="I12" s="348">
        <v>200</v>
      </c>
      <c r="J12" s="353">
        <v>2</v>
      </c>
      <c r="L12" s="2" t="s">
        <v>310</v>
      </c>
      <c r="R12" s="2">
        <v>6</v>
      </c>
      <c r="S12" s="2" t="s">
        <v>262</v>
      </c>
      <c r="U12" s="2" t="s">
        <v>311</v>
      </c>
      <c r="V12" s="2" t="s">
        <v>298</v>
      </c>
      <c r="AD12" s="2" t="s">
        <v>313</v>
      </c>
      <c r="AN12" s="106" t="str">
        <f>IF(OR('1. Project Inputs'!$C$24="Consulting",'1. Project Inputs'!$C$24="Digital - MarTech Consulting/Strategy")=TRUE,'1. Project Inputs'!B44,IF('1. Project Inputs'!$C$24="Select",'1. Project Inputs'!B44,""))</f>
        <v/>
      </c>
      <c r="AT12" s="2" t="s">
        <v>262</v>
      </c>
      <c r="AU12" s="2" t="s">
        <v>262</v>
      </c>
      <c r="AV12" s="2" t="s">
        <v>1788</v>
      </c>
      <c r="AW12" s="2" t="s">
        <v>1788</v>
      </c>
      <c r="AX12" s="2" t="s">
        <v>1758</v>
      </c>
      <c r="BG12" s="2" t="s">
        <v>288</v>
      </c>
      <c r="BH12" s="2" t="s">
        <v>288</v>
      </c>
      <c r="BM12" s="2" t="s">
        <v>294</v>
      </c>
      <c r="BN12" s="2" t="s">
        <v>1192</v>
      </c>
      <c r="BO12" s="350">
        <v>45951</v>
      </c>
      <c r="BP12" s="2" t="s">
        <v>2124</v>
      </c>
      <c r="BQ12" s="2" t="s">
        <v>2103</v>
      </c>
      <c r="BR12" s="2">
        <v>8</v>
      </c>
      <c r="BS12" s="149">
        <v>45950</v>
      </c>
      <c r="BT12" s="149">
        <f t="shared" si="5"/>
        <v>45950</v>
      </c>
      <c r="BW12" s="387"/>
      <c r="BX12" s="388"/>
      <c r="CG12" s="2" t="s">
        <v>297</v>
      </c>
      <c r="CH12" s="2" t="s">
        <v>1845</v>
      </c>
      <c r="CI12" s="2" t="s">
        <v>1872</v>
      </c>
      <c r="CJ12" s="2" t="s">
        <v>1860</v>
      </c>
      <c r="CK12" s="2" t="s">
        <v>3353</v>
      </c>
      <c r="CL12" s="2" t="s">
        <v>3549</v>
      </c>
      <c r="CM12" s="39">
        <v>6</v>
      </c>
      <c r="CN12" s="2" t="str">
        <f t="shared" si="1"/>
        <v>TADigital NA | Management - Practice VP / Delivery VP</v>
      </c>
      <c r="CO12" s="2" t="str">
        <f t="shared" si="2"/>
        <v>TADigital India Consulting | Cloud &amp; Engineering - L2 / B1-B3 | Associate Engineer</v>
      </c>
      <c r="CP12" s="1579">
        <v>370</v>
      </c>
      <c r="CQ12" s="1579">
        <v>172.5</v>
      </c>
      <c r="CR12" s="1579">
        <v>135</v>
      </c>
      <c r="CS12" s="1579">
        <f t="shared" si="3"/>
        <v>51.250000000000007</v>
      </c>
      <c r="CT12" s="1579">
        <v>62.5</v>
      </c>
      <c r="CU12" s="2">
        <f t="shared" si="4"/>
        <v>13</v>
      </c>
      <c r="CV12" s="2" t="str">
        <f t="shared" si="0"/>
        <v>Management - Practice VP / Delivery VP</v>
      </c>
      <c r="CW12" s="2" t="str">
        <f>_xlfn.XLOOKUP(CL12,'[1]Rates &amp; Drop Downs INT'!D$373:D$430,'[1]Rates &amp; Drop Downs INT'!C$373:C$430,"X",1)</f>
        <v>Cloud &amp; Engineering - 2 | Associate Engineer</v>
      </c>
      <c r="DF12" t="s">
        <v>2439</v>
      </c>
      <c r="DG12" t="s">
        <v>3481</v>
      </c>
      <c r="DH12" t="s">
        <v>1855</v>
      </c>
    </row>
    <row r="13" spans="1:113" ht="13.05" customHeight="1" thickBot="1" x14ac:dyDescent="0.35">
      <c r="A13" s="2" t="s">
        <v>308</v>
      </c>
      <c r="B13" s="346" t="s">
        <v>176</v>
      </c>
      <c r="C13" s="346" t="s">
        <v>380</v>
      </c>
      <c r="D13" s="346"/>
      <c r="E13" s="346"/>
      <c r="F13" s="346" t="s">
        <v>259</v>
      </c>
      <c r="G13" s="347">
        <v>96</v>
      </c>
      <c r="H13" s="346" t="s">
        <v>119</v>
      </c>
      <c r="I13" s="348">
        <v>240</v>
      </c>
      <c r="J13" s="345">
        <v>3</v>
      </c>
      <c r="L13" s="2" t="s">
        <v>316</v>
      </c>
      <c r="R13" s="2">
        <v>7</v>
      </c>
      <c r="S13" s="2" t="s">
        <v>317</v>
      </c>
      <c r="U13" s="2" t="s">
        <v>318</v>
      </c>
      <c r="AD13" s="2" t="s">
        <v>319</v>
      </c>
      <c r="AN13" s="106" t="str">
        <f>IF(OR('1. Project Inputs'!$C$24="Consulting",'1. Project Inputs'!$C$24="Digital - MarTech Consulting/Strategy")=TRUE,'1. Project Inputs'!B45,IF('1. Project Inputs'!$C$24="Select",'1. Project Inputs'!B45,""))</f>
        <v/>
      </c>
      <c r="AT13" s="2" t="s">
        <v>262</v>
      </c>
      <c r="AU13" s="2" t="s">
        <v>262</v>
      </c>
      <c r="AV13" s="2" t="s">
        <v>1788</v>
      </c>
      <c r="AW13" s="2" t="s">
        <v>1788</v>
      </c>
      <c r="AX13" s="2" t="s">
        <v>1759</v>
      </c>
      <c r="BG13" s="2" t="s">
        <v>1845</v>
      </c>
      <c r="BH13" s="2" t="s">
        <v>297</v>
      </c>
      <c r="BM13" s="2" t="s">
        <v>294</v>
      </c>
      <c r="BN13" s="2" t="s">
        <v>1192</v>
      </c>
      <c r="BO13" s="350">
        <v>46016</v>
      </c>
      <c r="BP13" s="2" t="s">
        <v>2116</v>
      </c>
      <c r="BQ13" s="2" t="s">
        <v>2103</v>
      </c>
      <c r="BR13" s="2">
        <v>8</v>
      </c>
      <c r="BS13" s="149">
        <v>46013</v>
      </c>
      <c r="BT13" s="149">
        <f t="shared" si="5"/>
        <v>46013</v>
      </c>
      <c r="BW13" s="389" t="s">
        <v>2186</v>
      </c>
      <c r="BX13" s="388"/>
      <c r="CG13" s="2" t="s">
        <v>297</v>
      </c>
      <c r="CH13" s="2" t="s">
        <v>1845</v>
      </c>
      <c r="CI13" s="2" t="s">
        <v>1872</v>
      </c>
      <c r="CJ13" s="2" t="s">
        <v>1860</v>
      </c>
      <c r="CK13" s="2" t="s">
        <v>534</v>
      </c>
      <c r="CL13" s="2" t="s">
        <v>3550</v>
      </c>
      <c r="CM13" s="39">
        <v>2</v>
      </c>
      <c r="CN13" s="2" t="str">
        <f t="shared" si="1"/>
        <v>TADigital NA Consulting | Content &amp; SEO - Content Strategist</v>
      </c>
      <c r="CO13" s="2" t="str">
        <f t="shared" si="2"/>
        <v>TADigital India Consulting | Cloud &amp; Engineering - L2 / B1-B3 | Associate Engineer</v>
      </c>
      <c r="CP13" s="1579">
        <v>170</v>
      </c>
      <c r="CQ13" s="1579">
        <v>82.5</v>
      </c>
      <c r="CR13" s="1579">
        <v>65</v>
      </c>
      <c r="CS13" s="1579">
        <f t="shared" si="3"/>
        <v>18.450000000000003</v>
      </c>
      <c r="CT13" s="1579">
        <v>22.5</v>
      </c>
      <c r="CU13" s="2">
        <f t="shared" si="4"/>
        <v>13</v>
      </c>
      <c r="CV13" s="2" t="str">
        <f t="shared" si="0"/>
        <v>Content &amp; SEO - Content Strategist</v>
      </c>
      <c r="CW13" s="2" t="str">
        <f>_xlfn.XLOOKUP(CL13,'[1]Rates &amp; Drop Downs INT'!D$373:D$430,'[1]Rates &amp; Drop Downs INT'!C$373:C$430,"X",1)</f>
        <v>Cloud &amp; Engineering - 2 | Associate Engineer</v>
      </c>
      <c r="DF13" t="s">
        <v>2439</v>
      </c>
      <c r="DG13" t="s">
        <v>3481</v>
      </c>
      <c r="DH13" t="s">
        <v>279</v>
      </c>
    </row>
    <row r="14" spans="1:113" ht="13.05" customHeight="1" thickBot="1" x14ac:dyDescent="0.35">
      <c r="A14" s="2" t="s">
        <v>314</v>
      </c>
      <c r="B14" s="346" t="s">
        <v>176</v>
      </c>
      <c r="C14" s="346" t="s">
        <v>365</v>
      </c>
      <c r="D14" s="346"/>
      <c r="E14" s="346"/>
      <c r="F14" s="346" t="s">
        <v>353</v>
      </c>
      <c r="G14" s="347">
        <v>128</v>
      </c>
      <c r="H14" s="4" t="s">
        <v>119</v>
      </c>
      <c r="I14" s="348">
        <v>300</v>
      </c>
      <c r="J14" s="345">
        <v>4</v>
      </c>
      <c r="L14" s="2" t="s">
        <v>321</v>
      </c>
      <c r="S14" s="2" t="s">
        <v>322</v>
      </c>
      <c r="U14" s="2" t="s">
        <v>1747</v>
      </c>
      <c r="Y14" s="4"/>
      <c r="Z14" s="4"/>
      <c r="AN14" s="106" t="str">
        <f>IF(OR('1. Project Inputs'!$C$24="Consulting",'1. Project Inputs'!$C$24="Digital - MarTech Consulting/Strategy")=TRUE,'1. Project Inputs'!B46,IF('1. Project Inputs'!$C$24="Select",'1. Project Inputs'!B46,""))</f>
        <v/>
      </c>
      <c r="AT14" s="2" t="s">
        <v>262</v>
      </c>
      <c r="AU14" s="2" t="s">
        <v>262</v>
      </c>
      <c r="AV14" s="2" t="s">
        <v>1788</v>
      </c>
      <c r="AW14" s="2" t="s">
        <v>1788</v>
      </c>
      <c r="AX14" s="2" t="s">
        <v>1760</v>
      </c>
      <c r="BG14" s="2" t="s">
        <v>290</v>
      </c>
      <c r="BH14" s="2" t="s">
        <v>290</v>
      </c>
      <c r="BM14" s="2" t="s">
        <v>283</v>
      </c>
      <c r="BN14" s="2" t="s">
        <v>285</v>
      </c>
      <c r="BO14" s="350">
        <v>45658</v>
      </c>
      <c r="BP14" s="2" t="s">
        <v>2125</v>
      </c>
      <c r="BQ14" s="2" t="s">
        <v>2103</v>
      </c>
      <c r="BR14" s="2">
        <v>8</v>
      </c>
      <c r="BS14" s="149">
        <v>45656</v>
      </c>
      <c r="BT14" s="149">
        <f t="shared" si="5"/>
        <v>45656</v>
      </c>
      <c r="BW14" s="387"/>
      <c r="BX14" s="388"/>
      <c r="CG14" s="2" t="s">
        <v>297</v>
      </c>
      <c r="CH14" s="2" t="s">
        <v>1845</v>
      </c>
      <c r="CI14" s="2" t="s">
        <v>1872</v>
      </c>
      <c r="CJ14" s="2" t="s">
        <v>1860</v>
      </c>
      <c r="CK14" s="2" t="s">
        <v>3354</v>
      </c>
      <c r="CL14" s="2" t="s">
        <v>3549</v>
      </c>
      <c r="CM14" s="39">
        <v>5</v>
      </c>
      <c r="CN14" s="2" t="str">
        <f t="shared" si="1"/>
        <v>TADigital NA | Management - Sr. Practice Director / Sr. Delivery Director</v>
      </c>
      <c r="CO14" s="2" t="str">
        <f t="shared" si="2"/>
        <v>TADigital India Consulting | Cloud &amp; Engineering - L2 / B1-B3 | Associate Engineer</v>
      </c>
      <c r="CP14" s="1579">
        <v>340</v>
      </c>
      <c r="CQ14" s="1579">
        <v>170</v>
      </c>
      <c r="CR14" s="1579">
        <v>125</v>
      </c>
      <c r="CS14" s="1579">
        <f t="shared" si="3"/>
        <v>49.2</v>
      </c>
      <c r="CT14" s="1579">
        <v>60</v>
      </c>
      <c r="CU14" s="2">
        <f t="shared" si="4"/>
        <v>13</v>
      </c>
      <c r="CV14" s="2" t="str">
        <f t="shared" si="0"/>
        <v>Management - Sr. Practice Director / Sr. Delivery Director</v>
      </c>
      <c r="CW14" s="2" t="str">
        <f>_xlfn.XLOOKUP(CL14,'[1]Rates &amp; Drop Downs INT'!D$373:D$430,'[1]Rates &amp; Drop Downs INT'!C$373:C$430,"X",1)</f>
        <v>Cloud &amp; Engineering - 2 | Associate Engineer</v>
      </c>
      <c r="DF14" t="s">
        <v>3325</v>
      </c>
      <c r="DG14" t="s">
        <v>3482</v>
      </c>
      <c r="DH14" t="s">
        <v>1798</v>
      </c>
    </row>
    <row r="15" spans="1:113" ht="13.05" customHeight="1" thickBot="1" x14ac:dyDescent="0.35">
      <c r="A15" s="2" t="s">
        <v>211</v>
      </c>
      <c r="B15" s="346" t="s">
        <v>176</v>
      </c>
      <c r="C15" s="346" t="s">
        <v>365</v>
      </c>
      <c r="D15" s="346"/>
      <c r="E15" s="346"/>
      <c r="F15" s="346" t="s">
        <v>346</v>
      </c>
      <c r="G15" s="347">
        <v>172</v>
      </c>
      <c r="H15" s="346" t="s">
        <v>119</v>
      </c>
      <c r="I15" s="348">
        <v>350</v>
      </c>
      <c r="J15" s="353">
        <v>5</v>
      </c>
      <c r="L15" s="2" t="s">
        <v>324</v>
      </c>
      <c r="S15" s="2" t="s">
        <v>325</v>
      </c>
      <c r="U15" s="2" t="s">
        <v>326</v>
      </c>
      <c r="Y15" s="4"/>
      <c r="Z15" s="4"/>
      <c r="AN15" s="106" t="str">
        <f>IF(OR('1. Project Inputs'!$C$24="Consulting",'1. Project Inputs'!$C$24="Digital - MarTech Consulting/Strategy")=TRUE,'1. Project Inputs'!B47,IF('1. Project Inputs'!$C$24="Select",'1. Project Inputs'!B47,""))</f>
        <v/>
      </c>
      <c r="AT15" s="2" t="s">
        <v>262</v>
      </c>
      <c r="AU15" s="2" t="s">
        <v>262</v>
      </c>
      <c r="AV15" s="2" t="s">
        <v>1750</v>
      </c>
      <c r="AW15" s="2" t="s">
        <v>1750</v>
      </c>
      <c r="AX15" s="2" t="s">
        <v>1761</v>
      </c>
      <c r="BG15" s="2" t="s">
        <v>311</v>
      </c>
      <c r="BH15" s="2" t="s">
        <v>311</v>
      </c>
      <c r="BM15" s="2" t="s">
        <v>283</v>
      </c>
      <c r="BN15" s="2" t="s">
        <v>285</v>
      </c>
      <c r="BO15" s="350">
        <v>45663</v>
      </c>
      <c r="BP15" s="2" t="s">
        <v>2126</v>
      </c>
      <c r="BQ15" s="2" t="s">
        <v>2103</v>
      </c>
      <c r="BR15" s="2">
        <v>8</v>
      </c>
      <c r="BS15" s="149">
        <v>45663</v>
      </c>
      <c r="BT15" s="149">
        <f t="shared" si="5"/>
        <v>45663</v>
      </c>
      <c r="BX15" s="388" t="s">
        <v>2193</v>
      </c>
      <c r="CG15" s="2" t="s">
        <v>297</v>
      </c>
      <c r="CH15" s="2" t="s">
        <v>1845</v>
      </c>
      <c r="CI15" s="2" t="s">
        <v>1872</v>
      </c>
      <c r="CJ15" s="2" t="s">
        <v>1860</v>
      </c>
      <c r="CK15" s="2" t="s">
        <v>448</v>
      </c>
      <c r="CL15" s="2" t="s">
        <v>3546</v>
      </c>
      <c r="CM15" s="39">
        <v>5</v>
      </c>
      <c r="CN15" s="2" t="str">
        <f t="shared" si="1"/>
        <v>TADigital NA Consulting - Delivery Manager</v>
      </c>
      <c r="CO15" s="2" t="str">
        <f t="shared" si="2"/>
        <v>TADigital India Consulting | Cloud &amp; Engineering - L2 / B1-B3 | Associate Engineer</v>
      </c>
      <c r="CP15" s="1579">
        <v>265</v>
      </c>
      <c r="CQ15" s="1579">
        <v>137.5</v>
      </c>
      <c r="CR15" s="1579">
        <v>90</v>
      </c>
      <c r="CS15" s="1579">
        <f t="shared" si="3"/>
        <v>38.950000000000003</v>
      </c>
      <c r="CT15" s="1579">
        <v>47.5</v>
      </c>
      <c r="CU15" s="2">
        <f t="shared" si="4"/>
        <v>13</v>
      </c>
      <c r="CV15" s="2" t="str">
        <f t="shared" si="0"/>
        <v>Delivery Manager</v>
      </c>
      <c r="CW15" s="2" t="str">
        <f>_xlfn.XLOOKUP(CL15,'[1]Rates &amp; Drop Downs INT'!D$373:D$430,'[1]Rates &amp; Drop Downs INT'!C$373:C$430,"X",1)</f>
        <v>Cloud &amp; Engineering - 2 | Associate Engineer</v>
      </c>
      <c r="DF15" t="s">
        <v>2461</v>
      </c>
      <c r="DG15" t="s">
        <v>3537</v>
      </c>
      <c r="DH15" t="s">
        <v>1777</v>
      </c>
    </row>
    <row r="16" spans="1:113" ht="13.05" customHeight="1" x14ac:dyDescent="0.3">
      <c r="B16" s="346" t="s">
        <v>176</v>
      </c>
      <c r="C16" s="346" t="s">
        <v>365</v>
      </c>
      <c r="D16" s="346"/>
      <c r="E16" s="346"/>
      <c r="F16" s="4" t="s">
        <v>420</v>
      </c>
      <c r="G16" s="343">
        <v>257</v>
      </c>
      <c r="H16" s="346" t="s">
        <v>119</v>
      </c>
      <c r="I16" s="344">
        <v>390</v>
      </c>
      <c r="J16" s="345">
        <v>6</v>
      </c>
      <c r="L16" s="2" t="s">
        <v>328</v>
      </c>
      <c r="S16" s="2" t="s">
        <v>288</v>
      </c>
      <c r="U16" s="2" t="s">
        <v>279</v>
      </c>
      <c r="Y16" s="4"/>
      <c r="Z16" s="4"/>
      <c r="AN16" s="106" t="str">
        <f>IF(OR('1. Project Inputs'!$C$24="Consulting",'1. Project Inputs'!$C$24="Digital - MarTech Consulting/Strategy")=TRUE,'1. Project Inputs'!B48,IF('1. Project Inputs'!$C$24="Select",'1. Project Inputs'!B48,""))</f>
        <v/>
      </c>
      <c r="AT16" s="2" t="s">
        <v>262</v>
      </c>
      <c r="AU16" s="2" t="s">
        <v>262</v>
      </c>
      <c r="AV16" s="2" t="s">
        <v>1750</v>
      </c>
      <c r="AW16" s="2" t="s">
        <v>1750</v>
      </c>
      <c r="AX16" s="2" t="s">
        <v>1762</v>
      </c>
      <c r="BG16" s="2" t="s">
        <v>318</v>
      </c>
      <c r="BH16" s="2" t="s">
        <v>318</v>
      </c>
      <c r="BM16" s="2" t="s">
        <v>283</v>
      </c>
      <c r="BN16" s="2" t="s">
        <v>285</v>
      </c>
      <c r="BO16" s="350">
        <v>45740</v>
      </c>
      <c r="BP16" s="2" t="s">
        <v>2127</v>
      </c>
      <c r="BQ16" s="2" t="s">
        <v>2103</v>
      </c>
      <c r="BR16" s="2">
        <v>8</v>
      </c>
      <c r="BS16" s="149">
        <v>45740</v>
      </c>
      <c r="BT16" s="149">
        <f t="shared" si="5"/>
        <v>45740</v>
      </c>
      <c r="CG16" s="2" t="s">
        <v>297</v>
      </c>
      <c r="CH16" s="2" t="s">
        <v>1845</v>
      </c>
      <c r="CI16" s="2" t="s">
        <v>1872</v>
      </c>
      <c r="CJ16" s="2" t="s">
        <v>1860</v>
      </c>
      <c r="CK16" s="2" t="s">
        <v>540</v>
      </c>
      <c r="CL16" s="2" t="s">
        <v>538</v>
      </c>
      <c r="CM16" s="39">
        <v>5</v>
      </c>
      <c r="CN16" s="2" t="str">
        <f t="shared" si="1"/>
        <v>TADigital NA Digital - Sr. Technical Architect</v>
      </c>
      <c r="CO16" s="2" t="str">
        <f t="shared" si="2"/>
        <v>TADigital India Consulting | Cloud &amp; Engineering - L2 / B1-B3 | Associate Engineer</v>
      </c>
      <c r="CP16" s="1579">
        <v>275</v>
      </c>
      <c r="CQ16" s="1579">
        <v>155</v>
      </c>
      <c r="CR16" s="1579">
        <v>105</v>
      </c>
      <c r="CS16" s="1579">
        <f t="shared" si="3"/>
        <v>36.900000000000006</v>
      </c>
      <c r="CT16" s="1579">
        <v>45</v>
      </c>
      <c r="CU16" s="2">
        <f t="shared" si="4"/>
        <v>13</v>
      </c>
      <c r="CV16" s="2" t="str">
        <f t="shared" si="0"/>
        <v>Sr. Technical Architect</v>
      </c>
      <c r="CW16" s="2" t="str">
        <f>_xlfn.XLOOKUP(CL16,'[1]Rates &amp; Drop Downs INT'!D$373:D$430,'[1]Rates &amp; Drop Downs INT'!C$373:C$430,"X",1)</f>
        <v>Cloud &amp; Engineering - 2 | Associate Engineer</v>
      </c>
      <c r="DF16" t="s">
        <v>2461</v>
      </c>
      <c r="DG16" t="s">
        <v>3537</v>
      </c>
      <c r="DH16" t="s">
        <v>1779</v>
      </c>
    </row>
    <row r="17" spans="2:112" ht="13.05" customHeight="1" x14ac:dyDescent="0.3">
      <c r="B17" s="346" t="s">
        <v>176</v>
      </c>
      <c r="C17" s="4" t="s">
        <v>284</v>
      </c>
      <c r="D17" s="4"/>
      <c r="E17" s="4"/>
      <c r="F17" s="346" t="s">
        <v>271</v>
      </c>
      <c r="G17" s="343">
        <v>77</v>
      </c>
      <c r="H17" s="4" t="s">
        <v>119</v>
      </c>
      <c r="I17" s="348">
        <v>200</v>
      </c>
      <c r="J17" s="345">
        <v>2</v>
      </c>
      <c r="L17" s="2" t="s">
        <v>2256</v>
      </c>
      <c r="S17" s="2" t="s">
        <v>331</v>
      </c>
      <c r="U17" s="2" t="s">
        <v>1748</v>
      </c>
      <c r="AN17" s="106" t="str">
        <f>IF(OR('1. Project Inputs'!$C$24="Consulting",'1. Project Inputs'!$C$24="Digital - MarTech Consulting/Strategy")=TRUE,'1. Project Inputs'!B49,IF('1. Project Inputs'!$C$24="Select",'1. Project Inputs'!B49,""))</f>
        <v/>
      </c>
      <c r="AT17" s="2" t="s">
        <v>262</v>
      </c>
      <c r="AU17" s="2" t="s">
        <v>262</v>
      </c>
      <c r="AV17" s="2" t="s">
        <v>1789</v>
      </c>
      <c r="AW17" s="2" t="s">
        <v>1789</v>
      </c>
      <c r="AX17" s="2" t="s">
        <v>1763</v>
      </c>
      <c r="BG17" s="2" t="s">
        <v>1747</v>
      </c>
      <c r="BH17" s="2" t="s">
        <v>1747</v>
      </c>
      <c r="BM17" s="2" t="s">
        <v>283</v>
      </c>
      <c r="BN17" s="2" t="s">
        <v>285</v>
      </c>
      <c r="BO17" s="350">
        <v>45764</v>
      </c>
      <c r="BP17" s="2" t="s">
        <v>2128</v>
      </c>
      <c r="BQ17" s="2" t="s">
        <v>2103</v>
      </c>
      <c r="BR17" s="2">
        <v>8</v>
      </c>
      <c r="BS17" s="149">
        <v>45761</v>
      </c>
      <c r="BT17" s="149">
        <f t="shared" si="5"/>
        <v>45761</v>
      </c>
      <c r="CG17" s="2" t="s">
        <v>297</v>
      </c>
      <c r="CH17" s="2" t="s">
        <v>1845</v>
      </c>
      <c r="CI17" s="2" t="s">
        <v>1872</v>
      </c>
      <c r="CJ17" s="2" t="s">
        <v>1860</v>
      </c>
      <c r="CK17" s="2" t="s">
        <v>538</v>
      </c>
      <c r="CL17" s="2" t="s">
        <v>538</v>
      </c>
      <c r="CM17" s="39">
        <v>4</v>
      </c>
      <c r="CN17" s="2" t="str">
        <f t="shared" si="1"/>
        <v>TADigital NA Consulting - Sr. Project Manager</v>
      </c>
      <c r="CO17" s="2" t="str">
        <f t="shared" si="2"/>
        <v>TADigital India Consulting | Cloud &amp; Engineering - L2 / B1-B3 | Associate Engineer</v>
      </c>
      <c r="CP17" s="1579">
        <v>235</v>
      </c>
      <c r="CQ17" s="1579">
        <v>132.5</v>
      </c>
      <c r="CR17" s="1579">
        <v>95</v>
      </c>
      <c r="CS17" s="1579">
        <f t="shared" si="3"/>
        <v>32.800000000000004</v>
      </c>
      <c r="CT17" s="1579">
        <v>40</v>
      </c>
      <c r="CU17" s="2">
        <f t="shared" si="4"/>
        <v>13</v>
      </c>
      <c r="CV17" s="2" t="str">
        <f t="shared" si="0"/>
        <v>Sr. Project Manager</v>
      </c>
      <c r="CW17" s="2" t="str">
        <f>_xlfn.XLOOKUP(CL17,'[1]Rates &amp; Drop Downs INT'!D$373:D$430,'[1]Rates &amp; Drop Downs INT'!C$373:C$430,"X",1)</f>
        <v>Cloud &amp; Engineering - 2 | Associate Engineer</v>
      </c>
      <c r="DF17" t="s">
        <v>2461</v>
      </c>
      <c r="DG17" t="s">
        <v>3537</v>
      </c>
      <c r="DH17" t="s">
        <v>1780</v>
      </c>
    </row>
    <row r="18" spans="2:112" ht="13.05" customHeight="1" x14ac:dyDescent="0.3">
      <c r="B18" s="4" t="s">
        <v>176</v>
      </c>
      <c r="C18" s="4" t="s">
        <v>284</v>
      </c>
      <c r="D18" s="4"/>
      <c r="E18" s="4"/>
      <c r="F18" s="4" t="s">
        <v>259</v>
      </c>
      <c r="G18" s="343">
        <v>96</v>
      </c>
      <c r="H18" s="4" t="s">
        <v>119</v>
      </c>
      <c r="I18" s="344">
        <v>240</v>
      </c>
      <c r="J18" s="352">
        <v>3</v>
      </c>
      <c r="S18" s="2" t="s">
        <v>276</v>
      </c>
      <c r="U18" s="2" t="s">
        <v>1749</v>
      </c>
      <c r="AN18" s="106" t="str">
        <f>IF(OR('1. Project Inputs'!$C$24="Consulting",'1. Project Inputs'!$C$24="Digital - MarTech Consulting/Strategy")=TRUE,'1. Project Inputs'!B50,IF('1. Project Inputs'!$C$24="Select",'1. Project Inputs'!B50,""))</f>
        <v/>
      </c>
      <c r="AT18" s="2" t="s">
        <v>262</v>
      </c>
      <c r="AU18" s="2" t="s">
        <v>262</v>
      </c>
      <c r="AV18" s="2" t="s">
        <v>1789</v>
      </c>
      <c r="AW18" s="2" t="s">
        <v>1789</v>
      </c>
      <c r="AX18" s="2" t="s">
        <v>1764</v>
      </c>
      <c r="BG18" s="2" t="s">
        <v>326</v>
      </c>
      <c r="BH18" s="2" t="s">
        <v>326</v>
      </c>
      <c r="BM18" s="2" t="s">
        <v>283</v>
      </c>
      <c r="BN18" s="2" t="s">
        <v>285</v>
      </c>
      <c r="BO18" s="350">
        <v>45765</v>
      </c>
      <c r="BP18" s="2" t="s">
        <v>2129</v>
      </c>
      <c r="BQ18" s="2" t="s">
        <v>2103</v>
      </c>
      <c r="BR18" s="2">
        <v>8</v>
      </c>
      <c r="BS18" s="149">
        <v>45761</v>
      </c>
      <c r="BT18" s="149">
        <f t="shared" si="5"/>
        <v>45761</v>
      </c>
      <c r="CG18" s="2" t="s">
        <v>297</v>
      </c>
      <c r="CH18" s="2" t="s">
        <v>1845</v>
      </c>
      <c r="CI18" s="2" t="s">
        <v>1872</v>
      </c>
      <c r="CJ18" s="2" t="s">
        <v>1860</v>
      </c>
      <c r="CK18" s="2" t="s">
        <v>536</v>
      </c>
      <c r="CL18" s="2" t="s">
        <v>536</v>
      </c>
      <c r="CM18" s="39">
        <v>3</v>
      </c>
      <c r="CN18" s="2" t="str">
        <f t="shared" si="1"/>
        <v>TADigital NA Digital - Technical Lead</v>
      </c>
      <c r="CO18" s="2" t="str">
        <f t="shared" si="2"/>
        <v>TADigital India Consulting | Cloud &amp; Engineering - L2 / B1-B3 | Associate Engineer</v>
      </c>
      <c r="CP18" s="1579">
        <v>185</v>
      </c>
      <c r="CQ18" s="1579">
        <v>90</v>
      </c>
      <c r="CR18" s="1579">
        <v>85</v>
      </c>
      <c r="CS18" s="1579">
        <f t="shared" si="3"/>
        <v>24.6</v>
      </c>
      <c r="CT18" s="1579">
        <v>30</v>
      </c>
      <c r="CU18" s="2">
        <f t="shared" si="4"/>
        <v>13</v>
      </c>
      <c r="CV18" s="2" t="str">
        <f t="shared" si="0"/>
        <v>Technical Lead</v>
      </c>
      <c r="CW18" s="2" t="str">
        <f>_xlfn.XLOOKUP(CL18,'[1]Rates &amp; Drop Downs INT'!D$373:D$430,'[1]Rates &amp; Drop Downs INT'!C$373:C$430,"X",1)</f>
        <v>Cloud &amp; Engineering - 2 | Associate Engineer</v>
      </c>
      <c r="DF18" t="s">
        <v>2461</v>
      </c>
      <c r="DG18" t="s">
        <v>3537</v>
      </c>
      <c r="DH18" t="s">
        <v>3429</v>
      </c>
    </row>
    <row r="19" spans="2:112" ht="13.05" customHeight="1" x14ac:dyDescent="0.3">
      <c r="B19" s="4" t="s">
        <v>176</v>
      </c>
      <c r="C19" s="346" t="s">
        <v>177</v>
      </c>
      <c r="D19" s="346"/>
      <c r="E19" s="346"/>
      <c r="F19" s="346" t="s">
        <v>271</v>
      </c>
      <c r="G19" s="343">
        <v>77</v>
      </c>
      <c r="H19" s="4" t="s">
        <v>119</v>
      </c>
      <c r="I19" s="348">
        <v>200</v>
      </c>
      <c r="J19" s="351">
        <v>2</v>
      </c>
      <c r="S19" s="2" t="s">
        <v>334</v>
      </c>
      <c r="AN19" s="106" t="str">
        <f>IF(OR('1. Project Inputs'!$C$24="Consulting",'1. Project Inputs'!$C$24="Digital - MarTech Consulting/Strategy")=TRUE,'1. Project Inputs'!B51,IF('1. Project Inputs'!$C$24="Select",'1. Project Inputs'!B51,""))</f>
        <v/>
      </c>
      <c r="AT19" s="2" t="s">
        <v>262</v>
      </c>
      <c r="AU19" s="2" t="s">
        <v>262</v>
      </c>
      <c r="AV19" s="2" t="s">
        <v>1789</v>
      </c>
      <c r="AW19" s="2" t="s">
        <v>1789</v>
      </c>
      <c r="AX19" s="2" t="s">
        <v>1765</v>
      </c>
      <c r="BG19" s="2" t="s">
        <v>279</v>
      </c>
      <c r="BH19" s="2" t="s">
        <v>279</v>
      </c>
      <c r="BM19" s="2" t="s">
        <v>283</v>
      </c>
      <c r="BN19" s="2" t="s">
        <v>285</v>
      </c>
      <c r="BO19" s="350">
        <v>45778</v>
      </c>
      <c r="BP19" s="2" t="s">
        <v>2130</v>
      </c>
      <c r="BQ19" s="2" t="s">
        <v>2103</v>
      </c>
      <c r="BR19" s="2">
        <v>8</v>
      </c>
      <c r="BS19" s="149">
        <v>45775</v>
      </c>
      <c r="BT19" s="149">
        <f t="shared" si="5"/>
        <v>45775</v>
      </c>
      <c r="CG19" s="2" t="s">
        <v>297</v>
      </c>
      <c r="CH19" s="2" t="s">
        <v>1845</v>
      </c>
      <c r="CI19" s="2" t="s">
        <v>2439</v>
      </c>
      <c r="CJ19" s="2" t="s">
        <v>1856</v>
      </c>
      <c r="CK19" s="2" t="s">
        <v>565</v>
      </c>
      <c r="CL19" s="2">
        <v>0</v>
      </c>
      <c r="CM19" s="39">
        <v>3</v>
      </c>
      <c r="CN19" s="2" t="str">
        <f t="shared" si="1"/>
        <v>TADigital NA Digital - BA Lead</v>
      </c>
      <c r="CO19" s="2" t="str">
        <f t="shared" si="2"/>
        <v>TADigital India Consulting | Cloud &amp; Engineering - L2 / B1-B3 | Associate Engineer</v>
      </c>
      <c r="CP19" s="1579">
        <v>195</v>
      </c>
      <c r="CQ19" s="1579">
        <v>107.5</v>
      </c>
      <c r="CR19" s="1579">
        <v>85</v>
      </c>
      <c r="CS19" s="1579">
        <f t="shared" si="3"/>
        <v>26.650000000000002</v>
      </c>
      <c r="CT19" s="1579">
        <v>32.5</v>
      </c>
      <c r="CU19" s="2">
        <f t="shared" si="4"/>
        <v>13</v>
      </c>
      <c r="CV19" s="2" t="str">
        <f t="shared" si="0"/>
        <v>BA Lead</v>
      </c>
      <c r="CW19" s="2" t="str">
        <f>_xlfn.XLOOKUP(CL19,'[1]Rates &amp; Drop Downs INT'!D$373:D$430,'[1]Rates &amp; Drop Downs INT'!C$373:C$430,"X",1)</f>
        <v>Cloud &amp; Engineering - 2 | Associate Engineer</v>
      </c>
      <c r="DF19" t="s">
        <v>2424</v>
      </c>
      <c r="DG19" t="s">
        <v>3483</v>
      </c>
      <c r="DH19" t="s">
        <v>1773</v>
      </c>
    </row>
    <row r="20" spans="2:112" ht="13.05" customHeight="1" x14ac:dyDescent="0.3">
      <c r="B20" s="346" t="s">
        <v>176</v>
      </c>
      <c r="C20" s="346" t="s">
        <v>177</v>
      </c>
      <c r="D20" s="346"/>
      <c r="E20" s="346"/>
      <c r="F20" s="346" t="s">
        <v>259</v>
      </c>
      <c r="G20" s="347">
        <v>96</v>
      </c>
      <c r="H20" s="346" t="s">
        <v>119</v>
      </c>
      <c r="I20" s="348">
        <v>240</v>
      </c>
      <c r="J20" s="349">
        <v>3</v>
      </c>
      <c r="S20" s="2" t="s">
        <v>336</v>
      </c>
      <c r="AN20" s="106" t="str">
        <f>IF(OR('1. Project Inputs'!$C$24="Consulting",'1. Project Inputs'!$C$24="Digital - MarTech Consulting/Strategy")=TRUE,'1. Project Inputs'!B52,IF('1. Project Inputs'!$C$24="Select",'1. Project Inputs'!B52,""))</f>
        <v/>
      </c>
      <c r="AT20" s="2" t="s">
        <v>262</v>
      </c>
      <c r="AU20" s="2" t="s">
        <v>262</v>
      </c>
      <c r="AV20" s="2" t="s">
        <v>1789</v>
      </c>
      <c r="AW20" s="2" t="s">
        <v>1789</v>
      </c>
      <c r="AX20" s="2" t="s">
        <v>1766</v>
      </c>
      <c r="BG20" s="2" t="s">
        <v>1748</v>
      </c>
      <c r="BH20" s="2" t="s">
        <v>1748</v>
      </c>
      <c r="BM20" s="2" t="s">
        <v>283</v>
      </c>
      <c r="BN20" s="2" t="s">
        <v>285</v>
      </c>
      <c r="BO20" s="350">
        <v>45810</v>
      </c>
      <c r="BP20" s="2" t="s">
        <v>2131</v>
      </c>
      <c r="BQ20" s="2" t="s">
        <v>2103</v>
      </c>
      <c r="BR20" s="2">
        <v>8</v>
      </c>
      <c r="BS20" s="149">
        <v>45810</v>
      </c>
      <c r="BT20" s="149">
        <f t="shared" si="5"/>
        <v>45810</v>
      </c>
      <c r="CG20" s="2" t="s">
        <v>297</v>
      </c>
      <c r="CH20" s="2" t="s">
        <v>1845</v>
      </c>
      <c r="CI20" s="2" t="s">
        <v>2439</v>
      </c>
      <c r="CJ20" s="2" t="s">
        <v>1856</v>
      </c>
      <c r="CK20" s="2" t="s">
        <v>380</v>
      </c>
      <c r="CL20" s="2">
        <v>0</v>
      </c>
      <c r="CM20" s="39">
        <v>2</v>
      </c>
      <c r="CN20" s="2" t="str">
        <f t="shared" si="1"/>
        <v>TADigital NA Consulting | Content &amp; SEO - Associate Content Strategist</v>
      </c>
      <c r="CO20" s="2" t="str">
        <f t="shared" si="2"/>
        <v>TADigital India Consulting | Cloud &amp; Engineering - L2 / B1-B3 | Associate Engineer</v>
      </c>
      <c r="CP20" s="1579">
        <v>160</v>
      </c>
      <c r="CQ20" s="1579">
        <v>97.5</v>
      </c>
      <c r="CR20" s="1579">
        <v>55</v>
      </c>
      <c r="CS20" s="1579">
        <f t="shared" si="3"/>
        <v>18.450000000000003</v>
      </c>
      <c r="CT20" s="1579">
        <v>22.5</v>
      </c>
      <c r="CU20" s="2">
        <f t="shared" si="4"/>
        <v>13</v>
      </c>
      <c r="CV20" s="2" t="str">
        <f t="shared" si="0"/>
        <v>Content &amp; SEO - Associate Content Strategist</v>
      </c>
      <c r="CW20" s="2" t="str">
        <f>_xlfn.XLOOKUP(CL20,'[1]Rates &amp; Drop Downs INT'!D$373:D$430,'[1]Rates &amp; Drop Downs INT'!C$373:C$430,"X",1)</f>
        <v>Cloud &amp; Engineering - 2 | Associate Engineer</v>
      </c>
      <c r="DF20" t="s">
        <v>2424</v>
      </c>
      <c r="DG20" t="s">
        <v>3483</v>
      </c>
      <c r="DH20" t="s">
        <v>1774</v>
      </c>
    </row>
    <row r="21" spans="2:112" ht="13.05" customHeight="1" x14ac:dyDescent="0.3">
      <c r="B21" s="346" t="s">
        <v>176</v>
      </c>
      <c r="C21" s="4" t="s">
        <v>302</v>
      </c>
      <c r="D21" s="4"/>
      <c r="E21" s="4"/>
      <c r="F21" s="346" t="s">
        <v>271</v>
      </c>
      <c r="G21" s="343">
        <v>77</v>
      </c>
      <c r="H21" s="4" t="s">
        <v>119</v>
      </c>
      <c r="I21" s="348">
        <v>200</v>
      </c>
      <c r="J21" s="351">
        <v>2</v>
      </c>
      <c r="S21" s="2" t="s">
        <v>338</v>
      </c>
      <c r="AN21" s="106" t="str">
        <f>IF(OR('1. Project Inputs'!$C$24="Consulting",'1. Project Inputs'!$C$24="Digital - MarTech Consulting/Strategy")=TRUE,'1. Project Inputs'!B53,IF('1. Project Inputs'!$C$24="Select",'1. Project Inputs'!B53,""))</f>
        <v/>
      </c>
      <c r="AT21" s="2" t="s">
        <v>262</v>
      </c>
      <c r="AU21" s="2" t="s">
        <v>262</v>
      </c>
      <c r="AV21" s="2" t="s">
        <v>1789</v>
      </c>
      <c r="AW21" s="2" t="s">
        <v>1789</v>
      </c>
      <c r="AX21" s="2" t="s">
        <v>1767</v>
      </c>
      <c r="BG21" s="2" t="s">
        <v>1749</v>
      </c>
      <c r="BH21" s="2" t="s">
        <v>1749</v>
      </c>
      <c r="BM21" s="2" t="s">
        <v>283</v>
      </c>
      <c r="BN21" s="2" t="s">
        <v>285</v>
      </c>
      <c r="BO21" s="350">
        <v>45827</v>
      </c>
      <c r="BP21" s="2" t="s">
        <v>2108</v>
      </c>
      <c r="BQ21" s="2" t="s">
        <v>2103</v>
      </c>
      <c r="BR21" s="2">
        <v>8</v>
      </c>
      <c r="BS21" s="149">
        <v>45824</v>
      </c>
      <c r="BT21" s="149">
        <f t="shared" si="5"/>
        <v>45824</v>
      </c>
      <c r="CG21" s="2" t="s">
        <v>297</v>
      </c>
      <c r="CH21" s="2" t="s">
        <v>1845</v>
      </c>
      <c r="CI21" s="2" t="s">
        <v>2439</v>
      </c>
      <c r="CJ21" s="2" t="s">
        <v>1856</v>
      </c>
      <c r="CK21" s="2" t="s">
        <v>563</v>
      </c>
      <c r="CL21" s="2">
        <v>0</v>
      </c>
      <c r="CM21" s="39">
        <v>2</v>
      </c>
      <c r="CN21" s="2" t="str">
        <f t="shared" si="1"/>
        <v>TADigital NA Digital - Technical Lead</v>
      </c>
      <c r="CO21" s="2" t="str">
        <f t="shared" si="2"/>
        <v>TADigital India Consulting | Cloud &amp; Engineering - L2 / B1-B3 | Associate Engineer</v>
      </c>
      <c r="CP21" s="1579">
        <v>185</v>
      </c>
      <c r="CQ21" s="1579">
        <v>105</v>
      </c>
      <c r="CR21" s="1579">
        <v>65</v>
      </c>
      <c r="CS21" s="1579">
        <f t="shared" si="3"/>
        <v>24.6</v>
      </c>
      <c r="CT21" s="1579">
        <v>30</v>
      </c>
      <c r="CU21" s="2">
        <f t="shared" si="4"/>
        <v>13</v>
      </c>
      <c r="CV21" s="2" t="str">
        <f t="shared" si="0"/>
        <v>Technical Lead</v>
      </c>
      <c r="CW21" s="2" t="str">
        <f>_xlfn.XLOOKUP(CL21,'[1]Rates &amp; Drop Downs INT'!D$373:D$430,'[1]Rates &amp; Drop Downs INT'!C$373:C$430,"X",1)</f>
        <v>Cloud &amp; Engineering - 2 | Associate Engineer</v>
      </c>
      <c r="DF21" t="s">
        <v>2424</v>
      </c>
      <c r="DG21" t="s">
        <v>3483</v>
      </c>
      <c r="DH21" t="s">
        <v>3430</v>
      </c>
    </row>
    <row r="22" spans="2:112" ht="13.05" customHeight="1" x14ac:dyDescent="0.3">
      <c r="B22" s="4" t="s">
        <v>176</v>
      </c>
      <c r="C22" s="4" t="s">
        <v>302</v>
      </c>
      <c r="D22" s="4"/>
      <c r="E22" s="4"/>
      <c r="F22" s="4" t="s">
        <v>259</v>
      </c>
      <c r="G22" s="343">
        <v>96</v>
      </c>
      <c r="H22" s="4" t="s">
        <v>119</v>
      </c>
      <c r="I22" s="344">
        <v>240</v>
      </c>
      <c r="J22" s="352">
        <v>3</v>
      </c>
      <c r="S22" s="2" t="s">
        <v>340</v>
      </c>
      <c r="AN22" s="106" t="str">
        <f>IF(OR('1. Project Inputs'!$C$24="Consulting",'1. Project Inputs'!$C$24="Digital - MarTech Consulting/Strategy")=TRUE,'1. Project Inputs'!B54,IF('1. Project Inputs'!$C$24="Select",'1. Project Inputs'!B54,""))</f>
        <v/>
      </c>
      <c r="AT22" s="2" t="s">
        <v>262</v>
      </c>
      <c r="AU22" s="2" t="s">
        <v>262</v>
      </c>
      <c r="AV22" s="2" t="s">
        <v>1790</v>
      </c>
      <c r="AW22" s="2" t="s">
        <v>1790</v>
      </c>
      <c r="AX22" s="2" t="s">
        <v>1768</v>
      </c>
      <c r="BM22" s="2" t="s">
        <v>283</v>
      </c>
      <c r="BN22" s="2" t="s">
        <v>285</v>
      </c>
      <c r="BO22" s="350">
        <v>45831</v>
      </c>
      <c r="BP22" s="2" t="s">
        <v>2132</v>
      </c>
      <c r="BQ22" s="2" t="s">
        <v>2103</v>
      </c>
      <c r="BR22" s="2">
        <v>8</v>
      </c>
      <c r="BS22" s="149">
        <v>45831</v>
      </c>
      <c r="BT22" s="149">
        <f t="shared" si="5"/>
        <v>45831</v>
      </c>
      <c r="CG22" s="2" t="s">
        <v>297</v>
      </c>
      <c r="CH22" s="2" t="s">
        <v>1845</v>
      </c>
      <c r="CI22" s="2" t="s">
        <v>3325</v>
      </c>
      <c r="CJ22" s="2" t="s">
        <v>1863</v>
      </c>
      <c r="CK22" s="2" t="s">
        <v>3355</v>
      </c>
      <c r="CL22" s="2" t="s">
        <v>3547</v>
      </c>
      <c r="CM22" s="39">
        <v>2</v>
      </c>
      <c r="CN22" s="2" t="str">
        <f t="shared" si="1"/>
        <v>TADigital NA Consulting | Content &amp; SEO - Associate Web Content Analyst</v>
      </c>
      <c r="CO22" s="2" t="str">
        <f t="shared" si="2"/>
        <v>TADigital India Consulting | Cloud &amp; Engineering - L2 / B1-B3 | Associate Engineer</v>
      </c>
      <c r="CP22" s="1579">
        <v>0</v>
      </c>
      <c r="CQ22" s="1579">
        <v>0</v>
      </c>
      <c r="CR22" s="1579">
        <v>35</v>
      </c>
      <c r="CS22" s="1579">
        <f t="shared" si="3"/>
        <v>10.66</v>
      </c>
      <c r="CT22" s="1579">
        <v>13</v>
      </c>
      <c r="CU22" s="2">
        <f t="shared" si="4"/>
        <v>13</v>
      </c>
      <c r="CV22" s="2" t="str">
        <f t="shared" si="0"/>
        <v>Content &amp; SEO - Associate Web Content Analyst</v>
      </c>
      <c r="CW22" s="2" t="str">
        <f>_xlfn.XLOOKUP(CL22,'[1]Rates &amp; Drop Downs INT'!D$373:D$430,'[1]Rates &amp; Drop Downs INT'!C$373:C$430,"X",1)</f>
        <v>Cloud &amp; Engineering - 2 | Associate Engineer</v>
      </c>
      <c r="DF22" t="s">
        <v>2424</v>
      </c>
      <c r="DG22" t="s">
        <v>3483</v>
      </c>
      <c r="DH22" t="s">
        <v>3431</v>
      </c>
    </row>
    <row r="23" spans="2:112" ht="13.05" customHeight="1" x14ac:dyDescent="0.3">
      <c r="B23" s="4" t="s">
        <v>176</v>
      </c>
      <c r="C23" s="346" t="s">
        <v>309</v>
      </c>
      <c r="D23" s="346"/>
      <c r="E23" s="346"/>
      <c r="F23" s="346" t="s">
        <v>271</v>
      </c>
      <c r="G23" s="343">
        <v>77</v>
      </c>
      <c r="H23" s="4" t="s">
        <v>119</v>
      </c>
      <c r="I23" s="348">
        <v>200</v>
      </c>
      <c r="J23" s="351">
        <v>2</v>
      </c>
      <c r="S23" s="2" t="s">
        <v>342</v>
      </c>
      <c r="AN23" s="106" t="str">
        <f>IF(OR('1. Project Inputs'!$C$24="Consulting",'1. Project Inputs'!$C$24="Digital - MarTech Consulting/Strategy")=TRUE,'1. Project Inputs'!B55,IF('1. Project Inputs'!$C$24="Select",'1. Project Inputs'!B55,""))</f>
        <v/>
      </c>
      <c r="AT23" s="2" t="s">
        <v>262</v>
      </c>
      <c r="AU23" s="2" t="s">
        <v>262</v>
      </c>
      <c r="AV23" s="2" t="s">
        <v>1791</v>
      </c>
      <c r="AW23" s="2" t="s">
        <v>1791</v>
      </c>
      <c r="AX23" s="2" t="s">
        <v>1769</v>
      </c>
      <c r="BM23" s="2" t="s">
        <v>283</v>
      </c>
      <c r="BN23" s="2" t="s">
        <v>285</v>
      </c>
      <c r="BO23" s="350">
        <v>45838</v>
      </c>
      <c r="BP23" s="2" t="s">
        <v>2133</v>
      </c>
      <c r="BQ23" s="2" t="s">
        <v>2103</v>
      </c>
      <c r="BR23" s="2">
        <v>8</v>
      </c>
      <c r="BS23" s="149">
        <v>45838</v>
      </c>
      <c r="BT23" s="149">
        <f t="shared" si="5"/>
        <v>45838</v>
      </c>
      <c r="CG23" s="2" t="s">
        <v>297</v>
      </c>
      <c r="CH23" s="2" t="s">
        <v>1845</v>
      </c>
      <c r="CI23" s="2" t="s">
        <v>3325</v>
      </c>
      <c r="CJ23" s="2" t="s">
        <v>1863</v>
      </c>
      <c r="CK23" s="2" t="s">
        <v>3356</v>
      </c>
      <c r="CL23" s="2" t="s">
        <v>3545</v>
      </c>
      <c r="CM23" s="39">
        <v>2</v>
      </c>
      <c r="CN23" s="2" t="str">
        <f t="shared" si="1"/>
        <v>TADigital NA Consulting | Content &amp; SEO - Associate Web Content Analyst</v>
      </c>
      <c r="CO23" s="2" t="str">
        <f t="shared" si="2"/>
        <v>TADigital India Consulting | Cloud &amp; Engineering - L2 / B1-B3 | Associate Engineer</v>
      </c>
      <c r="CP23" s="1579">
        <v>0</v>
      </c>
      <c r="CQ23" s="1579">
        <v>0</v>
      </c>
      <c r="CR23" s="1579">
        <v>35</v>
      </c>
      <c r="CS23" s="1579">
        <f t="shared" si="3"/>
        <v>10.66</v>
      </c>
      <c r="CT23" s="1579">
        <v>13</v>
      </c>
      <c r="CU23" s="2">
        <f t="shared" si="4"/>
        <v>13</v>
      </c>
      <c r="CV23" s="2" t="str">
        <f t="shared" si="0"/>
        <v>Content &amp; SEO - Associate Web Content Analyst</v>
      </c>
      <c r="CW23" s="2" t="str">
        <f>_xlfn.XLOOKUP(CL23,'[1]Rates &amp; Drop Downs INT'!D$373:D$430,'[1]Rates &amp; Drop Downs INT'!C$373:C$430,"X",1)</f>
        <v>Cloud &amp; Engineering - 2 | Associate Engineer</v>
      </c>
      <c r="DF23" t="s">
        <v>2420</v>
      </c>
      <c r="DG23" t="s">
        <v>3484</v>
      </c>
      <c r="DH23" t="s">
        <v>1769</v>
      </c>
    </row>
    <row r="24" spans="2:112" ht="13.05" customHeight="1" x14ac:dyDescent="0.3">
      <c r="B24" s="346" t="s">
        <v>176</v>
      </c>
      <c r="C24" s="346" t="s">
        <v>309</v>
      </c>
      <c r="D24" s="346"/>
      <c r="E24" s="346"/>
      <c r="F24" s="346" t="s">
        <v>259</v>
      </c>
      <c r="G24" s="347">
        <v>96</v>
      </c>
      <c r="H24" s="346" t="s">
        <v>119</v>
      </c>
      <c r="I24" s="348">
        <v>240</v>
      </c>
      <c r="J24" s="349">
        <v>3</v>
      </c>
      <c r="S24" s="2" t="s">
        <v>344</v>
      </c>
      <c r="AN24" s="106" t="str">
        <f>IF(OR('1. Project Inputs'!$C$24="Consulting",'1. Project Inputs'!$C$24="Digital - MarTech Consulting/Strategy")=TRUE,'1. Project Inputs'!B56,IF('1. Project Inputs'!$C$24="Select",'1. Project Inputs'!B56,""))</f>
        <v/>
      </c>
      <c r="AT24" s="2" t="s">
        <v>262</v>
      </c>
      <c r="AU24" s="2" t="s">
        <v>262</v>
      </c>
      <c r="AV24" s="2" t="s">
        <v>1791</v>
      </c>
      <c r="AW24" s="2" t="s">
        <v>1791</v>
      </c>
      <c r="AX24" s="2" t="s">
        <v>1770</v>
      </c>
      <c r="BM24" s="2" t="s">
        <v>283</v>
      </c>
      <c r="BN24" s="2" t="s">
        <v>285</v>
      </c>
      <c r="BO24" s="350">
        <v>45858</v>
      </c>
      <c r="BP24" s="2" t="s">
        <v>2109</v>
      </c>
      <c r="BQ24" s="2" t="s">
        <v>2103</v>
      </c>
      <c r="BR24" s="2">
        <v>8</v>
      </c>
      <c r="BS24" s="149">
        <v>45859</v>
      </c>
      <c r="BT24" s="149">
        <f t="shared" si="5"/>
        <v>45859</v>
      </c>
      <c r="CG24" s="2" t="s">
        <v>297</v>
      </c>
      <c r="CH24" s="2" t="s">
        <v>1845</v>
      </c>
      <c r="CI24" s="2" t="s">
        <v>3325</v>
      </c>
      <c r="CJ24" s="2" t="s">
        <v>1863</v>
      </c>
      <c r="CK24" s="2" t="s">
        <v>720</v>
      </c>
      <c r="CL24" s="2" t="s">
        <v>3546</v>
      </c>
      <c r="CM24" s="39">
        <v>5</v>
      </c>
      <c r="CN24" s="2" t="str">
        <f t="shared" si="1"/>
        <v>TADigital NA | Management - Associate Practice Director</v>
      </c>
      <c r="CO24" s="2" t="str">
        <f t="shared" si="2"/>
        <v>TADigital India Consulting | Cloud &amp; Engineering - L2 / B1-B3 | Associate Engineer</v>
      </c>
      <c r="CP24" s="1579">
        <v>290</v>
      </c>
      <c r="CQ24" s="1579">
        <v>140</v>
      </c>
      <c r="CR24" s="1579">
        <v>105</v>
      </c>
      <c r="CS24" s="1579">
        <f t="shared" si="3"/>
        <v>45.1</v>
      </c>
      <c r="CT24" s="1579">
        <v>55</v>
      </c>
      <c r="CU24" s="2">
        <f t="shared" si="4"/>
        <v>13</v>
      </c>
      <c r="CV24" s="2" t="str">
        <f t="shared" si="0"/>
        <v>Management - Associate Practice Director</v>
      </c>
      <c r="CW24" s="2" t="str">
        <f>_xlfn.XLOOKUP(CL24,'[1]Rates &amp; Drop Downs INT'!D$373:D$430,'[1]Rates &amp; Drop Downs INT'!C$373:C$430,"X",1)</f>
        <v>Cloud &amp; Engineering - 2 | Associate Engineer</v>
      </c>
      <c r="DF24" t="s">
        <v>2420</v>
      </c>
      <c r="DG24" t="s">
        <v>3484</v>
      </c>
      <c r="DH24" t="s">
        <v>1854</v>
      </c>
    </row>
    <row r="25" spans="2:112" ht="13.05" customHeight="1" x14ac:dyDescent="0.3">
      <c r="B25" s="4" t="s">
        <v>176</v>
      </c>
      <c r="C25" s="4" t="s">
        <v>345</v>
      </c>
      <c r="D25" s="4"/>
      <c r="E25" s="4"/>
      <c r="F25" s="4" t="s">
        <v>353</v>
      </c>
      <c r="G25" s="343">
        <v>128</v>
      </c>
      <c r="H25" s="346" t="s">
        <v>119</v>
      </c>
      <c r="I25" s="344">
        <v>300</v>
      </c>
      <c r="J25" s="351">
        <v>4</v>
      </c>
      <c r="S25" s="2" t="s">
        <v>347</v>
      </c>
      <c r="AN25" s="106" t="str">
        <f>IF(OR('1. Project Inputs'!$C$24="Consulting",'1. Project Inputs'!$C$24="Digital - MarTech Consulting/Strategy")=TRUE,'1. Project Inputs'!B57,IF('1. Project Inputs'!$C$24="Select",'1. Project Inputs'!B57,""))</f>
        <v/>
      </c>
      <c r="AT25" s="2" t="s">
        <v>262</v>
      </c>
      <c r="AU25" s="2" t="s">
        <v>262</v>
      </c>
      <c r="AV25" s="2" t="s">
        <v>1791</v>
      </c>
      <c r="AW25" s="2" t="s">
        <v>1791</v>
      </c>
      <c r="AX25" s="2" t="s">
        <v>1771</v>
      </c>
      <c r="BM25" s="2" t="s">
        <v>283</v>
      </c>
      <c r="BN25" s="2" t="s">
        <v>285</v>
      </c>
      <c r="BO25" s="350">
        <v>45876</v>
      </c>
      <c r="BP25" s="2" t="s">
        <v>2134</v>
      </c>
      <c r="BQ25" s="2" t="s">
        <v>2103</v>
      </c>
      <c r="BR25" s="2">
        <v>8</v>
      </c>
      <c r="BS25" s="149">
        <v>45873</v>
      </c>
      <c r="BT25" s="149">
        <f t="shared" si="5"/>
        <v>45873</v>
      </c>
      <c r="CG25" s="2" t="s">
        <v>297</v>
      </c>
      <c r="CH25" s="2" t="s">
        <v>1845</v>
      </c>
      <c r="CI25" s="2" t="s">
        <v>3325</v>
      </c>
      <c r="CJ25" s="2" t="s">
        <v>1863</v>
      </c>
      <c r="CK25" s="2" t="s">
        <v>367</v>
      </c>
      <c r="CL25" s="2" t="s">
        <v>536</v>
      </c>
      <c r="CM25" s="39">
        <v>2</v>
      </c>
      <c r="CN25" s="2" t="str">
        <f t="shared" si="1"/>
        <v>TADigital NA Consulting | Content &amp; SEO - Associate Content Strategist</v>
      </c>
      <c r="CO25" s="2" t="str">
        <f t="shared" si="2"/>
        <v>TADigital India Consulting | Cloud &amp; Engineering - L2 / B1-B3 | Associate Engineer</v>
      </c>
      <c r="CP25" s="1579">
        <v>160</v>
      </c>
      <c r="CQ25" s="1579">
        <v>85</v>
      </c>
      <c r="CR25" s="1579">
        <v>55</v>
      </c>
      <c r="CS25" s="1579">
        <f t="shared" si="3"/>
        <v>14.760000000000002</v>
      </c>
      <c r="CT25" s="1579">
        <v>18</v>
      </c>
      <c r="CU25" s="2">
        <f t="shared" si="4"/>
        <v>13</v>
      </c>
      <c r="CV25" s="2" t="str">
        <f t="shared" si="0"/>
        <v>Content &amp; SEO - Associate Content Strategist</v>
      </c>
      <c r="CW25" s="2" t="str">
        <f>_xlfn.XLOOKUP(CL25,'[1]Rates &amp; Drop Downs INT'!D$373:D$430,'[1]Rates &amp; Drop Downs INT'!C$373:C$430,"X",1)</f>
        <v>Cloud &amp; Engineering - 2 | Associate Engineer</v>
      </c>
      <c r="DF25" t="s">
        <v>2420</v>
      </c>
      <c r="DG25" t="s">
        <v>3484</v>
      </c>
      <c r="DH25" t="s">
        <v>1770</v>
      </c>
    </row>
    <row r="26" spans="2:112" ht="13.05" customHeight="1" x14ac:dyDescent="0.3">
      <c r="B26" s="4" t="s">
        <v>176</v>
      </c>
      <c r="C26" s="4" t="s">
        <v>345</v>
      </c>
      <c r="D26" s="4"/>
      <c r="E26" s="4"/>
      <c r="F26" s="4" t="s">
        <v>346</v>
      </c>
      <c r="G26" s="343">
        <v>172</v>
      </c>
      <c r="H26" s="4" t="s">
        <v>119</v>
      </c>
      <c r="I26" s="344">
        <v>350</v>
      </c>
      <c r="J26" s="345">
        <v>5</v>
      </c>
      <c r="S26" s="2" t="s">
        <v>349</v>
      </c>
      <c r="AN26" s="106">
        <f>IF('1. Project Inputs'!F38="Manual Entry","",'1. Project Inputs'!F38)</f>
        <v>0</v>
      </c>
      <c r="AT26" s="2" t="s">
        <v>262</v>
      </c>
      <c r="AU26" s="2" t="s">
        <v>262</v>
      </c>
      <c r="AV26" s="2" t="s">
        <v>1791</v>
      </c>
      <c r="AW26" s="2" t="s">
        <v>1791</v>
      </c>
      <c r="AX26" s="2" t="s">
        <v>1772</v>
      </c>
      <c r="BM26" s="2" t="s">
        <v>283</v>
      </c>
      <c r="BN26" s="2" t="s">
        <v>285</v>
      </c>
      <c r="BO26" s="350">
        <v>45887</v>
      </c>
      <c r="BP26" s="2" t="s">
        <v>2135</v>
      </c>
      <c r="BQ26" s="2" t="s">
        <v>2103</v>
      </c>
      <c r="BR26" s="2">
        <v>8</v>
      </c>
      <c r="BS26" s="149">
        <v>45887</v>
      </c>
      <c r="BT26" s="149">
        <f t="shared" si="5"/>
        <v>45887</v>
      </c>
      <c r="CG26" s="2" t="s">
        <v>297</v>
      </c>
      <c r="CH26" s="2" t="s">
        <v>1845</v>
      </c>
      <c r="CI26" s="2" t="s">
        <v>3325</v>
      </c>
      <c r="CJ26" s="2" t="s">
        <v>1863</v>
      </c>
      <c r="CK26" s="2" t="s">
        <v>348</v>
      </c>
      <c r="CL26" s="2" t="s">
        <v>538</v>
      </c>
      <c r="CM26" s="39">
        <v>4</v>
      </c>
      <c r="CN26" s="2" t="str">
        <f t="shared" si="1"/>
        <v>TADigital NA Consulting - Sr. Project Manager</v>
      </c>
      <c r="CO26" s="2" t="str">
        <f t="shared" si="2"/>
        <v>TADigital India Consulting | Cloud &amp; Engineering - L2 / B1-B3 | Associate Engineer</v>
      </c>
      <c r="CP26" s="1579">
        <v>235</v>
      </c>
      <c r="CQ26" s="1579">
        <v>115.5</v>
      </c>
      <c r="CR26" s="1579">
        <v>95</v>
      </c>
      <c r="CS26" s="1579">
        <f t="shared" si="3"/>
        <v>30.750000000000004</v>
      </c>
      <c r="CT26" s="1579">
        <v>37.5</v>
      </c>
      <c r="CU26" s="2">
        <f t="shared" si="4"/>
        <v>13</v>
      </c>
      <c r="CV26" s="2" t="str">
        <f t="shared" si="0"/>
        <v>Sr. Project Manager</v>
      </c>
      <c r="CW26" s="2" t="str">
        <f>_xlfn.XLOOKUP(CL26,'[1]Rates &amp; Drop Downs INT'!D$373:D$430,'[1]Rates &amp; Drop Downs INT'!C$373:C$430,"X",1)</f>
        <v>Cloud &amp; Engineering - 2 | Associate Engineer</v>
      </c>
      <c r="DF26" t="s">
        <v>2420</v>
      </c>
      <c r="DG26" t="s">
        <v>3484</v>
      </c>
      <c r="DH26" t="s">
        <v>1173</v>
      </c>
    </row>
    <row r="27" spans="2:112" ht="13.05" customHeight="1" x14ac:dyDescent="0.3">
      <c r="B27" s="4" t="s">
        <v>176</v>
      </c>
      <c r="C27" s="4" t="s">
        <v>345</v>
      </c>
      <c r="D27" s="4"/>
      <c r="E27" s="4"/>
      <c r="F27" s="4" t="s">
        <v>420</v>
      </c>
      <c r="G27" s="343">
        <v>257</v>
      </c>
      <c r="H27" s="4" t="s">
        <v>119</v>
      </c>
      <c r="I27" s="344">
        <v>390</v>
      </c>
      <c r="J27" s="345">
        <v>6</v>
      </c>
      <c r="S27" s="2" t="s">
        <v>351</v>
      </c>
      <c r="AN27" s="106">
        <f>IF('1. Project Inputs'!F39="Manual Entry","",'1. Project Inputs'!F39)</f>
        <v>0</v>
      </c>
      <c r="AT27" s="2" t="s">
        <v>262</v>
      </c>
      <c r="AU27" s="2" t="s">
        <v>262</v>
      </c>
      <c r="AV27" s="2" t="s">
        <v>1792</v>
      </c>
      <c r="AW27" s="2" t="s">
        <v>1792</v>
      </c>
      <c r="AX27" s="2" t="s">
        <v>1773</v>
      </c>
      <c r="BM27" s="2" t="s">
        <v>283</v>
      </c>
      <c r="BN27" s="2" t="s">
        <v>285</v>
      </c>
      <c r="BO27" s="350">
        <v>45930</v>
      </c>
      <c r="BP27" s="2" t="s">
        <v>2136</v>
      </c>
      <c r="BQ27" s="2" t="s">
        <v>2103</v>
      </c>
      <c r="BR27" s="2">
        <v>8</v>
      </c>
      <c r="BS27" s="149">
        <v>45929</v>
      </c>
      <c r="BT27" s="149">
        <f t="shared" si="5"/>
        <v>45929</v>
      </c>
      <c r="CG27" s="2" t="s">
        <v>297</v>
      </c>
      <c r="CH27" s="2" t="s">
        <v>1845</v>
      </c>
      <c r="CI27" s="2" t="s">
        <v>3325</v>
      </c>
      <c r="CJ27" s="2" t="s">
        <v>1863</v>
      </c>
      <c r="CK27" s="2" t="s">
        <v>315</v>
      </c>
      <c r="CL27" s="2" t="s">
        <v>3550</v>
      </c>
      <c r="CM27" s="39">
        <v>2</v>
      </c>
      <c r="CN27" s="2" t="str">
        <f t="shared" si="1"/>
        <v>TADigital NA Consulting | Content &amp; SEO - Associate Content Strategist</v>
      </c>
      <c r="CO27" s="2" t="str">
        <f t="shared" si="2"/>
        <v>TADigital India Consulting | Cloud &amp; Engineering - L2 / B1-B3 | Associate Engineer</v>
      </c>
      <c r="CP27" s="1579">
        <v>160</v>
      </c>
      <c r="CQ27" s="1579">
        <v>85</v>
      </c>
      <c r="CR27" s="1579">
        <v>55</v>
      </c>
      <c r="CS27" s="1579">
        <f t="shared" si="3"/>
        <v>14.760000000000002</v>
      </c>
      <c r="CT27" s="1579">
        <v>18</v>
      </c>
      <c r="CU27" s="2">
        <f t="shared" si="4"/>
        <v>13</v>
      </c>
      <c r="CV27" s="2" t="str">
        <f t="shared" si="0"/>
        <v>Content &amp; SEO - Associate Content Strategist</v>
      </c>
      <c r="CW27" s="2" t="str">
        <f>_xlfn.XLOOKUP(CL27,'[1]Rates &amp; Drop Downs INT'!D$373:D$430,'[1]Rates &amp; Drop Downs INT'!C$373:C$430,"X",1)</f>
        <v>Cloud &amp; Engineering - 2 | Associate Engineer</v>
      </c>
      <c r="DF27" t="s">
        <v>2420</v>
      </c>
      <c r="DG27" t="s">
        <v>3484</v>
      </c>
      <c r="DH27" t="s">
        <v>1772</v>
      </c>
    </row>
    <row r="28" spans="2:112" ht="13.05" customHeight="1" x14ac:dyDescent="0.3">
      <c r="B28" s="4" t="s">
        <v>176</v>
      </c>
      <c r="C28" s="4" t="s">
        <v>413</v>
      </c>
      <c r="D28" s="4"/>
      <c r="E28" s="4"/>
      <c r="F28" s="4" t="s">
        <v>1745</v>
      </c>
      <c r="G28" s="343">
        <v>128</v>
      </c>
      <c r="H28" s="4" t="s">
        <v>119</v>
      </c>
      <c r="I28" s="344">
        <v>300</v>
      </c>
      <c r="J28" s="345">
        <v>4</v>
      </c>
      <c r="S28" s="2" t="s">
        <v>354</v>
      </c>
      <c r="AN28" s="106">
        <f>IF('1. Project Inputs'!F40="Manual Entry","",'1. Project Inputs'!F40)</f>
        <v>0</v>
      </c>
      <c r="AT28" s="2" t="s">
        <v>262</v>
      </c>
      <c r="AU28" s="2" t="s">
        <v>262</v>
      </c>
      <c r="AV28" s="2" t="s">
        <v>1792</v>
      </c>
      <c r="AW28" s="2" t="s">
        <v>1792</v>
      </c>
      <c r="AX28" s="2" t="s">
        <v>1774</v>
      </c>
      <c r="BM28" s="2" t="s">
        <v>283</v>
      </c>
      <c r="BN28" s="2" t="s">
        <v>285</v>
      </c>
      <c r="BO28" s="350">
        <v>45943</v>
      </c>
      <c r="BP28" s="2" t="s">
        <v>2137</v>
      </c>
      <c r="BQ28" s="2" t="s">
        <v>2103</v>
      </c>
      <c r="BR28" s="2">
        <v>8</v>
      </c>
      <c r="BS28" s="149">
        <v>45943</v>
      </c>
      <c r="BT28" s="149">
        <f t="shared" si="5"/>
        <v>45943</v>
      </c>
      <c r="CG28" s="2" t="s">
        <v>297</v>
      </c>
      <c r="CH28" s="2" t="s">
        <v>1845</v>
      </c>
      <c r="CI28" s="2" t="s">
        <v>3325</v>
      </c>
      <c r="CJ28" s="2" t="s">
        <v>1863</v>
      </c>
      <c r="CK28" s="2" t="s">
        <v>3357</v>
      </c>
      <c r="CL28" s="2" t="s">
        <v>536</v>
      </c>
      <c r="CM28" s="39">
        <v>3</v>
      </c>
      <c r="CN28" s="2" t="str">
        <f t="shared" si="1"/>
        <v>TADigital NA Consulting | Content &amp; SEO - Associate Manager</v>
      </c>
      <c r="CO28" s="2" t="str">
        <f t="shared" si="2"/>
        <v>TADigital India Consulting | Cloud &amp; Engineering - L2 / B1-B3 | Associate Engineer</v>
      </c>
      <c r="CP28" s="1579">
        <v>210</v>
      </c>
      <c r="CQ28" s="1579">
        <v>107.5</v>
      </c>
      <c r="CR28" s="1579">
        <v>85</v>
      </c>
      <c r="CS28" s="1579">
        <f t="shared" si="3"/>
        <v>28.700000000000003</v>
      </c>
      <c r="CT28" s="1579">
        <v>35</v>
      </c>
      <c r="CU28" s="2">
        <f t="shared" si="4"/>
        <v>13</v>
      </c>
      <c r="CV28" s="2" t="str">
        <f t="shared" si="0"/>
        <v>Content &amp; SEO - Associate Manager</v>
      </c>
      <c r="CW28" s="2" t="str">
        <f>_xlfn.XLOOKUP(CL28,'[1]Rates &amp; Drop Downs INT'!D$373:D$430,'[1]Rates &amp; Drop Downs INT'!C$373:C$430,"X",1)</f>
        <v>Cloud &amp; Engineering - 2 | Associate Engineer</v>
      </c>
      <c r="DF28" t="s">
        <v>326</v>
      </c>
      <c r="DG28" t="s">
        <v>3485</v>
      </c>
      <c r="DH28" t="s">
        <v>326</v>
      </c>
    </row>
    <row r="29" spans="2:112" ht="13.05" customHeight="1" x14ac:dyDescent="0.3">
      <c r="B29" s="4" t="s">
        <v>176</v>
      </c>
      <c r="C29" s="4" t="s">
        <v>413</v>
      </c>
      <c r="D29" s="4"/>
      <c r="E29" s="4"/>
      <c r="F29" s="346" t="s">
        <v>1744</v>
      </c>
      <c r="G29" s="347">
        <v>172</v>
      </c>
      <c r="H29" s="4" t="s">
        <v>119</v>
      </c>
      <c r="I29" s="348">
        <v>350</v>
      </c>
      <c r="J29" s="345">
        <v>5</v>
      </c>
      <c r="S29" s="2" t="s">
        <v>356</v>
      </c>
      <c r="AN29" s="106">
        <f>IF('1. Project Inputs'!F41="Manual Entry","",'1. Project Inputs'!F41)</f>
        <v>0</v>
      </c>
      <c r="AT29" s="2" t="s">
        <v>262</v>
      </c>
      <c r="AU29" s="2" t="s">
        <v>262</v>
      </c>
      <c r="AV29" s="2" t="s">
        <v>1792</v>
      </c>
      <c r="AW29" s="2" t="s">
        <v>1792</v>
      </c>
      <c r="AX29" s="2" t="s">
        <v>1775</v>
      </c>
      <c r="BM29" s="2" t="s">
        <v>283</v>
      </c>
      <c r="BN29" s="2" t="s">
        <v>285</v>
      </c>
      <c r="BO29" s="350">
        <v>45964</v>
      </c>
      <c r="BP29" s="2" t="s">
        <v>2138</v>
      </c>
      <c r="BQ29" s="2" t="s">
        <v>2103</v>
      </c>
      <c r="BR29" s="2">
        <v>8</v>
      </c>
      <c r="BS29" s="149">
        <v>45964</v>
      </c>
      <c r="BT29" s="149">
        <f t="shared" si="5"/>
        <v>45964</v>
      </c>
      <c r="CG29" s="2" t="s">
        <v>297</v>
      </c>
      <c r="CH29" s="2" t="s">
        <v>1845</v>
      </c>
      <c r="CI29" s="2" t="s">
        <v>3325</v>
      </c>
      <c r="CJ29" s="2" t="s">
        <v>1863</v>
      </c>
      <c r="CK29" s="2" t="s">
        <v>370</v>
      </c>
      <c r="CL29" s="2" t="s">
        <v>3548</v>
      </c>
      <c r="CM29" s="39">
        <v>4</v>
      </c>
      <c r="CN29" s="2" t="str">
        <f t="shared" si="1"/>
        <v>TADigital NA Consulting - Sr. Project Manager</v>
      </c>
      <c r="CO29" s="2" t="str">
        <f t="shared" si="2"/>
        <v>TADigital India Consulting | Cloud &amp; Engineering - L2 / B1-B3 | Associate Engineer</v>
      </c>
      <c r="CP29" s="1579">
        <v>235</v>
      </c>
      <c r="CQ29" s="1579">
        <v>116</v>
      </c>
      <c r="CR29" s="1579">
        <v>95</v>
      </c>
      <c r="CS29" s="1579">
        <f t="shared" si="3"/>
        <v>31.160000000000004</v>
      </c>
      <c r="CT29" s="1579">
        <v>38</v>
      </c>
      <c r="CU29" s="2">
        <f t="shared" si="4"/>
        <v>13</v>
      </c>
      <c r="CV29" s="2" t="str">
        <f t="shared" si="0"/>
        <v>Sr. Project Manager</v>
      </c>
      <c r="CW29" s="2" t="str">
        <f>_xlfn.XLOOKUP(CL29,'[1]Rates &amp; Drop Downs INT'!D$373:D$430,'[1]Rates &amp; Drop Downs INT'!C$373:C$430,"X",1)</f>
        <v>Cloud &amp; Engineering - 2 | Associate Engineer</v>
      </c>
      <c r="DF29" t="s">
        <v>2429</v>
      </c>
      <c r="DG29" t="s">
        <v>3487</v>
      </c>
      <c r="DH29" t="s">
        <v>2429</v>
      </c>
    </row>
    <row r="30" spans="2:112" ht="13.05" customHeight="1" x14ac:dyDescent="0.3">
      <c r="B30" s="346" t="s">
        <v>176</v>
      </c>
      <c r="C30" s="4" t="s">
        <v>393</v>
      </c>
      <c r="D30" s="4"/>
      <c r="E30" s="4"/>
      <c r="F30" s="346" t="s">
        <v>259</v>
      </c>
      <c r="G30" s="347">
        <v>96</v>
      </c>
      <c r="H30" s="346" t="s">
        <v>119</v>
      </c>
      <c r="I30" s="348">
        <v>240</v>
      </c>
      <c r="J30" s="351">
        <v>3</v>
      </c>
      <c r="S30" s="2" t="s">
        <v>358</v>
      </c>
      <c r="AN30" s="106">
        <f>IF('1. Project Inputs'!F42="Manual Entry","",'1. Project Inputs'!F42)</f>
        <v>0</v>
      </c>
      <c r="AT30" s="2" t="s">
        <v>262</v>
      </c>
      <c r="AU30" s="2" t="s">
        <v>262</v>
      </c>
      <c r="AV30" s="2" t="s">
        <v>1792</v>
      </c>
      <c r="AW30" s="2" t="s">
        <v>1792</v>
      </c>
      <c r="AX30" s="2" t="s">
        <v>1776</v>
      </c>
      <c r="BM30" s="2" t="s">
        <v>283</v>
      </c>
      <c r="BN30" s="2" t="s">
        <v>285</v>
      </c>
      <c r="BO30" s="350">
        <v>45978</v>
      </c>
      <c r="BP30" s="2" t="s">
        <v>2139</v>
      </c>
      <c r="BQ30" s="2" t="s">
        <v>2103</v>
      </c>
      <c r="BR30" s="2">
        <v>8</v>
      </c>
      <c r="BS30" s="149">
        <v>45978</v>
      </c>
      <c r="BT30" s="149">
        <f t="shared" si="5"/>
        <v>45978</v>
      </c>
      <c r="CG30" s="2" t="s">
        <v>297</v>
      </c>
      <c r="CH30" s="2" t="s">
        <v>1845</v>
      </c>
      <c r="CI30" s="2" t="s">
        <v>3325</v>
      </c>
      <c r="CJ30" s="2" t="s">
        <v>1863</v>
      </c>
      <c r="CK30" s="2" t="s">
        <v>3358</v>
      </c>
      <c r="CL30" s="2" t="s">
        <v>538</v>
      </c>
      <c r="CM30" s="39">
        <v>3</v>
      </c>
      <c r="CN30" s="2" t="str">
        <f t="shared" si="1"/>
        <v>TADigital NA Consulting | Content &amp; SEO - Associate Manager</v>
      </c>
      <c r="CO30" s="2" t="str">
        <f t="shared" si="2"/>
        <v>TADigital India Consulting | Cloud &amp; Engineering - L2 / B1-B3 | Associate Engineer</v>
      </c>
      <c r="CP30" s="1579">
        <v>210</v>
      </c>
      <c r="CQ30" s="1579">
        <v>108</v>
      </c>
      <c r="CR30" s="1579">
        <v>85</v>
      </c>
      <c r="CS30" s="1579">
        <f t="shared" si="3"/>
        <v>28.700000000000003</v>
      </c>
      <c r="CT30" s="1579">
        <v>35</v>
      </c>
      <c r="CU30" s="2">
        <f t="shared" si="4"/>
        <v>13</v>
      </c>
      <c r="CV30" s="2" t="str">
        <f t="shared" si="0"/>
        <v>Content &amp; SEO - Associate Manager</v>
      </c>
      <c r="CW30" s="2" t="str">
        <f>_xlfn.XLOOKUP(CL30,'[1]Rates &amp; Drop Downs INT'!D$373:D$430,'[1]Rates &amp; Drop Downs INT'!C$373:C$430,"X",1)</f>
        <v>Cloud &amp; Engineering - 2 | Associate Engineer</v>
      </c>
      <c r="DF30" t="s">
        <v>3326</v>
      </c>
      <c r="DG30" t="s">
        <v>3488</v>
      </c>
      <c r="DH30" t="s">
        <v>3432</v>
      </c>
    </row>
    <row r="31" spans="2:112" ht="13.05" customHeight="1" x14ac:dyDescent="0.3">
      <c r="B31" s="346" t="s">
        <v>176</v>
      </c>
      <c r="C31" s="4" t="s">
        <v>393</v>
      </c>
      <c r="D31" s="4"/>
      <c r="E31" s="4"/>
      <c r="F31" s="4" t="s">
        <v>379</v>
      </c>
      <c r="G31" s="343">
        <v>128</v>
      </c>
      <c r="H31" s="4" t="s">
        <v>119</v>
      </c>
      <c r="I31" s="344">
        <v>300</v>
      </c>
      <c r="J31" s="345">
        <v>4</v>
      </c>
      <c r="S31" s="2" t="s">
        <v>360</v>
      </c>
      <c r="AN31" s="106">
        <f>IF('1. Project Inputs'!F43="Manual Entry","",'1. Project Inputs'!F43)</f>
        <v>0</v>
      </c>
      <c r="AT31" s="2" t="s">
        <v>262</v>
      </c>
      <c r="AU31" s="2" t="s">
        <v>262</v>
      </c>
      <c r="AV31" s="2" t="s">
        <v>1793</v>
      </c>
      <c r="AW31" s="2" t="s">
        <v>1793</v>
      </c>
      <c r="AX31" s="2" t="s">
        <v>1777</v>
      </c>
      <c r="BM31" s="2" t="s">
        <v>283</v>
      </c>
      <c r="BN31" s="2" t="s">
        <v>285</v>
      </c>
      <c r="BO31" s="350">
        <v>45999</v>
      </c>
      <c r="BP31" s="2" t="s">
        <v>2140</v>
      </c>
      <c r="BQ31" s="2" t="s">
        <v>2103</v>
      </c>
      <c r="BR31" s="2">
        <v>8</v>
      </c>
      <c r="BS31" s="149">
        <v>45999</v>
      </c>
      <c r="BT31" s="149">
        <f t="shared" si="5"/>
        <v>45999</v>
      </c>
      <c r="CG31" s="2" t="s">
        <v>297</v>
      </c>
      <c r="CH31" s="2" t="s">
        <v>1845</v>
      </c>
      <c r="CI31" s="2" t="s">
        <v>3325</v>
      </c>
      <c r="CJ31" s="2" t="s">
        <v>1863</v>
      </c>
      <c r="CK31" s="2" t="s">
        <v>3352</v>
      </c>
      <c r="CL31" s="2" t="s">
        <v>3549</v>
      </c>
      <c r="CM31" s="39">
        <v>5</v>
      </c>
      <c r="CN31" s="2" t="str">
        <f t="shared" si="1"/>
        <v>TADigital NA | Management - Practice Director / Delivery Director</v>
      </c>
      <c r="CO31" s="2" t="str">
        <f t="shared" si="2"/>
        <v>TADigital India Consulting | Cloud &amp; Engineering - L2 / B1-B3 | Associate Engineer</v>
      </c>
      <c r="CP31" s="1579">
        <v>315</v>
      </c>
      <c r="CQ31" s="1579">
        <v>165</v>
      </c>
      <c r="CR31" s="1579">
        <v>115</v>
      </c>
      <c r="CS31" s="1579">
        <f t="shared" si="3"/>
        <v>45.1</v>
      </c>
      <c r="CT31" s="1579">
        <v>55</v>
      </c>
      <c r="CU31" s="2">
        <f t="shared" si="4"/>
        <v>13</v>
      </c>
      <c r="CV31" s="2" t="str">
        <f t="shared" si="0"/>
        <v>Management - Practice Director / Delivery Director</v>
      </c>
      <c r="CW31" s="2" t="str">
        <f>_xlfn.XLOOKUP(CL31,'[1]Rates &amp; Drop Downs INT'!D$373:D$430,'[1]Rates &amp; Drop Downs INT'!C$373:C$430,"X",1)</f>
        <v>Cloud &amp; Engineering - 2 | Associate Engineer</v>
      </c>
      <c r="DF31" t="s">
        <v>3326</v>
      </c>
      <c r="DG31" t="s">
        <v>3488</v>
      </c>
      <c r="DH31" t="s">
        <v>3433</v>
      </c>
    </row>
    <row r="32" spans="2:112" ht="13.05" customHeight="1" x14ac:dyDescent="0.3">
      <c r="B32" s="346" t="s">
        <v>176</v>
      </c>
      <c r="C32" s="346" t="s">
        <v>394</v>
      </c>
      <c r="D32" s="346"/>
      <c r="E32" s="346"/>
      <c r="F32" s="346" t="s">
        <v>271</v>
      </c>
      <c r="G32" s="347">
        <v>77</v>
      </c>
      <c r="H32" s="346" t="s">
        <v>119</v>
      </c>
      <c r="I32" s="348">
        <v>200</v>
      </c>
      <c r="J32" s="353">
        <v>2</v>
      </c>
      <c r="S32" s="2" t="s">
        <v>362</v>
      </c>
      <c r="AN32" s="106">
        <f>IF('1. Project Inputs'!F44="Manual Entry","",'1. Project Inputs'!F44)</f>
        <v>0</v>
      </c>
      <c r="AT32" s="2" t="s">
        <v>262</v>
      </c>
      <c r="AU32" s="2" t="s">
        <v>262</v>
      </c>
      <c r="AV32" s="2" t="s">
        <v>1793</v>
      </c>
      <c r="AW32" s="2" t="s">
        <v>1793</v>
      </c>
      <c r="AX32" s="2" t="s">
        <v>1778</v>
      </c>
      <c r="BM32" s="2" t="s">
        <v>283</v>
      </c>
      <c r="BN32" s="2" t="s">
        <v>285</v>
      </c>
      <c r="BO32" s="350">
        <v>46016</v>
      </c>
      <c r="BP32" s="2" t="s">
        <v>2116</v>
      </c>
      <c r="BQ32" s="2" t="s">
        <v>2103</v>
      </c>
      <c r="BR32" s="2">
        <v>8</v>
      </c>
      <c r="BS32" s="149">
        <v>46013</v>
      </c>
      <c r="BT32" s="149">
        <f t="shared" si="5"/>
        <v>46013</v>
      </c>
      <c r="CG32" s="2" t="s">
        <v>297</v>
      </c>
      <c r="CH32" s="2" t="s">
        <v>1845</v>
      </c>
      <c r="CI32" s="2" t="s">
        <v>3325</v>
      </c>
      <c r="CJ32" s="2" t="s">
        <v>1863</v>
      </c>
      <c r="CK32" s="2" t="s">
        <v>3353</v>
      </c>
      <c r="CL32" s="2" t="s">
        <v>3549</v>
      </c>
      <c r="CM32" s="39">
        <v>6</v>
      </c>
      <c r="CN32" s="2" t="str">
        <f t="shared" si="1"/>
        <v>TADigital NA | Management - Practice VP / Delivery VP</v>
      </c>
      <c r="CO32" s="2" t="str">
        <f t="shared" si="2"/>
        <v>TADigital India Consulting | Cloud &amp; Engineering - L2 / B1-B3 | Associate Engineer</v>
      </c>
      <c r="CP32" s="1579">
        <v>370</v>
      </c>
      <c r="CQ32" s="1579">
        <v>172.5</v>
      </c>
      <c r="CR32" s="1579">
        <v>135</v>
      </c>
      <c r="CS32" s="1579">
        <f t="shared" si="3"/>
        <v>51.250000000000007</v>
      </c>
      <c r="CT32" s="1579">
        <v>62.5</v>
      </c>
      <c r="CU32" s="2">
        <f t="shared" si="4"/>
        <v>13</v>
      </c>
      <c r="CV32" s="2" t="str">
        <f t="shared" si="0"/>
        <v>Management - Practice VP / Delivery VP</v>
      </c>
      <c r="CW32" s="2" t="str">
        <f>_xlfn.XLOOKUP(CL32,'[1]Rates &amp; Drop Downs INT'!D$373:D$430,'[1]Rates &amp; Drop Downs INT'!C$373:C$430,"X",1)</f>
        <v>Cloud &amp; Engineering - 2 | Associate Engineer</v>
      </c>
      <c r="DF32" t="s">
        <v>279</v>
      </c>
      <c r="DG32" t="s">
        <v>3486</v>
      </c>
      <c r="DH32" t="s">
        <v>3434</v>
      </c>
    </row>
    <row r="33" spans="2:112" ht="13.05" customHeight="1" x14ac:dyDescent="0.3">
      <c r="B33" s="346" t="s">
        <v>176</v>
      </c>
      <c r="C33" s="346" t="s">
        <v>394</v>
      </c>
      <c r="D33" s="346"/>
      <c r="E33" s="346"/>
      <c r="F33" s="346" t="s">
        <v>259</v>
      </c>
      <c r="G33" s="347">
        <v>96</v>
      </c>
      <c r="H33" s="346" t="s">
        <v>119</v>
      </c>
      <c r="I33" s="348">
        <v>240</v>
      </c>
      <c r="J33" s="345">
        <v>3</v>
      </c>
      <c r="S33" s="2" t="s">
        <v>364</v>
      </c>
      <c r="AN33" s="106">
        <f>IF('1. Project Inputs'!F45="Manual Entry","",'1. Project Inputs'!F45)</f>
        <v>0</v>
      </c>
      <c r="AT33" s="2" t="s">
        <v>262</v>
      </c>
      <c r="AU33" s="2" t="s">
        <v>262</v>
      </c>
      <c r="AV33" s="2" t="s">
        <v>1793</v>
      </c>
      <c r="AW33" s="2" t="s">
        <v>1793</v>
      </c>
      <c r="AX33" s="2" t="s">
        <v>1779</v>
      </c>
      <c r="BM33" s="2" t="s">
        <v>283</v>
      </c>
      <c r="BN33" s="2" t="s">
        <v>272</v>
      </c>
      <c r="BO33" s="350">
        <v>45658</v>
      </c>
      <c r="BP33" s="2" t="s">
        <v>2125</v>
      </c>
      <c r="BQ33" s="2" t="s">
        <v>2103</v>
      </c>
      <c r="BR33" s="2">
        <v>8</v>
      </c>
      <c r="BS33" s="149">
        <v>45656</v>
      </c>
      <c r="BT33" s="149">
        <f t="shared" si="5"/>
        <v>45656</v>
      </c>
      <c r="CG33" s="2" t="s">
        <v>297</v>
      </c>
      <c r="CH33" s="2" t="s">
        <v>1845</v>
      </c>
      <c r="CI33" s="2" t="s">
        <v>3325</v>
      </c>
      <c r="CJ33" s="2" t="s">
        <v>1863</v>
      </c>
      <c r="CK33" s="2" t="s">
        <v>3359</v>
      </c>
      <c r="CL33" s="2" t="s">
        <v>3550</v>
      </c>
      <c r="CM33" s="39">
        <v>2</v>
      </c>
      <c r="CN33" s="2" t="str">
        <f t="shared" si="1"/>
        <v>TADigital NA Consulting - Project Manager / Product Manager</v>
      </c>
      <c r="CO33" s="2" t="str">
        <f t="shared" si="2"/>
        <v>TADigital India Consulting | Cloud &amp; Engineering - L2 / B1-B3 | Associate Engineer</v>
      </c>
      <c r="CP33" s="1579">
        <v>190</v>
      </c>
      <c r="CQ33" s="1579">
        <v>105</v>
      </c>
      <c r="CR33" s="1579">
        <v>65</v>
      </c>
      <c r="CS33" s="1579">
        <f t="shared" si="3"/>
        <v>22.96</v>
      </c>
      <c r="CT33" s="1579">
        <v>28</v>
      </c>
      <c r="CU33" s="2">
        <f t="shared" si="4"/>
        <v>13</v>
      </c>
      <c r="CV33" s="2" t="str">
        <f t="shared" si="0"/>
        <v>Project Manager / Product Manager</v>
      </c>
      <c r="CW33" s="2" t="str">
        <f>_xlfn.XLOOKUP(CL33,'[1]Rates &amp; Drop Downs INT'!D$373:D$430,'[1]Rates &amp; Drop Downs INT'!C$373:C$430,"X",1)</f>
        <v>Cloud &amp; Engineering - 2 | Associate Engineer</v>
      </c>
      <c r="DF33" t="s">
        <v>279</v>
      </c>
      <c r="DG33" t="s">
        <v>3486</v>
      </c>
      <c r="DH33" t="s">
        <v>3435</v>
      </c>
    </row>
    <row r="34" spans="2:112" ht="13.05" customHeight="1" x14ac:dyDescent="0.3">
      <c r="B34" s="346" t="s">
        <v>176</v>
      </c>
      <c r="C34" s="4" t="s">
        <v>395</v>
      </c>
      <c r="D34" s="4"/>
      <c r="E34" s="4"/>
      <c r="F34" s="4" t="s">
        <v>379</v>
      </c>
      <c r="G34" s="343">
        <v>128</v>
      </c>
      <c r="H34" s="4" t="s">
        <v>119</v>
      </c>
      <c r="I34" s="344">
        <v>300</v>
      </c>
      <c r="J34" s="345">
        <v>4</v>
      </c>
      <c r="S34" s="2" t="s">
        <v>366</v>
      </c>
      <c r="AN34" s="106">
        <f>IF('1. Project Inputs'!F46="Manual Entry","",'1. Project Inputs'!F46)</f>
        <v>0</v>
      </c>
      <c r="AT34" s="2" t="s">
        <v>262</v>
      </c>
      <c r="AU34" s="2" t="s">
        <v>262</v>
      </c>
      <c r="AV34" s="2" t="s">
        <v>1793</v>
      </c>
      <c r="AW34" s="2" t="s">
        <v>1793</v>
      </c>
      <c r="AX34" s="2" t="s">
        <v>1780</v>
      </c>
      <c r="BM34" s="2" t="s">
        <v>283</v>
      </c>
      <c r="BN34" s="2" t="s">
        <v>272</v>
      </c>
      <c r="BO34" s="350">
        <v>45758</v>
      </c>
      <c r="BP34" s="2" t="s">
        <v>2150</v>
      </c>
      <c r="BQ34" s="2" t="s">
        <v>2103</v>
      </c>
      <c r="BR34" s="2">
        <v>8</v>
      </c>
      <c r="BS34" s="149">
        <v>45754</v>
      </c>
      <c r="BT34" s="149">
        <f t="shared" si="5"/>
        <v>45754</v>
      </c>
      <c r="CG34" s="2" t="s">
        <v>297</v>
      </c>
      <c r="CH34" s="2" t="s">
        <v>1845</v>
      </c>
      <c r="CI34" s="2" t="s">
        <v>3325</v>
      </c>
      <c r="CJ34" s="2" t="s">
        <v>1863</v>
      </c>
      <c r="CK34" s="2" t="s">
        <v>3360</v>
      </c>
      <c r="CL34" s="2" t="s">
        <v>3546</v>
      </c>
      <c r="CM34" s="39">
        <v>5</v>
      </c>
      <c r="CN34" s="2" t="str">
        <f t="shared" si="1"/>
        <v>TADigital NA Digital - Sr. Technical Architect</v>
      </c>
      <c r="CO34" s="2" t="str">
        <f t="shared" si="2"/>
        <v>TADigital India Consulting | Cloud &amp; Engineering - L2 / B1-B3 | Associate Engineer</v>
      </c>
      <c r="CP34" s="1579">
        <v>275</v>
      </c>
      <c r="CQ34" s="1579">
        <v>162.5</v>
      </c>
      <c r="CR34" s="1579">
        <v>105</v>
      </c>
      <c r="CS34" s="1579">
        <f t="shared" si="3"/>
        <v>41</v>
      </c>
      <c r="CT34" s="1579">
        <v>50</v>
      </c>
      <c r="CU34" s="2">
        <f t="shared" si="4"/>
        <v>13</v>
      </c>
      <c r="CV34" s="2" t="str">
        <f t="shared" si="0"/>
        <v>Sr. Technical Architect</v>
      </c>
      <c r="CW34" s="2" t="str">
        <f>_xlfn.XLOOKUP(CL34,'[1]Rates &amp; Drop Downs INT'!D$373:D$430,'[1]Rates &amp; Drop Downs INT'!C$373:C$430,"X",1)</f>
        <v>Cloud &amp; Engineering - 2 | Associate Engineer</v>
      </c>
      <c r="DF34" t="s">
        <v>3327</v>
      </c>
      <c r="DG34" t="s">
        <v>3489</v>
      </c>
      <c r="DH34" t="s">
        <v>3327</v>
      </c>
    </row>
    <row r="35" spans="2:112" ht="13.05" customHeight="1" x14ac:dyDescent="0.3">
      <c r="B35" s="346" t="s">
        <v>176</v>
      </c>
      <c r="C35" s="4" t="s">
        <v>395</v>
      </c>
      <c r="D35" s="4"/>
      <c r="E35" s="4"/>
      <c r="F35" s="4" t="s">
        <v>385</v>
      </c>
      <c r="G35" s="343">
        <v>172</v>
      </c>
      <c r="H35" s="4" t="s">
        <v>119</v>
      </c>
      <c r="I35" s="344">
        <v>350</v>
      </c>
      <c r="J35" s="345">
        <v>5</v>
      </c>
      <c r="S35" s="2" t="s">
        <v>368</v>
      </c>
      <c r="V35" s="103"/>
      <c r="W35" s="103"/>
      <c r="X35" s="103"/>
      <c r="Y35" s="4"/>
      <c r="Z35" s="4"/>
      <c r="AA35" s="4"/>
      <c r="AB35" s="4"/>
      <c r="AC35" s="4"/>
      <c r="AD35" s="4"/>
      <c r="AE35" s="4"/>
      <c r="AN35" s="106">
        <f>IF('1. Project Inputs'!F47="Manual Entry","",'1. Project Inputs'!F47)</f>
        <v>0</v>
      </c>
      <c r="AT35" s="2" t="s">
        <v>262</v>
      </c>
      <c r="AU35" s="2" t="s">
        <v>262</v>
      </c>
      <c r="AV35" s="2" t="s">
        <v>1793</v>
      </c>
      <c r="AW35" s="2" t="s">
        <v>1793</v>
      </c>
      <c r="AX35" s="2" t="s">
        <v>1781</v>
      </c>
      <c r="BM35" s="2" t="s">
        <v>283</v>
      </c>
      <c r="BN35" s="2" t="s">
        <v>272</v>
      </c>
      <c r="BO35" s="350">
        <v>45764</v>
      </c>
      <c r="BP35" s="2" t="s">
        <v>2128</v>
      </c>
      <c r="BQ35" s="2" t="s">
        <v>2103</v>
      </c>
      <c r="BR35" s="2">
        <v>8</v>
      </c>
      <c r="BS35" s="149">
        <v>45761</v>
      </c>
      <c r="BT35" s="149">
        <f t="shared" si="5"/>
        <v>45761</v>
      </c>
      <c r="CG35" s="2" t="s">
        <v>297</v>
      </c>
      <c r="CH35" s="2" t="s">
        <v>1845</v>
      </c>
      <c r="CI35" s="2" t="s">
        <v>3325</v>
      </c>
      <c r="CJ35" s="2" t="s">
        <v>1863</v>
      </c>
      <c r="CK35" s="2" t="s">
        <v>3361</v>
      </c>
      <c r="CL35" s="2" t="s">
        <v>3547</v>
      </c>
      <c r="CM35" s="39">
        <v>2</v>
      </c>
      <c r="CN35" s="2" t="str">
        <f t="shared" si="1"/>
        <v>TADigital NA Consulting - Project Manager / Product Manager</v>
      </c>
      <c r="CO35" s="2" t="str">
        <f t="shared" si="2"/>
        <v>TADigital India Consulting | Cloud &amp; Engineering - L2 / B1-B3 | Associate Engineer</v>
      </c>
      <c r="CP35" s="1579">
        <v>190</v>
      </c>
      <c r="CQ35" s="1579">
        <v>105</v>
      </c>
      <c r="CR35" s="1579">
        <v>65</v>
      </c>
      <c r="CS35" s="1579">
        <f t="shared" si="3"/>
        <v>22.55</v>
      </c>
      <c r="CT35" s="1579">
        <v>27.5</v>
      </c>
      <c r="CU35" s="2">
        <f t="shared" si="4"/>
        <v>13</v>
      </c>
      <c r="CV35" s="2" t="str">
        <f t="shared" si="0"/>
        <v>Project Manager / Product Manager</v>
      </c>
      <c r="CW35" s="2" t="str">
        <f>_xlfn.XLOOKUP(CL35,'[1]Rates &amp; Drop Downs INT'!D$373:D$430,'[1]Rates &amp; Drop Downs INT'!C$373:C$430,"X",1)</f>
        <v>Cloud &amp; Engineering - 2 | Associate Engineer</v>
      </c>
      <c r="DF35" t="s">
        <v>3328</v>
      </c>
      <c r="DG35" t="s">
        <v>3496</v>
      </c>
      <c r="DH35" t="s">
        <v>290</v>
      </c>
    </row>
    <row r="36" spans="2:112" ht="13.05" customHeight="1" x14ac:dyDescent="0.3">
      <c r="B36" s="346" t="s">
        <v>176</v>
      </c>
      <c r="C36" s="4" t="s">
        <v>395</v>
      </c>
      <c r="D36" s="4"/>
      <c r="E36" s="4"/>
      <c r="F36" s="4" t="s">
        <v>420</v>
      </c>
      <c r="G36" s="343">
        <v>257</v>
      </c>
      <c r="H36" s="4" t="s">
        <v>119</v>
      </c>
      <c r="I36" s="344">
        <v>390</v>
      </c>
      <c r="J36" s="345">
        <v>6</v>
      </c>
      <c r="V36" s="4"/>
      <c r="W36" s="4"/>
      <c r="X36" s="4"/>
      <c r="Y36" s="4"/>
      <c r="Z36" s="4"/>
      <c r="AA36" s="4"/>
      <c r="AB36" s="4"/>
      <c r="AC36" s="4"/>
      <c r="AD36" s="4"/>
      <c r="AE36" s="4"/>
      <c r="AN36" s="106"/>
      <c r="AT36" s="2" t="s">
        <v>262</v>
      </c>
      <c r="AU36" s="2" t="s">
        <v>262</v>
      </c>
      <c r="AV36" s="2" t="s">
        <v>1793</v>
      </c>
      <c r="AW36" s="2" t="s">
        <v>1793</v>
      </c>
      <c r="AX36" s="2" t="s">
        <v>1749</v>
      </c>
      <c r="BM36" s="2" t="s">
        <v>283</v>
      </c>
      <c r="BN36" s="2" t="s">
        <v>272</v>
      </c>
      <c r="BO36" s="350">
        <v>45765</v>
      </c>
      <c r="BP36" s="2" t="s">
        <v>2129</v>
      </c>
      <c r="BQ36" s="2" t="s">
        <v>2103</v>
      </c>
      <c r="BR36" s="2">
        <v>8</v>
      </c>
      <c r="BS36" s="149">
        <v>45761</v>
      </c>
      <c r="BT36" s="149">
        <f t="shared" si="5"/>
        <v>45761</v>
      </c>
      <c r="CG36" s="2" t="s">
        <v>297</v>
      </c>
      <c r="CH36" s="2" t="s">
        <v>1845</v>
      </c>
      <c r="CI36" s="2" t="s">
        <v>3325</v>
      </c>
      <c r="CJ36" s="2" t="s">
        <v>1863</v>
      </c>
      <c r="CK36" s="2" t="s">
        <v>3362</v>
      </c>
      <c r="CL36" s="2" t="s">
        <v>3546</v>
      </c>
      <c r="CM36" s="39">
        <v>5</v>
      </c>
      <c r="CN36" s="2" t="str">
        <f t="shared" si="1"/>
        <v>TADigital NA Digital - Sr. Technical Architect</v>
      </c>
      <c r="CO36" s="2" t="str">
        <f t="shared" si="2"/>
        <v>TADigital India Consulting | Cloud &amp; Engineering - L2 / B1-B3 | Associate Engineer</v>
      </c>
      <c r="CP36" s="1579">
        <v>275</v>
      </c>
      <c r="CQ36" s="1579">
        <v>162.5</v>
      </c>
      <c r="CR36" s="1579">
        <v>105</v>
      </c>
      <c r="CS36" s="1579">
        <f t="shared" si="3"/>
        <v>41</v>
      </c>
      <c r="CT36" s="1579">
        <v>50</v>
      </c>
      <c r="CU36" s="2">
        <f t="shared" si="4"/>
        <v>13</v>
      </c>
      <c r="CV36" s="2" t="str">
        <f t="shared" si="0"/>
        <v>Sr. Technical Architect</v>
      </c>
      <c r="CW36" s="2" t="str">
        <f>_xlfn.XLOOKUP(CL36,'[1]Rates &amp; Drop Downs INT'!D$373:D$430,'[1]Rates &amp; Drop Downs INT'!C$373:C$430,"X",1)</f>
        <v>Cloud &amp; Engineering - 2 | Associate Engineer</v>
      </c>
      <c r="DF36" t="s">
        <v>3328</v>
      </c>
      <c r="DG36" t="s">
        <v>3496</v>
      </c>
      <c r="DH36" t="s">
        <v>311</v>
      </c>
    </row>
    <row r="37" spans="2:112" ht="13.05" customHeight="1" x14ac:dyDescent="0.3">
      <c r="B37" s="346" t="s">
        <v>176</v>
      </c>
      <c r="C37" s="346" t="s">
        <v>396</v>
      </c>
      <c r="D37" s="346"/>
      <c r="E37" s="346"/>
      <c r="F37" s="346" t="s">
        <v>1740</v>
      </c>
      <c r="G37" s="347">
        <v>77</v>
      </c>
      <c r="H37" s="4" t="s">
        <v>119</v>
      </c>
      <c r="I37" s="348">
        <v>200</v>
      </c>
      <c r="J37" s="353">
        <v>2</v>
      </c>
      <c r="V37" s="4"/>
      <c r="W37" s="4"/>
      <c r="X37" s="4"/>
      <c r="Y37" s="4"/>
      <c r="Z37" s="4"/>
      <c r="AA37" s="4"/>
      <c r="AB37" s="4"/>
      <c r="AC37" s="4"/>
      <c r="AD37" s="4"/>
      <c r="AE37" s="4"/>
      <c r="AT37" s="2" t="s">
        <v>262</v>
      </c>
      <c r="AU37" s="2" t="s">
        <v>262</v>
      </c>
      <c r="AV37" s="2" t="s">
        <v>1794</v>
      </c>
      <c r="AW37" s="2" t="s">
        <v>1794</v>
      </c>
      <c r="AX37" s="2" t="s">
        <v>264</v>
      </c>
      <c r="BM37" s="2" t="s">
        <v>283</v>
      </c>
      <c r="BN37" s="2" t="s">
        <v>272</v>
      </c>
      <c r="BO37" s="350">
        <v>45778</v>
      </c>
      <c r="BP37" s="2" t="s">
        <v>2130</v>
      </c>
      <c r="BQ37" s="2" t="s">
        <v>2103</v>
      </c>
      <c r="BR37" s="2">
        <v>8</v>
      </c>
      <c r="BS37" s="149">
        <v>45775</v>
      </c>
      <c r="BT37" s="149">
        <f t="shared" si="5"/>
        <v>45775</v>
      </c>
      <c r="CG37" s="2" t="s">
        <v>297</v>
      </c>
      <c r="CH37" s="2" t="s">
        <v>1845</v>
      </c>
      <c r="CI37" s="2" t="s">
        <v>3325</v>
      </c>
      <c r="CJ37" s="2" t="s">
        <v>1863</v>
      </c>
      <c r="CK37" s="2" t="s">
        <v>3354</v>
      </c>
      <c r="CL37" s="2" t="s">
        <v>3549</v>
      </c>
      <c r="CM37" s="39">
        <v>5</v>
      </c>
      <c r="CN37" s="2" t="str">
        <f t="shared" si="1"/>
        <v>TADigital NA | Management - Sr. Practice Director / Sr. Delivery Director</v>
      </c>
      <c r="CO37" s="2" t="str">
        <f t="shared" si="2"/>
        <v>TADigital India Consulting | Cloud &amp; Engineering - L2 / B1-B3 | Associate Engineer</v>
      </c>
      <c r="CP37" s="1579">
        <v>340</v>
      </c>
      <c r="CQ37" s="1579">
        <v>170</v>
      </c>
      <c r="CR37" s="1579">
        <v>125</v>
      </c>
      <c r="CS37" s="1579">
        <f t="shared" si="3"/>
        <v>49.2</v>
      </c>
      <c r="CT37" s="1579">
        <v>60</v>
      </c>
      <c r="CU37" s="2">
        <f t="shared" si="4"/>
        <v>13</v>
      </c>
      <c r="CV37" s="2" t="str">
        <f t="shared" si="0"/>
        <v>Management - Sr. Practice Director / Sr. Delivery Director</v>
      </c>
      <c r="CW37" s="2" t="str">
        <f>_xlfn.XLOOKUP(CL37,'[1]Rates &amp; Drop Downs INT'!D$373:D$430,'[1]Rates &amp; Drop Downs INT'!C$373:C$430,"X",1)</f>
        <v>Cloud &amp; Engineering - 2 | Associate Engineer</v>
      </c>
      <c r="DF37" t="s">
        <v>1218</v>
      </c>
      <c r="DG37" t="s">
        <v>3497</v>
      </c>
      <c r="DH37" t="s">
        <v>1798</v>
      </c>
    </row>
    <row r="38" spans="2:112" ht="13.05" customHeight="1" x14ac:dyDescent="0.3">
      <c r="B38" s="346" t="s">
        <v>176</v>
      </c>
      <c r="C38" s="346" t="s">
        <v>396</v>
      </c>
      <c r="D38" s="346"/>
      <c r="E38" s="346"/>
      <c r="F38" s="346" t="s">
        <v>1741</v>
      </c>
      <c r="G38" s="347">
        <v>96</v>
      </c>
      <c r="H38" s="4" t="s">
        <v>119</v>
      </c>
      <c r="I38" s="348">
        <v>240</v>
      </c>
      <c r="J38" s="345">
        <v>3</v>
      </c>
      <c r="V38" s="4"/>
      <c r="W38" s="4"/>
      <c r="X38" s="4"/>
      <c r="Y38" s="4"/>
      <c r="Z38" s="4"/>
      <c r="AA38" s="4"/>
      <c r="AB38" s="4"/>
      <c r="AC38" s="4"/>
      <c r="AD38" s="4"/>
      <c r="AE38" s="4"/>
      <c r="AT38" s="2" t="s">
        <v>262</v>
      </c>
      <c r="AU38" s="2" t="s">
        <v>262</v>
      </c>
      <c r="AV38" s="2" t="s">
        <v>1794</v>
      </c>
      <c r="AW38" s="2" t="s">
        <v>1794</v>
      </c>
      <c r="AX38" s="2" t="s">
        <v>1782</v>
      </c>
      <c r="BM38" s="2" t="s">
        <v>283</v>
      </c>
      <c r="BN38" s="2" t="s">
        <v>272</v>
      </c>
      <c r="BO38" s="350">
        <v>45827</v>
      </c>
      <c r="BP38" s="2" t="s">
        <v>2108</v>
      </c>
      <c r="BQ38" s="2" t="s">
        <v>2103</v>
      </c>
      <c r="BR38" s="2">
        <v>8</v>
      </c>
      <c r="BS38" s="149">
        <v>45824</v>
      </c>
      <c r="BT38" s="149">
        <f t="shared" si="5"/>
        <v>45824</v>
      </c>
      <c r="CG38" s="2" t="s">
        <v>297</v>
      </c>
      <c r="CH38" s="2" t="s">
        <v>1845</v>
      </c>
      <c r="CI38" s="2" t="s">
        <v>2461</v>
      </c>
      <c r="CJ38" s="2" t="s">
        <v>1857</v>
      </c>
      <c r="CK38" s="2" t="s">
        <v>3363</v>
      </c>
      <c r="CL38" s="2">
        <v>0</v>
      </c>
      <c r="CM38" s="39">
        <v>2</v>
      </c>
      <c r="CN38" s="2" t="str">
        <f t="shared" si="1"/>
        <v>TADigital NA Consulting | Content &amp; SEO - Associate Web Content Analyst</v>
      </c>
      <c r="CO38" s="2" t="str">
        <f t="shared" si="2"/>
        <v>TADigital India Consulting | Cloud &amp; Engineering - L2 / B1-B3 | Associate Engineer</v>
      </c>
      <c r="CP38" s="1579">
        <v>0</v>
      </c>
      <c r="CQ38" s="1579">
        <v>0</v>
      </c>
      <c r="CR38" s="1579">
        <v>35</v>
      </c>
      <c r="CS38" s="1579">
        <f t="shared" si="3"/>
        <v>10.66</v>
      </c>
      <c r="CT38" s="1579">
        <v>13</v>
      </c>
      <c r="CU38" s="2">
        <f t="shared" si="4"/>
        <v>13</v>
      </c>
      <c r="CV38" s="2" t="str">
        <f t="shared" si="0"/>
        <v>Content &amp; SEO - Associate Web Content Analyst</v>
      </c>
      <c r="CW38" s="2" t="str">
        <f>_xlfn.XLOOKUP(CL38,'[1]Rates &amp; Drop Downs INT'!D$373:D$430,'[1]Rates &amp; Drop Downs INT'!C$373:C$430,"X",1)</f>
        <v>Cloud &amp; Engineering - 2 | Associate Engineer</v>
      </c>
      <c r="DF38" t="s">
        <v>2512</v>
      </c>
      <c r="DG38" t="s">
        <v>3490</v>
      </c>
      <c r="DH38" t="s">
        <v>1777</v>
      </c>
    </row>
    <row r="39" spans="2:112" ht="13.05" customHeight="1" x14ac:dyDescent="0.3">
      <c r="B39" s="346" t="s">
        <v>176</v>
      </c>
      <c r="C39" s="4" t="s">
        <v>367</v>
      </c>
      <c r="D39" s="4"/>
      <c r="E39" s="4"/>
      <c r="F39" s="4" t="s">
        <v>271</v>
      </c>
      <c r="G39" s="343">
        <v>77</v>
      </c>
      <c r="H39" s="346" t="s">
        <v>119</v>
      </c>
      <c r="I39" s="344">
        <v>200</v>
      </c>
      <c r="J39" s="345">
        <v>2</v>
      </c>
      <c r="V39" s="4"/>
      <c r="W39" s="4"/>
      <c r="X39" s="4"/>
      <c r="Y39" s="4"/>
      <c r="Z39" s="4"/>
      <c r="AA39" s="4"/>
      <c r="AB39" s="4"/>
      <c r="AC39" s="4"/>
      <c r="AD39" s="4"/>
      <c r="AE39" s="4"/>
      <c r="AT39" s="2" t="s">
        <v>262</v>
      </c>
      <c r="AU39" s="2" t="s">
        <v>262</v>
      </c>
      <c r="AV39" s="2" t="s">
        <v>1794</v>
      </c>
      <c r="AW39" s="2" t="s">
        <v>1794</v>
      </c>
      <c r="AX39" s="2" t="s">
        <v>1783</v>
      </c>
      <c r="BM39" s="2" t="s">
        <v>283</v>
      </c>
      <c r="BN39" s="2" t="s">
        <v>272</v>
      </c>
      <c r="BO39" s="350">
        <v>45863</v>
      </c>
      <c r="BP39" s="2" t="s">
        <v>2151</v>
      </c>
      <c r="BQ39" s="2" t="s">
        <v>2103</v>
      </c>
      <c r="BR39" s="2">
        <v>8</v>
      </c>
      <c r="BS39" s="149">
        <v>45859</v>
      </c>
      <c r="BT39" s="149">
        <f t="shared" si="5"/>
        <v>45859</v>
      </c>
      <c r="CG39" s="2" t="s">
        <v>297</v>
      </c>
      <c r="CH39" s="2" t="s">
        <v>1845</v>
      </c>
      <c r="CI39" s="2" t="s">
        <v>2461</v>
      </c>
      <c r="CJ39" s="2" t="s">
        <v>1857</v>
      </c>
      <c r="CK39" s="2" t="s">
        <v>720</v>
      </c>
      <c r="CL39" s="2" t="s">
        <v>3546</v>
      </c>
      <c r="CM39" s="39">
        <v>5</v>
      </c>
      <c r="CN39" s="2" t="str">
        <f t="shared" si="1"/>
        <v>TADigital NA | Management - Associate Practice Director</v>
      </c>
      <c r="CO39" s="2" t="str">
        <f t="shared" si="2"/>
        <v>TADigital India Consulting | Cloud &amp; Engineering - L2 / B1-B3 | Associate Engineer</v>
      </c>
      <c r="CP39" s="1579">
        <v>290</v>
      </c>
      <c r="CQ39" s="1579">
        <v>140</v>
      </c>
      <c r="CR39" s="1579">
        <v>105</v>
      </c>
      <c r="CS39" s="1579">
        <f t="shared" si="3"/>
        <v>45.1</v>
      </c>
      <c r="CT39" s="1579">
        <v>55</v>
      </c>
      <c r="CU39" s="2">
        <f t="shared" si="4"/>
        <v>13</v>
      </c>
      <c r="CV39" s="2" t="str">
        <f t="shared" si="0"/>
        <v>Management - Associate Practice Director</v>
      </c>
      <c r="CW39" s="2" t="str">
        <f>_xlfn.XLOOKUP(CL39,'[1]Rates &amp; Drop Downs INT'!D$373:D$430,'[1]Rates &amp; Drop Downs INT'!C$373:C$430,"X",1)</f>
        <v>Cloud &amp; Engineering - 2 | Associate Engineer</v>
      </c>
      <c r="DF39" t="s">
        <v>2512</v>
      </c>
      <c r="DG39" t="s">
        <v>3490</v>
      </c>
      <c r="DH39" t="s">
        <v>1779</v>
      </c>
    </row>
    <row r="40" spans="2:112" ht="13.05" customHeight="1" x14ac:dyDescent="0.3">
      <c r="B40" s="346" t="s">
        <v>176</v>
      </c>
      <c r="C40" s="4" t="s">
        <v>367</v>
      </c>
      <c r="D40" s="4"/>
      <c r="E40" s="4"/>
      <c r="F40" s="346" t="s">
        <v>259</v>
      </c>
      <c r="G40" s="347">
        <v>96</v>
      </c>
      <c r="H40" s="346" t="s">
        <v>119</v>
      </c>
      <c r="I40" s="348">
        <v>240</v>
      </c>
      <c r="J40" s="345">
        <v>3</v>
      </c>
      <c r="V40" s="4"/>
      <c r="W40" s="4"/>
      <c r="X40" s="4"/>
      <c r="Y40" s="4"/>
      <c r="Z40" s="4"/>
      <c r="AA40" s="4"/>
      <c r="AB40" s="4"/>
      <c r="AC40" s="4"/>
      <c r="AD40" s="4"/>
      <c r="AE40" s="4"/>
      <c r="AT40" s="2" t="s">
        <v>262</v>
      </c>
      <c r="AU40" s="2" t="s">
        <v>262</v>
      </c>
      <c r="AV40" s="2" t="s">
        <v>1794</v>
      </c>
      <c r="AW40" s="2" t="s">
        <v>1794</v>
      </c>
      <c r="AX40" s="2" t="s">
        <v>1784</v>
      </c>
      <c r="BM40" s="2" t="s">
        <v>283</v>
      </c>
      <c r="BN40" s="2" t="s">
        <v>272</v>
      </c>
      <c r="BO40" s="350">
        <v>45871</v>
      </c>
      <c r="BP40" s="2" t="s">
        <v>2152</v>
      </c>
      <c r="BQ40" s="2" t="s">
        <v>2103</v>
      </c>
      <c r="BR40" s="2">
        <v>8</v>
      </c>
      <c r="BS40" s="149">
        <v>45866</v>
      </c>
      <c r="BT40" s="149">
        <f t="shared" si="5"/>
        <v>45866</v>
      </c>
      <c r="CG40" s="2" t="s">
        <v>297</v>
      </c>
      <c r="CH40" s="2" t="s">
        <v>1845</v>
      </c>
      <c r="CI40" s="2" t="s">
        <v>2461</v>
      </c>
      <c r="CJ40" s="2" t="s">
        <v>1857</v>
      </c>
      <c r="CK40" s="2" t="s">
        <v>580</v>
      </c>
      <c r="CL40" s="2" t="s">
        <v>3551</v>
      </c>
      <c r="CM40" s="39">
        <v>4</v>
      </c>
      <c r="CN40" s="2" t="str">
        <f t="shared" si="1"/>
        <v>TADigital NA Consulting - Sr. Project Manager</v>
      </c>
      <c r="CO40" s="2" t="str">
        <f t="shared" si="2"/>
        <v>TADigital India Consulting | Cloud &amp; Engineering - L2 / B1-B3 | Associate Engineer</v>
      </c>
      <c r="CP40" s="1579">
        <v>235</v>
      </c>
      <c r="CQ40" s="1579">
        <v>120</v>
      </c>
      <c r="CR40" s="1579">
        <v>90</v>
      </c>
      <c r="CS40" s="1579">
        <f t="shared" si="3"/>
        <v>36.900000000000006</v>
      </c>
      <c r="CT40" s="1579">
        <v>45</v>
      </c>
      <c r="CU40" s="2">
        <f t="shared" si="4"/>
        <v>13</v>
      </c>
      <c r="CV40" s="2" t="str">
        <f t="shared" si="0"/>
        <v>Sr. Project Manager</v>
      </c>
      <c r="CW40" s="2" t="str">
        <f>_xlfn.XLOOKUP(CL40,'[1]Rates &amp; Drop Downs INT'!D$373:D$430,'[1]Rates &amp; Drop Downs INT'!C$373:C$430,"X",1)</f>
        <v>Cloud &amp; Engineering - 2 | Associate Engineer</v>
      </c>
      <c r="DF40" t="s">
        <v>2512</v>
      </c>
      <c r="DG40" t="s">
        <v>3490</v>
      </c>
      <c r="DH40" t="s">
        <v>1780</v>
      </c>
    </row>
    <row r="41" spans="2:112" ht="13.05" customHeight="1" x14ac:dyDescent="0.3">
      <c r="B41" s="4" t="s">
        <v>176</v>
      </c>
      <c r="C41" s="4" t="s">
        <v>367</v>
      </c>
      <c r="D41" s="4"/>
      <c r="E41" s="4"/>
      <c r="F41" s="4" t="s">
        <v>353</v>
      </c>
      <c r="G41" s="343">
        <v>128</v>
      </c>
      <c r="H41" s="4" t="s">
        <v>119</v>
      </c>
      <c r="I41" s="344">
        <v>300</v>
      </c>
      <c r="J41" s="345">
        <v>4</v>
      </c>
      <c r="V41" s="110"/>
      <c r="W41" s="110"/>
      <c r="X41" s="110"/>
      <c r="Y41" s="4"/>
      <c r="Z41" s="4"/>
      <c r="AA41" s="4"/>
      <c r="AB41" s="4"/>
      <c r="AC41" s="4"/>
      <c r="AD41" s="4"/>
      <c r="AE41" s="4"/>
      <c r="AT41" s="2" t="s">
        <v>262</v>
      </c>
      <c r="AU41" s="2" t="s">
        <v>262</v>
      </c>
      <c r="AV41" s="2" t="s">
        <v>1794</v>
      </c>
      <c r="AW41" s="2" t="s">
        <v>1794</v>
      </c>
      <c r="AX41" s="2" t="s">
        <v>1785</v>
      </c>
      <c r="BM41" s="2" t="s">
        <v>283</v>
      </c>
      <c r="BN41" s="2" t="s">
        <v>272</v>
      </c>
      <c r="BO41" s="350">
        <v>45884</v>
      </c>
      <c r="BP41" s="2" t="s">
        <v>2153</v>
      </c>
      <c r="BQ41" s="2" t="s">
        <v>2103</v>
      </c>
      <c r="BR41" s="2">
        <v>8</v>
      </c>
      <c r="BS41" s="149">
        <v>45880</v>
      </c>
      <c r="BT41" s="149">
        <f t="shared" si="5"/>
        <v>45880</v>
      </c>
      <c r="CG41" s="2" t="s">
        <v>297</v>
      </c>
      <c r="CH41" s="2" t="s">
        <v>1845</v>
      </c>
      <c r="CI41" s="2" t="s">
        <v>2461</v>
      </c>
      <c r="CJ41" s="2" t="s">
        <v>1857</v>
      </c>
      <c r="CK41" s="2" t="s">
        <v>329</v>
      </c>
      <c r="CL41" s="2" t="s">
        <v>3552</v>
      </c>
      <c r="CM41" s="39">
        <v>2</v>
      </c>
      <c r="CN41" s="2" t="str">
        <f t="shared" si="1"/>
        <v>TADigital NA Digital - DevOps Engineer</v>
      </c>
      <c r="CO41" s="2" t="str">
        <f t="shared" si="2"/>
        <v>TADigital India Consulting | Cloud &amp; Engineering - L2 / B1-B3 | Associate Engineer</v>
      </c>
      <c r="CP41" s="1579">
        <v>130</v>
      </c>
      <c r="CQ41" s="1579">
        <v>70</v>
      </c>
      <c r="CR41" s="1579">
        <v>55</v>
      </c>
      <c r="CS41" s="1579">
        <f t="shared" si="3"/>
        <v>14.760000000000002</v>
      </c>
      <c r="CT41" s="1579">
        <v>18</v>
      </c>
      <c r="CU41" s="2">
        <f t="shared" si="4"/>
        <v>13</v>
      </c>
      <c r="CV41" s="2" t="str">
        <f t="shared" si="0"/>
        <v>DevOps Engineer</v>
      </c>
      <c r="CW41" s="2" t="str">
        <f>_xlfn.XLOOKUP(CL41,'[1]Rates &amp; Drop Downs INT'!D$373:D$430,'[1]Rates &amp; Drop Downs INT'!C$373:C$430,"X",1)</f>
        <v>Cloud &amp; Engineering - 2 | Associate Engineer</v>
      </c>
      <c r="DF41" t="s">
        <v>2512</v>
      </c>
      <c r="DG41" t="s">
        <v>3490</v>
      </c>
      <c r="DH41" t="s">
        <v>3429</v>
      </c>
    </row>
    <row r="42" spans="2:112" ht="13.05" customHeight="1" x14ac:dyDescent="0.3">
      <c r="B42" s="4" t="s">
        <v>176</v>
      </c>
      <c r="C42" s="346" t="s">
        <v>348</v>
      </c>
      <c r="D42" s="346"/>
      <c r="E42" s="346"/>
      <c r="F42" s="4" t="s">
        <v>353</v>
      </c>
      <c r="G42" s="343">
        <v>128</v>
      </c>
      <c r="H42" s="4" t="s">
        <v>119</v>
      </c>
      <c r="I42" s="344">
        <v>300</v>
      </c>
      <c r="J42" s="345">
        <v>4</v>
      </c>
      <c r="V42" s="110"/>
      <c r="W42" s="110"/>
      <c r="X42" s="110"/>
      <c r="Y42" s="4"/>
      <c r="Z42" s="4"/>
      <c r="AA42" s="4"/>
      <c r="AB42" s="4"/>
      <c r="AC42" s="4"/>
      <c r="AD42" s="4"/>
      <c r="AE42" s="4"/>
      <c r="AT42" s="2" t="s">
        <v>262</v>
      </c>
      <c r="AU42" s="2" t="s">
        <v>262</v>
      </c>
      <c r="AV42" s="2" t="s">
        <v>1794</v>
      </c>
      <c r="AW42" s="2" t="s">
        <v>1794</v>
      </c>
      <c r="AX42" s="2" t="s">
        <v>1786</v>
      </c>
      <c r="BM42" s="2" t="s">
        <v>283</v>
      </c>
      <c r="BN42" s="2" t="s">
        <v>272</v>
      </c>
      <c r="BO42" s="350">
        <v>45900</v>
      </c>
      <c r="BP42" s="2" t="s">
        <v>2154</v>
      </c>
      <c r="BQ42" s="2" t="s">
        <v>2103</v>
      </c>
      <c r="BR42" s="2">
        <v>8</v>
      </c>
      <c r="BS42" s="149">
        <v>45901</v>
      </c>
      <c r="BT42" s="149">
        <f t="shared" si="5"/>
        <v>45901</v>
      </c>
      <c r="CG42" s="2" t="s">
        <v>297</v>
      </c>
      <c r="CH42" s="2" t="s">
        <v>1845</v>
      </c>
      <c r="CI42" s="2" t="s">
        <v>2461</v>
      </c>
      <c r="CJ42" s="2" t="s">
        <v>1857</v>
      </c>
      <c r="CK42" s="2" t="s">
        <v>578</v>
      </c>
      <c r="CL42" s="2" t="s">
        <v>3553</v>
      </c>
      <c r="CM42" s="39">
        <v>3</v>
      </c>
      <c r="CN42" s="2" t="str">
        <f t="shared" si="1"/>
        <v>TADigital NA Digital - Technical Lead</v>
      </c>
      <c r="CO42" s="2" t="str">
        <f t="shared" si="2"/>
        <v>TADigital India Consulting | Cloud &amp; Engineering - L2 / B1-B3 | Associate Engineer</v>
      </c>
      <c r="CP42" s="1579">
        <v>185</v>
      </c>
      <c r="CQ42" s="1579">
        <v>105</v>
      </c>
      <c r="CR42" s="1579">
        <v>80</v>
      </c>
      <c r="CS42" s="1579">
        <f t="shared" si="3"/>
        <v>22.55</v>
      </c>
      <c r="CT42" s="1579">
        <v>27.5</v>
      </c>
      <c r="CU42" s="2">
        <f t="shared" si="4"/>
        <v>13</v>
      </c>
      <c r="CV42" s="2" t="str">
        <f t="shared" si="0"/>
        <v>Technical Lead</v>
      </c>
      <c r="CW42" s="2" t="str">
        <f>_xlfn.XLOOKUP(CL42,'[1]Rates &amp; Drop Downs INT'!D$373:D$430,'[1]Rates &amp; Drop Downs INT'!C$373:C$430,"X",1)</f>
        <v>Cloud &amp; Engineering - 2 | Associate Engineer</v>
      </c>
      <c r="DF42" t="s">
        <v>1216</v>
      </c>
      <c r="DG42" t="s">
        <v>3491</v>
      </c>
      <c r="DH42" t="s">
        <v>1773</v>
      </c>
    </row>
    <row r="43" spans="2:112" ht="13.05" customHeight="1" x14ac:dyDescent="0.3">
      <c r="B43" s="4" t="s">
        <v>176</v>
      </c>
      <c r="C43" s="346" t="s">
        <v>348</v>
      </c>
      <c r="D43" s="346"/>
      <c r="E43" s="346"/>
      <c r="F43" s="346" t="s">
        <v>346</v>
      </c>
      <c r="G43" s="347">
        <v>172</v>
      </c>
      <c r="H43" s="346" t="s">
        <v>119</v>
      </c>
      <c r="I43" s="348">
        <v>350</v>
      </c>
      <c r="J43" s="353">
        <v>5</v>
      </c>
      <c r="AT43" s="2" t="s">
        <v>262</v>
      </c>
      <c r="AU43" s="2" t="s">
        <v>262</v>
      </c>
      <c r="AV43" s="2" t="s">
        <v>1794</v>
      </c>
      <c r="AW43" s="2" t="s">
        <v>1794</v>
      </c>
      <c r="AX43" s="2" t="s">
        <v>1754</v>
      </c>
      <c r="BM43" s="2" t="s">
        <v>283</v>
      </c>
      <c r="BN43" s="2" t="s">
        <v>272</v>
      </c>
      <c r="BO43" s="350">
        <v>45915</v>
      </c>
      <c r="BP43" s="2" t="s">
        <v>2109</v>
      </c>
      <c r="BQ43" s="2" t="s">
        <v>2103</v>
      </c>
      <c r="BR43" s="2">
        <v>8</v>
      </c>
      <c r="BS43" s="149">
        <v>45915</v>
      </c>
      <c r="BT43" s="149">
        <f t="shared" si="5"/>
        <v>45915</v>
      </c>
      <c r="CG43" s="2" t="s">
        <v>297</v>
      </c>
      <c r="CH43" s="2" t="s">
        <v>1845</v>
      </c>
      <c r="CI43" s="2" t="s">
        <v>2461</v>
      </c>
      <c r="CJ43" s="2" t="s">
        <v>1857</v>
      </c>
      <c r="CK43" s="2" t="s">
        <v>582</v>
      </c>
      <c r="CL43" s="2">
        <v>0</v>
      </c>
      <c r="CM43" s="39">
        <v>5</v>
      </c>
      <c r="CN43" s="2" t="str">
        <f t="shared" si="1"/>
        <v>TADigital NA Consulting - Delivery Manager</v>
      </c>
      <c r="CO43" s="2" t="str">
        <f t="shared" si="2"/>
        <v>TADigital India Consulting | Cloud &amp; Engineering - L2 / B1-B3 | Associate Engineer</v>
      </c>
      <c r="CP43" s="1579">
        <v>265</v>
      </c>
      <c r="CQ43" s="1579">
        <v>132.5</v>
      </c>
      <c r="CR43" s="1579">
        <v>105</v>
      </c>
      <c r="CS43" s="1579">
        <f t="shared" si="3"/>
        <v>41</v>
      </c>
      <c r="CT43" s="1579">
        <v>50</v>
      </c>
      <c r="CU43" s="2">
        <f t="shared" si="4"/>
        <v>13</v>
      </c>
      <c r="CV43" s="2" t="str">
        <f t="shared" si="0"/>
        <v>Delivery Manager</v>
      </c>
      <c r="CW43" s="2" t="str">
        <f>_xlfn.XLOOKUP(CL43,'[1]Rates &amp; Drop Downs INT'!D$373:D$430,'[1]Rates &amp; Drop Downs INT'!C$373:C$430,"X",1)</f>
        <v>Cloud &amp; Engineering - 2 | Associate Engineer</v>
      </c>
      <c r="DF43" t="s">
        <v>1216</v>
      </c>
      <c r="DG43" t="s">
        <v>3491</v>
      </c>
      <c r="DH43" t="s">
        <v>1774</v>
      </c>
    </row>
    <row r="44" spans="2:112" ht="13.05" customHeight="1" x14ac:dyDescent="0.3">
      <c r="B44" s="4" t="s">
        <v>176</v>
      </c>
      <c r="C44" s="346" t="s">
        <v>348</v>
      </c>
      <c r="D44" s="346"/>
      <c r="E44" s="346"/>
      <c r="F44" s="4" t="s">
        <v>420</v>
      </c>
      <c r="G44" s="343">
        <v>257</v>
      </c>
      <c r="H44" s="4" t="s">
        <v>119</v>
      </c>
      <c r="I44" s="344">
        <v>390</v>
      </c>
      <c r="J44" s="345">
        <v>6</v>
      </c>
      <c r="AT44" s="2" t="s">
        <v>262</v>
      </c>
      <c r="AU44" s="2" t="s">
        <v>262</v>
      </c>
      <c r="AV44" s="2" t="s">
        <v>1794</v>
      </c>
      <c r="AW44" s="2" t="s">
        <v>1794</v>
      </c>
      <c r="AX44" s="2" t="s">
        <v>1751</v>
      </c>
      <c r="BM44" s="2" t="s">
        <v>283</v>
      </c>
      <c r="BN44" s="2" t="s">
        <v>272</v>
      </c>
      <c r="BO44" s="350">
        <v>45930</v>
      </c>
      <c r="BP44" s="2" t="s">
        <v>2136</v>
      </c>
      <c r="BQ44" s="2" t="s">
        <v>2103</v>
      </c>
      <c r="BR44" s="2">
        <v>8</v>
      </c>
      <c r="BS44" s="149">
        <v>45929</v>
      </c>
      <c r="BT44" s="149">
        <f t="shared" si="5"/>
        <v>45929</v>
      </c>
      <c r="CG44" s="2" t="s">
        <v>297</v>
      </c>
      <c r="CH44" s="2" t="s">
        <v>1845</v>
      </c>
      <c r="CI44" s="2" t="s">
        <v>2461</v>
      </c>
      <c r="CJ44" s="2" t="s">
        <v>1857</v>
      </c>
      <c r="CK44" s="2" t="s">
        <v>3352</v>
      </c>
      <c r="CL44" s="2" t="s">
        <v>3549</v>
      </c>
      <c r="CM44" s="39">
        <v>5</v>
      </c>
      <c r="CN44" s="2" t="str">
        <f t="shared" si="1"/>
        <v>TADigital NA | Management - Practice Director / Delivery Director</v>
      </c>
      <c r="CO44" s="2" t="str">
        <f t="shared" si="2"/>
        <v>TADigital India Consulting | Cloud &amp; Engineering - L2 / B1-B3 | Associate Engineer</v>
      </c>
      <c r="CP44" s="1579">
        <v>315</v>
      </c>
      <c r="CQ44" s="1579">
        <v>165</v>
      </c>
      <c r="CR44" s="1579">
        <v>115</v>
      </c>
      <c r="CS44" s="1579">
        <f t="shared" si="3"/>
        <v>45.1</v>
      </c>
      <c r="CT44" s="1579">
        <v>55</v>
      </c>
      <c r="CU44" s="2">
        <f t="shared" si="4"/>
        <v>13</v>
      </c>
      <c r="CV44" s="2" t="str">
        <f t="shared" si="0"/>
        <v>Management - Practice Director / Delivery Director</v>
      </c>
      <c r="CW44" s="2" t="str">
        <f>_xlfn.XLOOKUP(CL44,'[1]Rates &amp; Drop Downs INT'!D$373:D$430,'[1]Rates &amp; Drop Downs INT'!C$373:C$430,"X",1)</f>
        <v>Cloud &amp; Engineering - 2 | Associate Engineer</v>
      </c>
      <c r="DF44" t="s">
        <v>1216</v>
      </c>
      <c r="DG44" t="s">
        <v>3491</v>
      </c>
      <c r="DH44" t="s">
        <v>3430</v>
      </c>
    </row>
    <row r="45" spans="2:112" ht="13.05" customHeight="1" x14ac:dyDescent="0.3">
      <c r="B45" s="346" t="s">
        <v>176</v>
      </c>
      <c r="C45" s="4" t="s">
        <v>315</v>
      </c>
      <c r="D45" s="4"/>
      <c r="E45" s="4"/>
      <c r="F45" s="346" t="s">
        <v>271</v>
      </c>
      <c r="G45" s="343">
        <v>77</v>
      </c>
      <c r="H45" s="346" t="s">
        <v>119</v>
      </c>
      <c r="I45" s="348">
        <v>200</v>
      </c>
      <c r="J45" s="351">
        <v>2</v>
      </c>
      <c r="AT45" s="2" t="s">
        <v>255</v>
      </c>
      <c r="AU45" s="2" t="s">
        <v>255</v>
      </c>
      <c r="AV45" s="2" t="s">
        <v>1795</v>
      </c>
      <c r="AW45" s="2" t="s">
        <v>1795</v>
      </c>
      <c r="AX45" s="2" t="s">
        <v>290</v>
      </c>
      <c r="BM45" s="2" t="s">
        <v>283</v>
      </c>
      <c r="BN45" s="2" t="s">
        <v>272</v>
      </c>
      <c r="BO45" s="350">
        <v>45992</v>
      </c>
      <c r="BP45" s="2" t="s">
        <v>2155</v>
      </c>
      <c r="BQ45" s="2" t="s">
        <v>2103</v>
      </c>
      <c r="BR45" s="2">
        <v>8</v>
      </c>
      <c r="BS45" s="149">
        <v>45992</v>
      </c>
      <c r="BT45" s="149">
        <f t="shared" si="5"/>
        <v>45992</v>
      </c>
      <c r="CG45" s="2" t="s">
        <v>297</v>
      </c>
      <c r="CH45" s="2" t="s">
        <v>1845</v>
      </c>
      <c r="CI45" s="2" t="s">
        <v>2461</v>
      </c>
      <c r="CJ45" s="2" t="s">
        <v>1857</v>
      </c>
      <c r="CK45" s="2" t="s">
        <v>446</v>
      </c>
      <c r="CL45" s="2" t="s">
        <v>3546</v>
      </c>
      <c r="CM45" s="39">
        <v>4</v>
      </c>
      <c r="CN45" s="2" t="str">
        <f t="shared" si="1"/>
        <v>TADigital NA Consulting - Sr. Project Manager</v>
      </c>
      <c r="CO45" s="2" t="str">
        <f t="shared" si="2"/>
        <v>TADigital India Consulting | Cloud &amp; Engineering - L2 / B1-B3 | Associate Engineer</v>
      </c>
      <c r="CP45" s="1579">
        <v>235</v>
      </c>
      <c r="CQ45" s="1579">
        <v>130</v>
      </c>
      <c r="CR45" s="1579">
        <v>80</v>
      </c>
      <c r="CS45" s="1579">
        <f t="shared" si="3"/>
        <v>38.950000000000003</v>
      </c>
      <c r="CT45" s="1579">
        <v>47.5</v>
      </c>
      <c r="CU45" s="2">
        <f t="shared" si="4"/>
        <v>13</v>
      </c>
      <c r="CV45" s="2" t="str">
        <f t="shared" si="0"/>
        <v>Sr. Project Manager</v>
      </c>
      <c r="CW45" s="2" t="str">
        <f>_xlfn.XLOOKUP(CL45,'[1]Rates &amp; Drop Downs INT'!D$373:D$430,'[1]Rates &amp; Drop Downs INT'!C$373:C$430,"X",1)</f>
        <v>Cloud &amp; Engineering - 2 | Associate Engineer</v>
      </c>
      <c r="DF45" t="s">
        <v>1216</v>
      </c>
      <c r="DG45" t="s">
        <v>3491</v>
      </c>
      <c r="DH45" t="s">
        <v>3431</v>
      </c>
    </row>
    <row r="46" spans="2:112" ht="13.05" customHeight="1" x14ac:dyDescent="0.3">
      <c r="B46" s="4" t="s">
        <v>176</v>
      </c>
      <c r="C46" s="4" t="s">
        <v>315</v>
      </c>
      <c r="D46" s="4"/>
      <c r="E46" s="4"/>
      <c r="F46" s="4" t="s">
        <v>259</v>
      </c>
      <c r="G46" s="343">
        <v>96</v>
      </c>
      <c r="H46" s="4" t="s">
        <v>119</v>
      </c>
      <c r="I46" s="344">
        <v>240</v>
      </c>
      <c r="J46" s="352">
        <v>3</v>
      </c>
      <c r="AT46" s="2" t="s">
        <v>255</v>
      </c>
      <c r="AU46" s="2" t="s">
        <v>255</v>
      </c>
      <c r="AV46" s="2" t="s">
        <v>1796</v>
      </c>
      <c r="AW46" s="2" t="s">
        <v>1796</v>
      </c>
      <c r="AX46" s="2" t="s">
        <v>311</v>
      </c>
      <c r="BM46" s="2" t="s">
        <v>283</v>
      </c>
      <c r="BN46" s="2" t="s">
        <v>272</v>
      </c>
      <c r="BO46" s="350">
        <v>46016</v>
      </c>
      <c r="BP46" s="2" t="s">
        <v>2116</v>
      </c>
      <c r="BQ46" s="2" t="s">
        <v>2103</v>
      </c>
      <c r="BR46" s="2">
        <v>8</v>
      </c>
      <c r="BS46" s="149">
        <v>46013</v>
      </c>
      <c r="BT46" s="149">
        <f t="shared" si="5"/>
        <v>46013</v>
      </c>
      <c r="CG46" s="2" t="s">
        <v>297</v>
      </c>
      <c r="CH46" s="2" t="s">
        <v>1845</v>
      </c>
      <c r="CI46" s="2" t="s">
        <v>2461</v>
      </c>
      <c r="CJ46" s="2" t="s">
        <v>1857</v>
      </c>
      <c r="CK46" s="2" t="s">
        <v>3353</v>
      </c>
      <c r="CL46" s="2" t="s">
        <v>3549</v>
      </c>
      <c r="CM46" s="39">
        <v>6</v>
      </c>
      <c r="CN46" s="2" t="str">
        <f t="shared" si="1"/>
        <v>TADigital NA | Management - Practice VP / Delivery VP</v>
      </c>
      <c r="CO46" s="2" t="str">
        <f t="shared" si="2"/>
        <v>TADigital India Consulting | Cloud &amp; Engineering - L2 / B1-B3 | Associate Engineer</v>
      </c>
      <c r="CP46" s="1579">
        <v>370</v>
      </c>
      <c r="CQ46" s="1579">
        <v>172.5</v>
      </c>
      <c r="CR46" s="1579">
        <v>135</v>
      </c>
      <c r="CS46" s="1579">
        <f t="shared" si="3"/>
        <v>51.250000000000007</v>
      </c>
      <c r="CT46" s="1579">
        <v>62.5</v>
      </c>
      <c r="CU46" s="2">
        <f t="shared" si="4"/>
        <v>13</v>
      </c>
      <c r="CV46" s="2" t="str">
        <f t="shared" si="0"/>
        <v>Management - Practice VP / Delivery VP</v>
      </c>
      <c r="CW46" s="2" t="str">
        <f>_xlfn.XLOOKUP(CL46,'[1]Rates &amp; Drop Downs INT'!D$373:D$430,'[1]Rates &amp; Drop Downs INT'!C$373:C$430,"X",1)</f>
        <v>Cloud &amp; Engineering - 2 | Associate Engineer</v>
      </c>
      <c r="DF46" t="s">
        <v>1217</v>
      </c>
      <c r="DG46" t="s">
        <v>3492</v>
      </c>
      <c r="DH46" t="s">
        <v>290</v>
      </c>
    </row>
    <row r="47" spans="2:112" ht="13.05" customHeight="1" x14ac:dyDescent="0.3">
      <c r="B47" s="4" t="s">
        <v>176</v>
      </c>
      <c r="C47" s="4" t="s">
        <v>315</v>
      </c>
      <c r="D47" s="4"/>
      <c r="E47" s="4"/>
      <c r="F47" s="346" t="s">
        <v>353</v>
      </c>
      <c r="G47" s="347">
        <v>128</v>
      </c>
      <c r="H47" s="4" t="s">
        <v>119</v>
      </c>
      <c r="I47" s="348">
        <v>300</v>
      </c>
      <c r="J47" s="351">
        <v>4</v>
      </c>
      <c r="AT47" s="2" t="s">
        <v>255</v>
      </c>
      <c r="AU47" s="2" t="s">
        <v>255</v>
      </c>
      <c r="AV47" s="2" t="s">
        <v>1797</v>
      </c>
      <c r="AW47" s="2" t="s">
        <v>1797</v>
      </c>
      <c r="AX47" s="2" t="s">
        <v>1798</v>
      </c>
      <c r="BM47" s="2" t="s">
        <v>176</v>
      </c>
      <c r="BN47" s="2" t="s">
        <v>2459</v>
      </c>
      <c r="BO47" s="350">
        <v>45658</v>
      </c>
      <c r="BP47" s="2" t="s">
        <v>2102</v>
      </c>
      <c r="BQ47" s="2" t="s">
        <v>2103</v>
      </c>
      <c r="BR47" s="2">
        <v>8</v>
      </c>
      <c r="BS47" s="149">
        <v>45656</v>
      </c>
      <c r="BT47" s="149">
        <f t="shared" si="5"/>
        <v>45656</v>
      </c>
      <c r="CG47" s="2" t="s">
        <v>297</v>
      </c>
      <c r="CH47" s="2" t="s">
        <v>1845</v>
      </c>
      <c r="CI47" s="2" t="s">
        <v>2461</v>
      </c>
      <c r="CJ47" s="2" t="s">
        <v>1857</v>
      </c>
      <c r="CK47" s="2" t="s">
        <v>576</v>
      </c>
      <c r="CL47" s="2" t="s">
        <v>3554</v>
      </c>
      <c r="CM47" s="39">
        <v>2</v>
      </c>
      <c r="CN47" s="2" t="str">
        <f t="shared" si="1"/>
        <v>TADigital NA Consulting | Content &amp; SEO - Associate Content Strategist</v>
      </c>
      <c r="CO47" s="2" t="str">
        <f t="shared" si="2"/>
        <v>TADigital India Consulting | Cloud &amp; Engineering - L2 / B1-B3 | Associate Engineer</v>
      </c>
      <c r="CP47" s="1579">
        <v>160</v>
      </c>
      <c r="CQ47" s="1579">
        <v>80</v>
      </c>
      <c r="CR47" s="1579">
        <v>65</v>
      </c>
      <c r="CS47" s="1579">
        <f t="shared" si="3"/>
        <v>16.400000000000002</v>
      </c>
      <c r="CT47" s="1579">
        <v>20</v>
      </c>
      <c r="CU47" s="2">
        <f t="shared" si="4"/>
        <v>13</v>
      </c>
      <c r="CV47" s="2" t="str">
        <f t="shared" si="0"/>
        <v>Content &amp; SEO - Associate Content Strategist</v>
      </c>
      <c r="CW47" s="2" t="str">
        <f>_xlfn.XLOOKUP(CL47,'[1]Rates &amp; Drop Downs INT'!D$373:D$430,'[1]Rates &amp; Drop Downs INT'!C$373:C$430,"X",1)</f>
        <v>Cloud &amp; Engineering - 2 | Associate Engineer</v>
      </c>
      <c r="DF47" t="s">
        <v>1217</v>
      </c>
      <c r="DG47" t="s">
        <v>3492</v>
      </c>
      <c r="DH47" t="s">
        <v>1173</v>
      </c>
    </row>
    <row r="48" spans="2:112" ht="13.05" customHeight="1" x14ac:dyDescent="0.3">
      <c r="B48" s="4" t="s">
        <v>176</v>
      </c>
      <c r="C48" s="346" t="s">
        <v>320</v>
      </c>
      <c r="D48" s="346"/>
      <c r="E48" s="346"/>
      <c r="F48" s="346" t="s">
        <v>271</v>
      </c>
      <c r="G48" s="343">
        <v>77</v>
      </c>
      <c r="H48" s="4" t="s">
        <v>119</v>
      </c>
      <c r="I48" s="348">
        <v>200</v>
      </c>
      <c r="J48" s="351">
        <v>2</v>
      </c>
      <c r="AT48" s="2" t="s">
        <v>255</v>
      </c>
      <c r="AU48" s="2" t="s">
        <v>255</v>
      </c>
      <c r="AV48" s="2" t="s">
        <v>1799</v>
      </c>
      <c r="AW48" s="2" t="s">
        <v>1799</v>
      </c>
      <c r="AX48" s="2" t="s">
        <v>1219</v>
      </c>
      <c r="BM48" s="2" t="s">
        <v>176</v>
      </c>
      <c r="BN48" s="2" t="s">
        <v>2459</v>
      </c>
      <c r="BO48" s="350">
        <v>45677</v>
      </c>
      <c r="BP48" s="2" t="s">
        <v>2104</v>
      </c>
      <c r="BQ48" s="2" t="s">
        <v>2103</v>
      </c>
      <c r="BR48" s="2">
        <v>8</v>
      </c>
      <c r="BS48" s="149">
        <v>45677</v>
      </c>
      <c r="BT48" s="149">
        <f t="shared" si="5"/>
        <v>45677</v>
      </c>
      <c r="CG48" s="2" t="s">
        <v>297</v>
      </c>
      <c r="CH48" s="2" t="s">
        <v>1845</v>
      </c>
      <c r="CI48" s="2" t="s">
        <v>2461</v>
      </c>
      <c r="CJ48" s="2" t="s">
        <v>1857</v>
      </c>
      <c r="CK48" s="2" t="s">
        <v>3354</v>
      </c>
      <c r="CL48" s="2" t="s">
        <v>3549</v>
      </c>
      <c r="CM48" s="39">
        <v>5</v>
      </c>
      <c r="CN48" s="2" t="str">
        <f t="shared" si="1"/>
        <v>TADigital NA | Management - Sr. Practice Director / Sr. Delivery Director</v>
      </c>
      <c r="CO48" s="2" t="str">
        <f t="shared" si="2"/>
        <v>TADigital India Consulting | Cloud &amp; Engineering - L2 / B1-B3 | Associate Engineer</v>
      </c>
      <c r="CP48" s="1579">
        <v>340</v>
      </c>
      <c r="CQ48" s="1579">
        <v>170</v>
      </c>
      <c r="CR48" s="1579">
        <v>125</v>
      </c>
      <c r="CS48" s="1579">
        <f t="shared" si="3"/>
        <v>49.2</v>
      </c>
      <c r="CT48" s="1579">
        <v>60</v>
      </c>
      <c r="CU48" s="2">
        <f t="shared" si="4"/>
        <v>13</v>
      </c>
      <c r="CV48" s="2" t="str">
        <f t="shared" si="0"/>
        <v>Management - Sr. Practice Director / Sr. Delivery Director</v>
      </c>
      <c r="CW48" s="2" t="str">
        <f>_xlfn.XLOOKUP(CL48,'[1]Rates &amp; Drop Downs INT'!D$373:D$430,'[1]Rates &amp; Drop Downs INT'!C$373:C$430,"X",1)</f>
        <v>Cloud &amp; Engineering - 2 | Associate Engineer</v>
      </c>
      <c r="DF48" t="s">
        <v>1217</v>
      </c>
      <c r="DG48" t="s">
        <v>3492</v>
      </c>
      <c r="DH48" t="s">
        <v>311</v>
      </c>
    </row>
    <row r="49" spans="2:112" ht="13.05" customHeight="1" x14ac:dyDescent="0.3">
      <c r="B49" s="346" t="s">
        <v>176</v>
      </c>
      <c r="C49" s="346" t="s">
        <v>320</v>
      </c>
      <c r="D49" s="346"/>
      <c r="E49" s="346"/>
      <c r="F49" s="346" t="s">
        <v>259</v>
      </c>
      <c r="G49" s="347">
        <v>96</v>
      </c>
      <c r="H49" s="346" t="s">
        <v>119</v>
      </c>
      <c r="I49" s="348">
        <v>240</v>
      </c>
      <c r="J49" s="349">
        <v>3</v>
      </c>
      <c r="AT49" s="2" t="s">
        <v>255</v>
      </c>
      <c r="AU49" s="2" t="s">
        <v>255</v>
      </c>
      <c r="AV49" s="2" t="s">
        <v>1800</v>
      </c>
      <c r="AW49" s="2" t="s">
        <v>1800</v>
      </c>
      <c r="AX49" s="2" t="s">
        <v>290</v>
      </c>
      <c r="BM49" s="2" t="s">
        <v>176</v>
      </c>
      <c r="BN49" s="2" t="s">
        <v>2459</v>
      </c>
      <c r="BO49" s="350">
        <v>45705</v>
      </c>
      <c r="BP49" s="2" t="s">
        <v>2105</v>
      </c>
      <c r="BQ49" s="2" t="s">
        <v>2103</v>
      </c>
      <c r="BR49" s="2">
        <v>8</v>
      </c>
      <c r="BS49" s="149">
        <v>45705</v>
      </c>
      <c r="BT49" s="149">
        <f t="shared" si="5"/>
        <v>45705</v>
      </c>
      <c r="CG49" s="2" t="s">
        <v>297</v>
      </c>
      <c r="CH49" s="2" t="s">
        <v>1845</v>
      </c>
      <c r="CI49" s="2" t="s">
        <v>2461</v>
      </c>
      <c r="CJ49" s="2" t="s">
        <v>1857</v>
      </c>
      <c r="CK49" s="2" t="s">
        <v>448</v>
      </c>
      <c r="CL49" s="2" t="s">
        <v>3546</v>
      </c>
      <c r="CM49" s="39">
        <v>5</v>
      </c>
      <c r="CN49" s="2" t="str">
        <f t="shared" si="1"/>
        <v>TADigital NA Consulting - Delivery Manager</v>
      </c>
      <c r="CO49" s="2" t="str">
        <f t="shared" si="2"/>
        <v>TADigital India Consulting | Cloud &amp; Engineering - L2 / B1-B3 | Associate Engineer</v>
      </c>
      <c r="CP49" s="1579">
        <v>265</v>
      </c>
      <c r="CQ49" s="1579">
        <v>137.5</v>
      </c>
      <c r="CR49" s="1579">
        <v>90</v>
      </c>
      <c r="CS49" s="1579">
        <f t="shared" si="3"/>
        <v>38.950000000000003</v>
      </c>
      <c r="CT49" s="1579">
        <v>47.5</v>
      </c>
      <c r="CU49" s="2">
        <f t="shared" si="4"/>
        <v>13</v>
      </c>
      <c r="CV49" s="2" t="str">
        <f t="shared" si="0"/>
        <v>Delivery Manager</v>
      </c>
      <c r="CW49" s="2" t="str">
        <f>_xlfn.XLOOKUP(CL49,'[1]Rates &amp; Drop Downs INT'!D$373:D$430,'[1]Rates &amp; Drop Downs INT'!C$373:C$430,"X",1)</f>
        <v>Cloud &amp; Engineering - 2 | Associate Engineer</v>
      </c>
      <c r="DF49" t="s">
        <v>290</v>
      </c>
      <c r="DG49" t="s">
        <v>3498</v>
      </c>
      <c r="DH49" t="s">
        <v>290</v>
      </c>
    </row>
    <row r="50" spans="2:112" ht="13.05" customHeight="1" x14ac:dyDescent="0.3">
      <c r="B50" s="346" t="s">
        <v>176</v>
      </c>
      <c r="C50" s="4" t="s">
        <v>323</v>
      </c>
      <c r="D50" s="4"/>
      <c r="E50" s="4"/>
      <c r="F50" s="346" t="s">
        <v>271</v>
      </c>
      <c r="G50" s="343">
        <v>77</v>
      </c>
      <c r="H50" s="346" t="s">
        <v>119</v>
      </c>
      <c r="I50" s="348">
        <v>200</v>
      </c>
      <c r="J50" s="351">
        <v>2</v>
      </c>
      <c r="AT50" s="2" t="s">
        <v>255</v>
      </c>
      <c r="AU50" s="2" t="s">
        <v>255</v>
      </c>
      <c r="AV50" s="2" t="s">
        <v>1800</v>
      </c>
      <c r="AW50" s="2" t="s">
        <v>1800</v>
      </c>
      <c r="AX50" s="2" t="s">
        <v>1771</v>
      </c>
      <c r="BM50" s="2" t="s">
        <v>176</v>
      </c>
      <c r="BN50" s="2" t="s">
        <v>2459</v>
      </c>
      <c r="BO50" s="350">
        <v>45800</v>
      </c>
      <c r="BP50" s="2" t="s">
        <v>2106</v>
      </c>
      <c r="BQ50" s="2" t="s">
        <v>2103</v>
      </c>
      <c r="BR50" s="2">
        <v>8</v>
      </c>
      <c r="BS50" s="149">
        <v>45796</v>
      </c>
      <c r="BT50" s="149">
        <f t="shared" si="5"/>
        <v>45796</v>
      </c>
      <c r="CG50" s="2" t="s">
        <v>297</v>
      </c>
      <c r="CH50" s="2" t="s">
        <v>1845</v>
      </c>
      <c r="CI50" s="2" t="s">
        <v>2424</v>
      </c>
      <c r="CJ50" s="2" t="s">
        <v>1858</v>
      </c>
      <c r="CK50" s="2" t="s">
        <v>720</v>
      </c>
      <c r="CL50" s="2" t="s">
        <v>3546</v>
      </c>
      <c r="CM50" s="39">
        <v>5</v>
      </c>
      <c r="CN50" s="2" t="str">
        <f t="shared" si="1"/>
        <v>TADigital NA | Management - Associate Practice Director</v>
      </c>
      <c r="CO50" s="2" t="str">
        <f t="shared" si="2"/>
        <v>TADigital India Consulting | Cloud &amp; Engineering - L2 / B1-B3 | Associate Engineer</v>
      </c>
      <c r="CP50" s="1579">
        <v>290</v>
      </c>
      <c r="CQ50" s="1579">
        <v>140</v>
      </c>
      <c r="CR50" s="1579">
        <v>105</v>
      </c>
      <c r="CS50" s="1579">
        <f t="shared" si="3"/>
        <v>45.1</v>
      </c>
      <c r="CT50" s="1579">
        <v>55</v>
      </c>
      <c r="CU50" s="2">
        <f t="shared" si="4"/>
        <v>13</v>
      </c>
      <c r="CV50" s="2" t="str">
        <f t="shared" si="0"/>
        <v>Management - Associate Practice Director</v>
      </c>
      <c r="CW50" s="2" t="str">
        <f>_xlfn.XLOOKUP(CL50,'[1]Rates &amp; Drop Downs INT'!D$373:D$430,'[1]Rates &amp; Drop Downs INT'!C$373:C$430,"X",1)</f>
        <v>Cloud &amp; Engineering - 2 | Associate Engineer</v>
      </c>
      <c r="DF50" t="s">
        <v>1219</v>
      </c>
      <c r="DG50" t="s">
        <v>3499</v>
      </c>
      <c r="DH50" t="s">
        <v>290</v>
      </c>
    </row>
    <row r="51" spans="2:112" ht="13.05" customHeight="1" x14ac:dyDescent="0.3">
      <c r="B51" s="4" t="s">
        <v>176</v>
      </c>
      <c r="C51" s="4" t="s">
        <v>323</v>
      </c>
      <c r="D51" s="4"/>
      <c r="E51" s="4"/>
      <c r="F51" s="4" t="s">
        <v>259</v>
      </c>
      <c r="G51" s="343">
        <v>96</v>
      </c>
      <c r="H51" s="4" t="s">
        <v>119</v>
      </c>
      <c r="I51" s="344">
        <v>240</v>
      </c>
      <c r="J51" s="352">
        <v>3</v>
      </c>
      <c r="AT51" s="2" t="s">
        <v>255</v>
      </c>
      <c r="AU51" s="2" t="s">
        <v>255</v>
      </c>
      <c r="AV51" s="2" t="s">
        <v>1800</v>
      </c>
      <c r="AW51" s="2" t="s">
        <v>1800</v>
      </c>
      <c r="AX51" s="2" t="s">
        <v>311</v>
      </c>
      <c r="BM51" s="2" t="s">
        <v>176</v>
      </c>
      <c r="BN51" s="2" t="s">
        <v>2459</v>
      </c>
      <c r="BO51" s="350">
        <v>45803</v>
      </c>
      <c r="BP51" s="2" t="s">
        <v>2107</v>
      </c>
      <c r="BQ51" s="2" t="s">
        <v>2103</v>
      </c>
      <c r="BR51" s="2">
        <v>8</v>
      </c>
      <c r="BS51" s="149">
        <v>45803</v>
      </c>
      <c r="BT51" s="149">
        <f t="shared" si="5"/>
        <v>45803</v>
      </c>
      <c r="CG51" s="2" t="s">
        <v>297</v>
      </c>
      <c r="CH51" s="2" t="s">
        <v>1845</v>
      </c>
      <c r="CI51" s="2" t="s">
        <v>2424</v>
      </c>
      <c r="CJ51" s="2" t="s">
        <v>1858</v>
      </c>
      <c r="CK51" s="2" t="s">
        <v>3364</v>
      </c>
      <c r="CL51" s="2" t="s">
        <v>3545</v>
      </c>
      <c r="CM51" s="39">
        <v>2</v>
      </c>
      <c r="CN51" s="2" t="str">
        <f t="shared" si="1"/>
        <v>TADigital NA Consulting | Content &amp; SEO - Associate Web Content Analyst</v>
      </c>
      <c r="CO51" s="2" t="str">
        <f t="shared" si="2"/>
        <v>TADigital India Consulting | Cloud &amp; Engineering - L2 / B1-B3 | Associate Engineer</v>
      </c>
      <c r="CP51" s="1579">
        <v>0</v>
      </c>
      <c r="CQ51" s="1579">
        <v>0</v>
      </c>
      <c r="CR51" s="1579">
        <v>30</v>
      </c>
      <c r="CS51" s="1579">
        <f t="shared" si="3"/>
        <v>10.66</v>
      </c>
      <c r="CT51" s="1579">
        <v>13</v>
      </c>
      <c r="CU51" s="2">
        <f t="shared" si="4"/>
        <v>13</v>
      </c>
      <c r="CV51" s="2" t="str">
        <f t="shared" si="0"/>
        <v>Content &amp; SEO - Associate Web Content Analyst</v>
      </c>
      <c r="CW51" s="2" t="str">
        <f>_xlfn.XLOOKUP(CL51,'[1]Rates &amp; Drop Downs INT'!D$373:D$430,'[1]Rates &amp; Drop Downs INT'!C$373:C$430,"X",1)</f>
        <v>Cloud &amp; Engineering - 2 | Associate Engineer</v>
      </c>
      <c r="DF51" t="s">
        <v>1219</v>
      </c>
      <c r="DG51" t="s">
        <v>3499</v>
      </c>
      <c r="DH51" t="s">
        <v>1219</v>
      </c>
    </row>
    <row r="52" spans="2:112" ht="13.05" customHeight="1" x14ac:dyDescent="0.3">
      <c r="B52" s="4" t="s">
        <v>176</v>
      </c>
      <c r="C52" s="4" t="s">
        <v>323</v>
      </c>
      <c r="D52" s="4"/>
      <c r="E52" s="4"/>
      <c r="F52" s="346" t="s">
        <v>353</v>
      </c>
      <c r="G52" s="347">
        <v>128</v>
      </c>
      <c r="H52" s="4" t="s">
        <v>119</v>
      </c>
      <c r="I52" s="348">
        <v>300</v>
      </c>
      <c r="J52" s="351">
        <v>4</v>
      </c>
      <c r="AT52" s="2" t="s">
        <v>255</v>
      </c>
      <c r="AU52" s="2" t="s">
        <v>255</v>
      </c>
      <c r="AV52" s="2" t="s">
        <v>1801</v>
      </c>
      <c r="AW52" s="2" t="s">
        <v>1801</v>
      </c>
      <c r="AX52" s="2" t="s">
        <v>1773</v>
      </c>
      <c r="BM52" s="2" t="s">
        <v>176</v>
      </c>
      <c r="BN52" s="2" t="s">
        <v>2459</v>
      </c>
      <c r="BO52" s="350">
        <v>45827</v>
      </c>
      <c r="BP52" s="2" t="s">
        <v>2108</v>
      </c>
      <c r="BQ52" s="2" t="s">
        <v>2103</v>
      </c>
      <c r="BR52" s="2">
        <v>8</v>
      </c>
      <c r="BS52" s="149">
        <v>45824</v>
      </c>
      <c r="BT52" s="149">
        <f t="shared" si="5"/>
        <v>45824</v>
      </c>
      <c r="CG52" s="2" t="s">
        <v>297</v>
      </c>
      <c r="CH52" s="2" t="s">
        <v>1845</v>
      </c>
      <c r="CI52" s="2" t="s">
        <v>2424</v>
      </c>
      <c r="CJ52" s="2" t="s">
        <v>1858</v>
      </c>
      <c r="CK52" s="2" t="s">
        <v>3352</v>
      </c>
      <c r="CL52" s="2" t="s">
        <v>3549</v>
      </c>
      <c r="CM52" s="39">
        <v>5</v>
      </c>
      <c r="CN52" s="2" t="str">
        <f t="shared" si="1"/>
        <v>TADigital NA | Management - Practice Director / Delivery Director</v>
      </c>
      <c r="CO52" s="2" t="str">
        <f t="shared" si="2"/>
        <v>TADigital India Consulting | Cloud &amp; Engineering - L2 / B1-B3 | Associate Engineer</v>
      </c>
      <c r="CP52" s="1579">
        <v>315</v>
      </c>
      <c r="CQ52" s="1579">
        <v>165</v>
      </c>
      <c r="CR52" s="1579">
        <v>115</v>
      </c>
      <c r="CS52" s="1579">
        <f t="shared" si="3"/>
        <v>45.1</v>
      </c>
      <c r="CT52" s="1579">
        <v>55</v>
      </c>
      <c r="CU52" s="2">
        <f t="shared" si="4"/>
        <v>13</v>
      </c>
      <c r="CV52" s="2" t="str">
        <f t="shared" si="0"/>
        <v>Management - Practice Director / Delivery Director</v>
      </c>
      <c r="CW52" s="2" t="str">
        <f>_xlfn.XLOOKUP(CL52,'[1]Rates &amp; Drop Downs INT'!D$373:D$430,'[1]Rates &amp; Drop Downs INT'!C$373:C$430,"X",1)</f>
        <v>Cloud &amp; Engineering - 2 | Associate Engineer</v>
      </c>
      <c r="DF52" t="s">
        <v>311</v>
      </c>
      <c r="DG52" t="s">
        <v>3500</v>
      </c>
      <c r="DH52" t="s">
        <v>311</v>
      </c>
    </row>
    <row r="53" spans="2:112" ht="13.05" customHeight="1" x14ac:dyDescent="0.3">
      <c r="B53" s="4" t="s">
        <v>176</v>
      </c>
      <c r="C53" s="346" t="s">
        <v>369</v>
      </c>
      <c r="D53" s="346"/>
      <c r="E53" s="346"/>
      <c r="F53" s="4" t="s">
        <v>353</v>
      </c>
      <c r="G53" s="343">
        <v>128</v>
      </c>
      <c r="H53" s="4" t="s">
        <v>119</v>
      </c>
      <c r="I53" s="344">
        <v>300</v>
      </c>
      <c r="J53" s="345">
        <v>4</v>
      </c>
      <c r="AT53" s="2" t="s">
        <v>255</v>
      </c>
      <c r="AU53" s="2" t="s">
        <v>255</v>
      </c>
      <c r="AV53" s="2" t="s">
        <v>1801</v>
      </c>
      <c r="AW53" s="2" t="s">
        <v>1801</v>
      </c>
      <c r="AX53" s="2" t="s">
        <v>1774</v>
      </c>
      <c r="BM53" s="2" t="s">
        <v>176</v>
      </c>
      <c r="BN53" s="2" t="s">
        <v>2459</v>
      </c>
      <c r="BO53" s="350">
        <v>45842</v>
      </c>
      <c r="BP53" s="2" t="s">
        <v>2109</v>
      </c>
      <c r="BQ53" s="2" t="s">
        <v>2103</v>
      </c>
      <c r="BR53" s="2">
        <v>8</v>
      </c>
      <c r="BS53" s="149">
        <v>45838</v>
      </c>
      <c r="BT53" s="149">
        <f t="shared" si="5"/>
        <v>45838</v>
      </c>
      <c r="CG53" s="2" t="s">
        <v>297</v>
      </c>
      <c r="CH53" s="2" t="s">
        <v>1845</v>
      </c>
      <c r="CI53" s="2" t="s">
        <v>2424</v>
      </c>
      <c r="CJ53" s="2" t="s">
        <v>1858</v>
      </c>
      <c r="CK53" s="2" t="s">
        <v>3353</v>
      </c>
      <c r="CL53" s="2" t="s">
        <v>3549</v>
      </c>
      <c r="CM53" s="39">
        <v>6</v>
      </c>
      <c r="CN53" s="2" t="str">
        <f t="shared" si="1"/>
        <v>TADigital NA | Management - Practice VP / Delivery VP</v>
      </c>
      <c r="CO53" s="2" t="str">
        <f t="shared" si="2"/>
        <v>TADigital India Consulting | Cloud &amp; Engineering - L2 / B1-B3 | Associate Engineer</v>
      </c>
      <c r="CP53" s="1579">
        <v>370</v>
      </c>
      <c r="CQ53" s="1579">
        <v>172.5</v>
      </c>
      <c r="CR53" s="1579">
        <v>135</v>
      </c>
      <c r="CS53" s="1579">
        <f t="shared" si="3"/>
        <v>51.250000000000007</v>
      </c>
      <c r="CT53" s="1579">
        <v>62.5</v>
      </c>
      <c r="CU53" s="2">
        <f t="shared" si="4"/>
        <v>13</v>
      </c>
      <c r="CV53" s="2" t="str">
        <f t="shared" si="0"/>
        <v>Management - Practice VP / Delivery VP</v>
      </c>
      <c r="CW53" s="2" t="str">
        <f>_xlfn.XLOOKUP(CL53,'[1]Rates &amp; Drop Downs INT'!D$373:D$430,'[1]Rates &amp; Drop Downs INT'!C$373:C$430,"X",1)</f>
        <v>Cloud &amp; Engineering - 2 | Associate Engineer</v>
      </c>
      <c r="DF53" t="s">
        <v>2543</v>
      </c>
      <c r="DG53" t="s">
        <v>3493</v>
      </c>
      <c r="DH53" t="s">
        <v>264</v>
      </c>
    </row>
    <row r="54" spans="2:112" ht="13.05" customHeight="1" x14ac:dyDescent="0.3">
      <c r="B54" s="4" t="s">
        <v>176</v>
      </c>
      <c r="C54" s="346" t="s">
        <v>369</v>
      </c>
      <c r="D54" s="346"/>
      <c r="E54" s="346"/>
      <c r="F54" s="346" t="s">
        <v>346</v>
      </c>
      <c r="G54" s="347">
        <v>172</v>
      </c>
      <c r="H54" s="4" t="s">
        <v>119</v>
      </c>
      <c r="I54" s="348">
        <v>350</v>
      </c>
      <c r="J54" s="353">
        <v>5</v>
      </c>
      <c r="AT54" s="2" t="s">
        <v>255</v>
      </c>
      <c r="AU54" s="2" t="s">
        <v>255</v>
      </c>
      <c r="AV54" s="2" t="s">
        <v>1801</v>
      </c>
      <c r="AW54" s="2" t="s">
        <v>1801</v>
      </c>
      <c r="AX54" s="2" t="s">
        <v>1775</v>
      </c>
      <c r="BM54" s="2" t="s">
        <v>176</v>
      </c>
      <c r="BN54" s="2" t="s">
        <v>2459</v>
      </c>
      <c r="BO54" s="350">
        <v>45898</v>
      </c>
      <c r="BP54" s="2" t="s">
        <v>2110</v>
      </c>
      <c r="BQ54" s="2" t="s">
        <v>2103</v>
      </c>
      <c r="BR54" s="2">
        <v>8</v>
      </c>
      <c r="BS54" s="149">
        <v>45894</v>
      </c>
      <c r="BT54" s="149">
        <f t="shared" si="5"/>
        <v>45894</v>
      </c>
      <c r="CG54" s="2" t="s">
        <v>297</v>
      </c>
      <c r="CH54" s="2" t="s">
        <v>1845</v>
      </c>
      <c r="CI54" s="2" t="s">
        <v>2424</v>
      </c>
      <c r="CJ54" s="2" t="s">
        <v>1858</v>
      </c>
      <c r="CK54" s="2" t="s">
        <v>567</v>
      </c>
      <c r="CL54" s="2" t="s">
        <v>3555</v>
      </c>
      <c r="CM54" s="39">
        <v>2</v>
      </c>
      <c r="CN54" s="2" t="str">
        <f t="shared" si="1"/>
        <v>TADigital NA Consulting | Content &amp; SEO - Content Analyst</v>
      </c>
      <c r="CO54" s="2" t="str">
        <f t="shared" si="2"/>
        <v>TADigital India Consulting | Cloud &amp; Engineering - L2 / B1-B3 | Associate Engineer</v>
      </c>
      <c r="CP54" s="1579">
        <v>125</v>
      </c>
      <c r="CQ54" s="1579">
        <v>75</v>
      </c>
      <c r="CR54" s="1579">
        <v>40</v>
      </c>
      <c r="CS54" s="1579">
        <f t="shared" si="3"/>
        <v>14.760000000000002</v>
      </c>
      <c r="CT54" s="1579">
        <v>18</v>
      </c>
      <c r="CU54" s="2">
        <f t="shared" si="4"/>
        <v>13</v>
      </c>
      <c r="CV54" s="2" t="str">
        <f t="shared" si="0"/>
        <v>Content &amp; SEO - Content Analyst</v>
      </c>
      <c r="CW54" s="2" t="str">
        <f>_xlfn.XLOOKUP(CL54,'[1]Rates &amp; Drop Downs INT'!D$373:D$430,'[1]Rates &amp; Drop Downs INT'!C$373:C$430,"X",1)</f>
        <v>Cloud &amp; Engineering - 2 | Associate Engineer</v>
      </c>
      <c r="DF54" t="s">
        <v>2543</v>
      </c>
      <c r="DG54" t="s">
        <v>3493</v>
      </c>
      <c r="DH54" t="s">
        <v>1782</v>
      </c>
    </row>
    <row r="55" spans="2:112" ht="13.05" customHeight="1" x14ac:dyDescent="0.3">
      <c r="B55" s="4" t="s">
        <v>176</v>
      </c>
      <c r="C55" s="346" t="s">
        <v>369</v>
      </c>
      <c r="D55" s="346"/>
      <c r="E55" s="346"/>
      <c r="F55" s="4" t="s">
        <v>420</v>
      </c>
      <c r="G55" s="343">
        <v>257</v>
      </c>
      <c r="H55" s="4" t="s">
        <v>119</v>
      </c>
      <c r="I55" s="344">
        <v>390</v>
      </c>
      <c r="J55" s="345">
        <v>6</v>
      </c>
      <c r="AT55" s="2" t="s">
        <v>255</v>
      </c>
      <c r="AU55" s="2" t="s">
        <v>255</v>
      </c>
      <c r="AV55" s="2" t="s">
        <v>1801</v>
      </c>
      <c r="AW55" s="2" t="s">
        <v>1801</v>
      </c>
      <c r="AX55" s="2" t="s">
        <v>1776</v>
      </c>
      <c r="BM55" s="2" t="s">
        <v>176</v>
      </c>
      <c r="BN55" s="2" t="s">
        <v>2459</v>
      </c>
      <c r="BO55" s="350">
        <v>45901</v>
      </c>
      <c r="BP55" s="2" t="s">
        <v>2111</v>
      </c>
      <c r="BQ55" s="2" t="s">
        <v>2103</v>
      </c>
      <c r="BR55" s="2">
        <v>8</v>
      </c>
      <c r="BS55" s="149">
        <v>45901</v>
      </c>
      <c r="BT55" s="149">
        <f t="shared" si="5"/>
        <v>45901</v>
      </c>
      <c r="CG55" s="2" t="s">
        <v>297</v>
      </c>
      <c r="CH55" s="2" t="s">
        <v>1845</v>
      </c>
      <c r="CI55" s="2" t="s">
        <v>2424</v>
      </c>
      <c r="CJ55" s="2" t="s">
        <v>1858</v>
      </c>
      <c r="CK55" s="2" t="s">
        <v>571</v>
      </c>
      <c r="CL55" s="2" t="s">
        <v>3556</v>
      </c>
      <c r="CM55" s="39">
        <v>3</v>
      </c>
      <c r="CN55" s="2" t="str">
        <f t="shared" si="1"/>
        <v>TADigital NA Consulting | Content &amp; SEO - Content Strategist</v>
      </c>
      <c r="CO55" s="2" t="str">
        <f t="shared" si="2"/>
        <v>TADigital India Consulting | Cloud &amp; Engineering - L2 / B1-B3 | Associate Engineer</v>
      </c>
      <c r="CP55" s="1579">
        <v>170</v>
      </c>
      <c r="CQ55" s="1579">
        <v>82.5</v>
      </c>
      <c r="CR55" s="1579">
        <v>70</v>
      </c>
      <c r="CS55" s="1579">
        <f t="shared" si="3"/>
        <v>20.5</v>
      </c>
      <c r="CT55" s="1579">
        <v>25</v>
      </c>
      <c r="CU55" s="2">
        <f t="shared" si="4"/>
        <v>13</v>
      </c>
      <c r="CV55" s="2" t="str">
        <f t="shared" si="0"/>
        <v>Content &amp; SEO - Content Strategist</v>
      </c>
      <c r="CW55" s="2" t="str">
        <f>_xlfn.XLOOKUP(CL55,'[1]Rates &amp; Drop Downs INT'!D$373:D$430,'[1]Rates &amp; Drop Downs INT'!C$373:C$430,"X",1)</f>
        <v>Cloud &amp; Engineering - 2 | Associate Engineer</v>
      </c>
      <c r="DF55" t="s">
        <v>2543</v>
      </c>
      <c r="DG55" t="s">
        <v>3493</v>
      </c>
      <c r="DH55" t="s">
        <v>1783</v>
      </c>
    </row>
    <row r="56" spans="2:112" ht="13.05" customHeight="1" x14ac:dyDescent="0.3">
      <c r="B56" s="4" t="s">
        <v>176</v>
      </c>
      <c r="C56" s="4" t="s">
        <v>370</v>
      </c>
      <c r="D56" s="4"/>
      <c r="E56" s="4"/>
      <c r="F56" s="4" t="s">
        <v>353</v>
      </c>
      <c r="G56" s="343">
        <v>128</v>
      </c>
      <c r="H56" s="4" t="s">
        <v>119</v>
      </c>
      <c r="I56" s="344">
        <v>300</v>
      </c>
      <c r="J56" s="345">
        <v>4</v>
      </c>
      <c r="AT56" s="2" t="s">
        <v>255</v>
      </c>
      <c r="AU56" s="2" t="s">
        <v>255</v>
      </c>
      <c r="AV56" s="2" t="s">
        <v>1802</v>
      </c>
      <c r="AW56" s="2" t="s">
        <v>1802</v>
      </c>
      <c r="AX56" s="2" t="s">
        <v>1777</v>
      </c>
      <c r="BM56" s="2" t="s">
        <v>176</v>
      </c>
      <c r="BN56" s="2" t="s">
        <v>2459</v>
      </c>
      <c r="BO56" s="350">
        <v>45987</v>
      </c>
      <c r="BP56" s="2" t="s">
        <v>2112</v>
      </c>
      <c r="BQ56" s="354">
        <v>4</v>
      </c>
      <c r="BR56" s="2">
        <v>4</v>
      </c>
      <c r="BS56" s="149">
        <v>45985</v>
      </c>
      <c r="BT56" s="149">
        <f t="shared" si="5"/>
        <v>45985</v>
      </c>
      <c r="CG56" s="2" t="s">
        <v>297</v>
      </c>
      <c r="CH56" s="2" t="s">
        <v>1845</v>
      </c>
      <c r="CI56" s="2" t="s">
        <v>2424</v>
      </c>
      <c r="CJ56" s="2" t="s">
        <v>1858</v>
      </c>
      <c r="CK56" s="2" t="s">
        <v>573</v>
      </c>
      <c r="CL56" s="2" t="s">
        <v>3557</v>
      </c>
      <c r="CM56" s="39">
        <v>4</v>
      </c>
      <c r="CN56" s="2" t="str">
        <f t="shared" si="1"/>
        <v>TADigital NA Consulting - Project Manager / Product Manager</v>
      </c>
      <c r="CO56" s="2" t="str">
        <f t="shared" si="2"/>
        <v>TADigital India Consulting | Cloud &amp; Engineering - L2 / B1-B3 | Associate Engineer</v>
      </c>
      <c r="CP56" s="1579">
        <v>190</v>
      </c>
      <c r="CQ56" s="1579">
        <v>85</v>
      </c>
      <c r="CR56" s="1579">
        <v>80</v>
      </c>
      <c r="CS56" s="1579">
        <f t="shared" si="3"/>
        <v>26.650000000000002</v>
      </c>
      <c r="CT56" s="1579">
        <v>32.5</v>
      </c>
      <c r="CU56" s="2">
        <f t="shared" si="4"/>
        <v>13</v>
      </c>
      <c r="CV56" s="2" t="str">
        <f t="shared" si="0"/>
        <v>Project Manager / Product Manager</v>
      </c>
      <c r="CW56" s="2" t="str">
        <f>_xlfn.XLOOKUP(CL56,'[1]Rates &amp; Drop Downs INT'!D$373:D$430,'[1]Rates &amp; Drop Downs INT'!C$373:C$430,"X",1)</f>
        <v>Cloud &amp; Engineering - 2 | Associate Engineer</v>
      </c>
      <c r="DF56" t="s">
        <v>2543</v>
      </c>
      <c r="DG56" t="s">
        <v>3493</v>
      </c>
      <c r="DH56" t="s">
        <v>1236</v>
      </c>
    </row>
    <row r="57" spans="2:112" ht="13.05" customHeight="1" x14ac:dyDescent="0.3">
      <c r="B57" s="4" t="s">
        <v>176</v>
      </c>
      <c r="C57" s="4" t="s">
        <v>370</v>
      </c>
      <c r="D57" s="4"/>
      <c r="E57" s="4"/>
      <c r="F57" s="4" t="s">
        <v>346</v>
      </c>
      <c r="G57" s="343">
        <v>172</v>
      </c>
      <c r="H57" s="4" t="s">
        <v>119</v>
      </c>
      <c r="I57" s="344">
        <v>350</v>
      </c>
      <c r="J57" s="345">
        <v>5</v>
      </c>
      <c r="AT57" s="2" t="s">
        <v>255</v>
      </c>
      <c r="AU57" s="2" t="s">
        <v>255</v>
      </c>
      <c r="AV57" s="2" t="s">
        <v>1802</v>
      </c>
      <c r="AW57" s="2" t="s">
        <v>1802</v>
      </c>
      <c r="AX57" s="2" t="s">
        <v>1779</v>
      </c>
      <c r="BM57" s="2" t="s">
        <v>176</v>
      </c>
      <c r="BN57" s="2" t="s">
        <v>2459</v>
      </c>
      <c r="BO57" s="350">
        <v>45988</v>
      </c>
      <c r="BP57" s="2" t="s">
        <v>2113</v>
      </c>
      <c r="BQ57" s="2" t="s">
        <v>2103</v>
      </c>
      <c r="BR57" s="2">
        <v>8</v>
      </c>
      <c r="BS57" s="149">
        <v>45985</v>
      </c>
      <c r="BT57" s="149">
        <f t="shared" si="5"/>
        <v>45985</v>
      </c>
      <c r="CG57" s="2" t="s">
        <v>297</v>
      </c>
      <c r="CH57" s="2" t="s">
        <v>1845</v>
      </c>
      <c r="CI57" s="2" t="s">
        <v>2424</v>
      </c>
      <c r="CJ57" s="2" t="s">
        <v>1858</v>
      </c>
      <c r="CK57" s="2" t="s">
        <v>3354</v>
      </c>
      <c r="CL57" s="2" t="s">
        <v>3549</v>
      </c>
      <c r="CM57" s="39">
        <v>5</v>
      </c>
      <c r="CN57" s="2" t="str">
        <f t="shared" si="1"/>
        <v>TADigital NA | Management - Sr. Practice Director / Sr. Delivery Director</v>
      </c>
      <c r="CO57" s="2" t="str">
        <f t="shared" si="2"/>
        <v>TADigital India Consulting | Cloud &amp; Engineering - L2 / B1-B3 | Associate Engineer</v>
      </c>
      <c r="CP57" s="1579">
        <v>340</v>
      </c>
      <c r="CQ57" s="1579">
        <v>170</v>
      </c>
      <c r="CR57" s="1579">
        <v>125</v>
      </c>
      <c r="CS57" s="1579">
        <f t="shared" si="3"/>
        <v>49.2</v>
      </c>
      <c r="CT57" s="1579">
        <v>60</v>
      </c>
      <c r="CU57" s="2">
        <f t="shared" si="4"/>
        <v>13</v>
      </c>
      <c r="CV57" s="2" t="str">
        <f t="shared" si="0"/>
        <v>Management - Sr. Practice Director / Sr. Delivery Director</v>
      </c>
      <c r="CW57" s="2" t="str">
        <f>_xlfn.XLOOKUP(CL57,'[1]Rates &amp; Drop Downs INT'!D$373:D$430,'[1]Rates &amp; Drop Downs INT'!C$373:C$430,"X",1)</f>
        <v>Cloud &amp; Engineering - 2 | Associate Engineer</v>
      </c>
      <c r="DF57" t="s">
        <v>2543</v>
      </c>
      <c r="DG57" t="s">
        <v>3493</v>
      </c>
      <c r="DH57" t="s">
        <v>3436</v>
      </c>
    </row>
    <row r="58" spans="2:112" ht="13.05" customHeight="1" x14ac:dyDescent="0.3">
      <c r="B58" s="4" t="s">
        <v>176</v>
      </c>
      <c r="C58" s="4" t="s">
        <v>370</v>
      </c>
      <c r="D58" s="4"/>
      <c r="E58" s="4"/>
      <c r="F58" s="4" t="s">
        <v>420</v>
      </c>
      <c r="G58" s="343">
        <v>257</v>
      </c>
      <c r="H58" s="4" t="s">
        <v>119</v>
      </c>
      <c r="I58" s="344">
        <v>390</v>
      </c>
      <c r="J58" s="345">
        <v>6</v>
      </c>
      <c r="AT58" s="2" t="s">
        <v>255</v>
      </c>
      <c r="AU58" s="2" t="s">
        <v>255</v>
      </c>
      <c r="AV58" s="2" t="s">
        <v>1802</v>
      </c>
      <c r="AW58" s="2" t="s">
        <v>1802</v>
      </c>
      <c r="AX58" s="2" t="s">
        <v>1780</v>
      </c>
      <c r="BM58" s="2" t="s">
        <v>176</v>
      </c>
      <c r="BN58" s="2" t="s">
        <v>2459</v>
      </c>
      <c r="BO58" s="350">
        <v>45989</v>
      </c>
      <c r="BP58" s="2" t="s">
        <v>2114</v>
      </c>
      <c r="BQ58" s="2" t="s">
        <v>2103</v>
      </c>
      <c r="BR58" s="2">
        <v>8</v>
      </c>
      <c r="BS58" s="149">
        <v>45985</v>
      </c>
      <c r="BT58" s="149">
        <f t="shared" si="5"/>
        <v>45985</v>
      </c>
      <c r="CG58" s="2" t="s">
        <v>297</v>
      </c>
      <c r="CH58" s="2" t="s">
        <v>1845</v>
      </c>
      <c r="CI58" s="2" t="s">
        <v>2424</v>
      </c>
      <c r="CJ58" s="2" t="s">
        <v>1858</v>
      </c>
      <c r="CK58" s="2" t="s">
        <v>569</v>
      </c>
      <c r="CL58" s="2" t="s">
        <v>3550</v>
      </c>
      <c r="CM58" s="39">
        <v>2</v>
      </c>
      <c r="CN58" s="2" t="str">
        <f t="shared" si="1"/>
        <v>TADigital NA Consulting | Content &amp; SEO - Content Strategist</v>
      </c>
      <c r="CO58" s="2" t="str">
        <f t="shared" si="2"/>
        <v>TADigital India Consulting | Cloud &amp; Engineering - L2 / B1-B3 | Associate Engineer</v>
      </c>
      <c r="CP58" s="1579">
        <v>165</v>
      </c>
      <c r="CQ58" s="1579">
        <v>80</v>
      </c>
      <c r="CR58" s="1579">
        <v>60</v>
      </c>
      <c r="CS58" s="1579">
        <f t="shared" si="3"/>
        <v>16.400000000000002</v>
      </c>
      <c r="CT58" s="1579">
        <v>20</v>
      </c>
      <c r="CU58" s="2">
        <f t="shared" si="4"/>
        <v>13</v>
      </c>
      <c r="CV58" s="2" t="str">
        <f t="shared" si="0"/>
        <v>Content &amp; SEO - Content Strategist</v>
      </c>
      <c r="CW58" s="2" t="str">
        <f>_xlfn.XLOOKUP(CL58,'[1]Rates &amp; Drop Downs INT'!D$373:D$430,'[1]Rates &amp; Drop Downs INT'!C$373:C$430,"X",1)</f>
        <v>Cloud &amp; Engineering - 2 | Associate Engineer</v>
      </c>
      <c r="DF58" t="s">
        <v>2543</v>
      </c>
      <c r="DG58" t="s">
        <v>3493</v>
      </c>
      <c r="DH58" t="s">
        <v>1786</v>
      </c>
    </row>
    <row r="59" spans="2:112" ht="13.05" customHeight="1" x14ac:dyDescent="0.3">
      <c r="B59" s="4" t="s">
        <v>176</v>
      </c>
      <c r="C59" s="346" t="s">
        <v>327</v>
      </c>
      <c r="D59" s="346"/>
      <c r="E59" s="346"/>
      <c r="F59" s="346" t="s">
        <v>271</v>
      </c>
      <c r="G59" s="343">
        <v>77</v>
      </c>
      <c r="H59" s="4" t="s">
        <v>119</v>
      </c>
      <c r="I59" s="348">
        <v>200</v>
      </c>
      <c r="J59" s="351">
        <v>2</v>
      </c>
      <c r="AT59" s="2" t="s">
        <v>255</v>
      </c>
      <c r="AU59" s="2" t="s">
        <v>255</v>
      </c>
      <c r="AV59" s="2" t="s">
        <v>1802</v>
      </c>
      <c r="AW59" s="2" t="s">
        <v>1802</v>
      </c>
      <c r="AX59" s="2" t="s">
        <v>1749</v>
      </c>
      <c r="BM59" s="2" t="s">
        <v>176</v>
      </c>
      <c r="BN59" s="2" t="s">
        <v>2459</v>
      </c>
      <c r="BO59" s="350">
        <v>46015</v>
      </c>
      <c r="BP59" s="2" t="s">
        <v>2115</v>
      </c>
      <c r="BQ59" s="2" t="s">
        <v>2103</v>
      </c>
      <c r="BR59" s="2">
        <v>8</v>
      </c>
      <c r="BS59" s="149">
        <v>46013</v>
      </c>
      <c r="BT59" s="149">
        <f t="shared" si="5"/>
        <v>46013</v>
      </c>
      <c r="CG59" s="2" t="s">
        <v>297</v>
      </c>
      <c r="CH59" s="2" t="s">
        <v>1845</v>
      </c>
      <c r="CI59" s="2" t="s">
        <v>2420</v>
      </c>
      <c r="CJ59" s="2" t="s">
        <v>1859</v>
      </c>
      <c r="CK59" s="2" t="s">
        <v>3351</v>
      </c>
      <c r="CL59" s="2" t="s">
        <v>3545</v>
      </c>
      <c r="CM59" s="39">
        <v>2</v>
      </c>
      <c r="CN59" s="2" t="str">
        <f t="shared" si="1"/>
        <v>TADigital NA Consulting | Content &amp; SEO - Associate Web Content Analyst</v>
      </c>
      <c r="CO59" s="2" t="str">
        <f t="shared" si="2"/>
        <v>TADigital India Consulting | Cloud &amp; Engineering - L2 / B1-B3 | Associate Engineer</v>
      </c>
      <c r="CP59" s="1579">
        <v>0</v>
      </c>
      <c r="CQ59" s="1579">
        <v>0</v>
      </c>
      <c r="CR59" s="1579">
        <v>35</v>
      </c>
      <c r="CS59" s="1579">
        <f t="shared" si="3"/>
        <v>10.66</v>
      </c>
      <c r="CT59" s="1579">
        <v>13</v>
      </c>
      <c r="CU59" s="2">
        <f t="shared" si="4"/>
        <v>13</v>
      </c>
      <c r="CV59" s="2" t="str">
        <f t="shared" si="0"/>
        <v>Content &amp; SEO - Associate Web Content Analyst</v>
      </c>
      <c r="CW59" s="2" t="str">
        <f>_xlfn.XLOOKUP(CL59,'[1]Rates &amp; Drop Downs INT'!D$373:D$430,'[1]Rates &amp; Drop Downs INT'!C$373:C$430,"X",1)</f>
        <v>Cloud &amp; Engineering - 2 | Associate Engineer</v>
      </c>
      <c r="DF59" t="s">
        <v>2543</v>
      </c>
      <c r="DG59" t="s">
        <v>3493</v>
      </c>
      <c r="DH59" t="s">
        <v>1754</v>
      </c>
    </row>
    <row r="60" spans="2:112" ht="13.05" customHeight="1" x14ac:dyDescent="0.3">
      <c r="B60" s="346" t="s">
        <v>176</v>
      </c>
      <c r="C60" s="346" t="s">
        <v>327</v>
      </c>
      <c r="D60" s="346"/>
      <c r="E60" s="346"/>
      <c r="F60" s="346" t="s">
        <v>259</v>
      </c>
      <c r="G60" s="347">
        <v>96</v>
      </c>
      <c r="H60" s="346" t="s">
        <v>119</v>
      </c>
      <c r="I60" s="348">
        <v>240</v>
      </c>
      <c r="J60" s="349">
        <v>3</v>
      </c>
      <c r="AT60" s="2" t="s">
        <v>255</v>
      </c>
      <c r="AU60" s="2" t="s">
        <v>255</v>
      </c>
      <c r="AV60" s="2" t="s">
        <v>1214</v>
      </c>
      <c r="AW60" s="2" t="s">
        <v>1214</v>
      </c>
      <c r="AX60" s="2" t="s">
        <v>290</v>
      </c>
      <c r="BM60" s="2" t="s">
        <v>176</v>
      </c>
      <c r="BN60" s="2" t="s">
        <v>2459</v>
      </c>
      <c r="BO60" s="350">
        <v>46016</v>
      </c>
      <c r="BP60" s="2" t="s">
        <v>2116</v>
      </c>
      <c r="BQ60" s="2" t="s">
        <v>2103</v>
      </c>
      <c r="BR60" s="2">
        <v>8</v>
      </c>
      <c r="BS60" s="149">
        <v>46013</v>
      </c>
      <c r="BT60" s="149">
        <f t="shared" si="5"/>
        <v>46013</v>
      </c>
      <c r="CG60" s="2" t="s">
        <v>297</v>
      </c>
      <c r="CH60" s="2" t="s">
        <v>1845</v>
      </c>
      <c r="CI60" s="2" t="s">
        <v>2420</v>
      </c>
      <c r="CJ60" s="2" t="s">
        <v>1859</v>
      </c>
      <c r="CK60" s="2" t="s">
        <v>720</v>
      </c>
      <c r="CL60" s="2" t="s">
        <v>3546</v>
      </c>
      <c r="CM60" s="39">
        <v>5</v>
      </c>
      <c r="CN60" s="2" t="str">
        <f t="shared" si="1"/>
        <v>TADigital NA | Management - Associate Practice Director</v>
      </c>
      <c r="CO60" s="2" t="str">
        <f t="shared" si="2"/>
        <v>TADigital India Consulting | Cloud &amp; Engineering - L2 / B1-B3 | Associate Engineer</v>
      </c>
      <c r="CP60" s="1579">
        <v>290</v>
      </c>
      <c r="CQ60" s="1579">
        <v>140</v>
      </c>
      <c r="CR60" s="1579">
        <v>105</v>
      </c>
      <c r="CS60" s="1579">
        <f t="shared" si="3"/>
        <v>45.1</v>
      </c>
      <c r="CT60" s="1579">
        <v>55</v>
      </c>
      <c r="CU60" s="2">
        <f t="shared" si="4"/>
        <v>13</v>
      </c>
      <c r="CV60" s="2" t="str">
        <f t="shared" si="0"/>
        <v>Management - Associate Practice Director</v>
      </c>
      <c r="CW60" s="2" t="str">
        <f>_xlfn.XLOOKUP(CL60,'[1]Rates &amp; Drop Downs INT'!D$373:D$430,'[1]Rates &amp; Drop Downs INT'!C$373:C$430,"X",1)</f>
        <v>Cloud &amp; Engineering - 2 | Associate Engineer</v>
      </c>
      <c r="DF60" t="s">
        <v>2543</v>
      </c>
      <c r="DG60" t="s">
        <v>3493</v>
      </c>
      <c r="DH60" t="s">
        <v>1213</v>
      </c>
    </row>
    <row r="61" spans="2:112" ht="13.05" customHeight="1" x14ac:dyDescent="0.3">
      <c r="B61" s="4" t="s">
        <v>176</v>
      </c>
      <c r="C61" s="346" t="s">
        <v>388</v>
      </c>
      <c r="D61" s="346"/>
      <c r="E61" s="346"/>
      <c r="F61" s="346" t="s">
        <v>379</v>
      </c>
      <c r="G61" s="347">
        <v>128</v>
      </c>
      <c r="H61" s="346" t="s">
        <v>119</v>
      </c>
      <c r="I61" s="348">
        <v>300</v>
      </c>
      <c r="J61" s="345">
        <v>4</v>
      </c>
      <c r="AT61" s="2" t="s">
        <v>255</v>
      </c>
      <c r="AU61" s="2" t="s">
        <v>255</v>
      </c>
      <c r="AV61" s="2" t="s">
        <v>1214</v>
      </c>
      <c r="AW61" s="2" t="s">
        <v>1214</v>
      </c>
      <c r="AX61" s="2" t="s">
        <v>311</v>
      </c>
      <c r="BM61" s="2" t="s">
        <v>176</v>
      </c>
      <c r="BN61" s="2" t="s">
        <v>2459</v>
      </c>
      <c r="BO61" s="350">
        <v>46017</v>
      </c>
      <c r="BP61" s="2" t="s">
        <v>2117</v>
      </c>
      <c r="BQ61" s="2" t="s">
        <v>2103</v>
      </c>
      <c r="BR61" s="2">
        <v>8</v>
      </c>
      <c r="BS61" s="149">
        <v>46013</v>
      </c>
      <c r="BT61" s="149">
        <f t="shared" si="5"/>
        <v>46013</v>
      </c>
      <c r="CG61" s="2" t="s">
        <v>297</v>
      </c>
      <c r="CH61" s="2" t="s">
        <v>1845</v>
      </c>
      <c r="CI61" s="2" t="s">
        <v>2420</v>
      </c>
      <c r="CJ61" s="2" t="s">
        <v>1859</v>
      </c>
      <c r="CK61" s="2" t="s">
        <v>532</v>
      </c>
      <c r="CL61" s="2" t="s">
        <v>3547</v>
      </c>
      <c r="CM61" s="39">
        <v>2</v>
      </c>
      <c r="CN61" s="2" t="str">
        <f t="shared" si="1"/>
        <v>TADigital NA Consulting | Content &amp; SEO - Associate Content Strategist</v>
      </c>
      <c r="CO61" s="2" t="str">
        <f t="shared" si="2"/>
        <v>TADigital India Consulting | Cloud &amp; Engineering - L2 / B1-B3 | Associate Engineer</v>
      </c>
      <c r="CP61" s="1579">
        <v>160</v>
      </c>
      <c r="CQ61" s="1579">
        <v>80</v>
      </c>
      <c r="CR61" s="1579">
        <v>55</v>
      </c>
      <c r="CS61" s="1579">
        <f t="shared" si="3"/>
        <v>14.760000000000002</v>
      </c>
      <c r="CT61" s="1579">
        <v>18</v>
      </c>
      <c r="CU61" s="2">
        <f t="shared" si="4"/>
        <v>13</v>
      </c>
      <c r="CV61" s="2" t="str">
        <f t="shared" si="0"/>
        <v>Content &amp; SEO - Associate Content Strategist</v>
      </c>
      <c r="CW61" s="2" t="str">
        <f>_xlfn.XLOOKUP(CL61,'[1]Rates &amp; Drop Downs INT'!D$373:D$430,'[1]Rates &amp; Drop Downs INT'!C$373:C$430,"X",1)</f>
        <v>Cloud &amp; Engineering - 2 | Associate Engineer</v>
      </c>
      <c r="DF61" t="s">
        <v>1205</v>
      </c>
      <c r="DG61" t="s">
        <v>3494</v>
      </c>
      <c r="DH61" t="s">
        <v>3437</v>
      </c>
    </row>
    <row r="62" spans="2:112" ht="13.05" customHeight="1" x14ac:dyDescent="0.3">
      <c r="B62" s="4" t="s">
        <v>176</v>
      </c>
      <c r="C62" s="346" t="s">
        <v>388</v>
      </c>
      <c r="D62" s="346"/>
      <c r="E62" s="346"/>
      <c r="F62" s="346" t="s">
        <v>385</v>
      </c>
      <c r="G62" s="347">
        <v>172</v>
      </c>
      <c r="H62" s="346" t="s">
        <v>119</v>
      </c>
      <c r="I62" s="348">
        <v>350</v>
      </c>
      <c r="J62" s="353">
        <v>5</v>
      </c>
      <c r="AT62" s="2" t="s">
        <v>276</v>
      </c>
      <c r="AU62" s="2" t="s">
        <v>276</v>
      </c>
      <c r="AV62" s="2" t="s">
        <v>1803</v>
      </c>
      <c r="AW62" s="2" t="s">
        <v>1803</v>
      </c>
      <c r="AX62" s="2" t="s">
        <v>1804</v>
      </c>
      <c r="BM62" s="2" t="s">
        <v>176</v>
      </c>
      <c r="BN62" s="2" t="s">
        <v>2459</v>
      </c>
      <c r="BO62" s="350">
        <v>46023</v>
      </c>
      <c r="BP62" s="2" t="s">
        <v>2118</v>
      </c>
      <c r="BQ62" s="2" t="s">
        <v>2103</v>
      </c>
      <c r="BR62" s="2">
        <v>8</v>
      </c>
      <c r="BS62" s="149">
        <v>46020</v>
      </c>
      <c r="BT62" s="149">
        <f t="shared" si="5"/>
        <v>46020</v>
      </c>
      <c r="CG62" s="2" t="s">
        <v>297</v>
      </c>
      <c r="CH62" s="2" t="s">
        <v>1845</v>
      </c>
      <c r="CI62" s="2" t="s">
        <v>2420</v>
      </c>
      <c r="CJ62" s="2" t="s">
        <v>1859</v>
      </c>
      <c r="CK62" s="2" t="s">
        <v>542</v>
      </c>
      <c r="CL62" s="2" t="s">
        <v>3548</v>
      </c>
      <c r="CM62" s="39">
        <v>5</v>
      </c>
      <c r="CN62" s="2" t="str">
        <f t="shared" si="1"/>
        <v>TADigital NA | Management - Associate Practice Director</v>
      </c>
      <c r="CO62" s="2" t="str">
        <f t="shared" si="2"/>
        <v>TADigital India Consulting | Cloud &amp; Engineering - L2 / B1-B3 | Associate Engineer</v>
      </c>
      <c r="CP62" s="1579">
        <v>290</v>
      </c>
      <c r="CQ62" s="1579">
        <v>167.5</v>
      </c>
      <c r="CR62" s="1579">
        <v>125</v>
      </c>
      <c r="CS62" s="1579">
        <f t="shared" si="3"/>
        <v>51.250000000000007</v>
      </c>
      <c r="CT62" s="1579">
        <v>62.5</v>
      </c>
      <c r="CU62" s="2">
        <f t="shared" si="4"/>
        <v>13</v>
      </c>
      <c r="CV62" s="2" t="str">
        <f t="shared" si="0"/>
        <v>Management - Associate Practice Director</v>
      </c>
      <c r="CW62" s="2" t="str">
        <f>_xlfn.XLOOKUP(CL62,'[1]Rates &amp; Drop Downs INT'!D$373:D$430,'[1]Rates &amp; Drop Downs INT'!C$373:C$430,"X",1)</f>
        <v>Cloud &amp; Engineering - 2 | Associate Engineer</v>
      </c>
      <c r="DF62" t="s">
        <v>1205</v>
      </c>
      <c r="DG62" t="s">
        <v>3494</v>
      </c>
      <c r="DH62" t="s">
        <v>3438</v>
      </c>
    </row>
    <row r="63" spans="2:112" ht="13.05" customHeight="1" x14ac:dyDescent="0.3">
      <c r="B63" s="4" t="s">
        <v>176</v>
      </c>
      <c r="C63" s="346" t="s">
        <v>388</v>
      </c>
      <c r="D63" s="346"/>
      <c r="E63" s="346"/>
      <c r="F63" s="4" t="s">
        <v>420</v>
      </c>
      <c r="G63" s="343">
        <v>257</v>
      </c>
      <c r="H63" s="346" t="s">
        <v>119</v>
      </c>
      <c r="I63" s="344">
        <v>390</v>
      </c>
      <c r="J63" s="345">
        <v>6</v>
      </c>
      <c r="AT63" s="2" t="s">
        <v>276</v>
      </c>
      <c r="AU63" s="2" t="s">
        <v>276</v>
      </c>
      <c r="AV63" s="2" t="s">
        <v>1803</v>
      </c>
      <c r="AW63" s="2" t="s">
        <v>1803</v>
      </c>
      <c r="AX63" s="2" t="s">
        <v>1805</v>
      </c>
      <c r="BM63" s="2" t="s">
        <v>176</v>
      </c>
      <c r="BN63" s="2" t="s">
        <v>2459</v>
      </c>
      <c r="BO63" s="350">
        <v>46024</v>
      </c>
      <c r="BP63" s="2" t="s">
        <v>2119</v>
      </c>
      <c r="BQ63" s="2" t="s">
        <v>2103</v>
      </c>
      <c r="BR63" s="2">
        <v>8</v>
      </c>
      <c r="BS63" s="149">
        <v>46020</v>
      </c>
      <c r="BT63" s="149">
        <f t="shared" si="5"/>
        <v>46020</v>
      </c>
      <c r="CG63" s="2" t="s">
        <v>297</v>
      </c>
      <c r="CH63" s="2" t="s">
        <v>1845</v>
      </c>
      <c r="CI63" s="2" t="s">
        <v>2420</v>
      </c>
      <c r="CJ63" s="2" t="s">
        <v>1859</v>
      </c>
      <c r="CK63" s="2" t="s">
        <v>3352</v>
      </c>
      <c r="CL63" s="2" t="s">
        <v>3549</v>
      </c>
      <c r="CM63" s="39">
        <v>5</v>
      </c>
      <c r="CN63" s="2" t="str">
        <f t="shared" si="1"/>
        <v>TADigital NA | Management - Practice Director / Delivery Director</v>
      </c>
      <c r="CO63" s="2" t="str">
        <f t="shared" si="2"/>
        <v>TADigital India Consulting | Cloud &amp; Engineering - L2 / B1-B3 | Associate Engineer</v>
      </c>
      <c r="CP63" s="1579">
        <v>315</v>
      </c>
      <c r="CQ63" s="1579">
        <v>165</v>
      </c>
      <c r="CR63" s="1579">
        <v>115</v>
      </c>
      <c r="CS63" s="1579">
        <f t="shared" si="3"/>
        <v>45.1</v>
      </c>
      <c r="CT63" s="1579">
        <v>55</v>
      </c>
      <c r="CU63" s="2">
        <f t="shared" si="4"/>
        <v>13</v>
      </c>
      <c r="CV63" s="2" t="str">
        <f t="shared" si="0"/>
        <v>Management - Practice Director / Delivery Director</v>
      </c>
      <c r="CW63" s="2" t="str">
        <f>_xlfn.XLOOKUP(CL63,'[1]Rates &amp; Drop Downs INT'!D$373:D$430,'[1]Rates &amp; Drop Downs INT'!C$373:C$430,"X",1)</f>
        <v>Cloud &amp; Engineering - 2 | Associate Engineer</v>
      </c>
      <c r="DF63" t="s">
        <v>1172</v>
      </c>
      <c r="DG63" t="s">
        <v>3495</v>
      </c>
      <c r="DH63" t="s">
        <v>3439</v>
      </c>
    </row>
    <row r="64" spans="2:112" ht="13.05" customHeight="1" x14ac:dyDescent="0.3">
      <c r="B64" s="4" t="s">
        <v>176</v>
      </c>
      <c r="C64" s="4" t="s">
        <v>389</v>
      </c>
      <c r="D64" s="4"/>
      <c r="E64" s="4"/>
      <c r="F64" s="4" t="s">
        <v>271</v>
      </c>
      <c r="G64" s="343">
        <v>77</v>
      </c>
      <c r="H64" s="346" t="s">
        <v>119</v>
      </c>
      <c r="I64" s="344">
        <v>200</v>
      </c>
      <c r="J64" s="345">
        <v>2</v>
      </c>
      <c r="AT64" s="2" t="s">
        <v>276</v>
      </c>
      <c r="AU64" s="2" t="s">
        <v>276</v>
      </c>
      <c r="AV64" s="2" t="s">
        <v>1806</v>
      </c>
      <c r="AW64" s="2" t="s">
        <v>1806</v>
      </c>
      <c r="AX64" s="2" t="s">
        <v>1807</v>
      </c>
      <c r="BM64" s="2" t="s">
        <v>257</v>
      </c>
      <c r="BN64" s="2" t="s">
        <v>330</v>
      </c>
      <c r="BO64" s="350">
        <v>45658</v>
      </c>
      <c r="BP64" s="2" t="s">
        <v>2125</v>
      </c>
      <c r="BQ64" s="2" t="s">
        <v>2103</v>
      </c>
      <c r="BR64" s="2">
        <v>8</v>
      </c>
      <c r="BS64" s="149">
        <v>45656</v>
      </c>
      <c r="BT64" s="149">
        <f t="shared" si="5"/>
        <v>45656</v>
      </c>
      <c r="CG64" s="2" t="s">
        <v>297</v>
      </c>
      <c r="CH64" s="2" t="s">
        <v>1845</v>
      </c>
      <c r="CI64" s="2" t="s">
        <v>2420</v>
      </c>
      <c r="CJ64" s="2" t="s">
        <v>1859</v>
      </c>
      <c r="CK64" s="2" t="s">
        <v>446</v>
      </c>
      <c r="CL64" s="2" t="s">
        <v>3546</v>
      </c>
      <c r="CM64" s="39">
        <v>4</v>
      </c>
      <c r="CN64" s="2" t="str">
        <f t="shared" si="1"/>
        <v>TADigital NA Consulting - Sr. Project Manager</v>
      </c>
      <c r="CO64" s="2" t="str">
        <f t="shared" si="2"/>
        <v>TADigital India Consulting | Cloud &amp; Engineering - L2 / B1-B3 | Associate Engineer</v>
      </c>
      <c r="CP64" s="1579">
        <v>235</v>
      </c>
      <c r="CQ64" s="1579">
        <v>130</v>
      </c>
      <c r="CR64" s="1579">
        <v>80</v>
      </c>
      <c r="CS64" s="1579">
        <f t="shared" si="3"/>
        <v>38.950000000000003</v>
      </c>
      <c r="CT64" s="1579">
        <v>47.5</v>
      </c>
      <c r="CU64" s="2">
        <f t="shared" si="4"/>
        <v>13</v>
      </c>
      <c r="CV64" s="2" t="str">
        <f t="shared" si="0"/>
        <v>Sr. Project Manager</v>
      </c>
      <c r="CW64" s="2" t="str">
        <f>_xlfn.XLOOKUP(CL64,'[1]Rates &amp; Drop Downs INT'!D$373:D$430,'[1]Rates &amp; Drop Downs INT'!C$373:C$430,"X",1)</f>
        <v>Cloud &amp; Engineering - 2 | Associate Engineer</v>
      </c>
      <c r="DF64" t="s">
        <v>1172</v>
      </c>
      <c r="DG64" t="s">
        <v>3495</v>
      </c>
      <c r="DH64" t="s">
        <v>3440</v>
      </c>
    </row>
    <row r="65" spans="2:112" ht="13.05" customHeight="1" x14ac:dyDescent="0.3">
      <c r="B65" s="4" t="s">
        <v>176</v>
      </c>
      <c r="C65" s="4" t="s">
        <v>389</v>
      </c>
      <c r="D65" s="4"/>
      <c r="E65" s="4"/>
      <c r="F65" s="346" t="s">
        <v>259</v>
      </c>
      <c r="G65" s="347">
        <v>96</v>
      </c>
      <c r="H65" s="346" t="s">
        <v>119</v>
      </c>
      <c r="I65" s="348">
        <v>240</v>
      </c>
      <c r="J65" s="345">
        <v>3</v>
      </c>
      <c r="AT65" s="2" t="s">
        <v>276</v>
      </c>
      <c r="AU65" s="2" t="s">
        <v>276</v>
      </c>
      <c r="AV65" s="2" t="s">
        <v>1808</v>
      </c>
      <c r="AW65" s="2" t="s">
        <v>1808</v>
      </c>
      <c r="AX65" s="2" t="s">
        <v>1798</v>
      </c>
      <c r="BM65" s="2" t="s">
        <v>257</v>
      </c>
      <c r="BN65" s="2" t="s">
        <v>330</v>
      </c>
      <c r="BO65" s="350">
        <v>45705</v>
      </c>
      <c r="BP65" s="2" t="s">
        <v>2141</v>
      </c>
      <c r="BQ65" s="2" t="s">
        <v>2103</v>
      </c>
      <c r="BR65" s="2">
        <v>8</v>
      </c>
      <c r="BS65" s="149">
        <v>45705</v>
      </c>
      <c r="BT65" s="149">
        <f t="shared" si="5"/>
        <v>45705</v>
      </c>
      <c r="CG65" s="2" t="s">
        <v>297</v>
      </c>
      <c r="CH65" s="2" t="s">
        <v>1845</v>
      </c>
      <c r="CI65" s="2" t="s">
        <v>2420</v>
      </c>
      <c r="CJ65" s="2" t="s">
        <v>1859</v>
      </c>
      <c r="CK65" s="2" t="s">
        <v>3353</v>
      </c>
      <c r="CL65" s="2" t="s">
        <v>3549</v>
      </c>
      <c r="CM65" s="39">
        <v>6</v>
      </c>
      <c r="CN65" s="2" t="str">
        <f t="shared" si="1"/>
        <v>TADigital NA | Management - Practice VP / Delivery VP</v>
      </c>
      <c r="CO65" s="2" t="str">
        <f t="shared" si="2"/>
        <v>TADigital India Consulting | Cloud &amp; Engineering - L2 / B1-B3 | Associate Engineer</v>
      </c>
      <c r="CP65" s="1579">
        <v>370</v>
      </c>
      <c r="CQ65" s="1579">
        <v>172.5</v>
      </c>
      <c r="CR65" s="1579">
        <v>135</v>
      </c>
      <c r="CS65" s="1579">
        <f t="shared" si="3"/>
        <v>51.250000000000007</v>
      </c>
      <c r="CT65" s="1579">
        <v>62.5</v>
      </c>
      <c r="CU65" s="2">
        <f t="shared" si="4"/>
        <v>13</v>
      </c>
      <c r="CV65" s="2" t="str">
        <f t="shared" si="0"/>
        <v>Management - Practice VP / Delivery VP</v>
      </c>
      <c r="CW65" s="2" t="str">
        <f>_xlfn.XLOOKUP(CL65,'[1]Rates &amp; Drop Downs INT'!D$373:D$430,'[1]Rates &amp; Drop Downs INT'!C$373:C$430,"X",1)</f>
        <v>Cloud &amp; Engineering - 2 | Associate Engineer</v>
      </c>
      <c r="DF65" t="s">
        <v>1207</v>
      </c>
      <c r="DG65" t="s">
        <v>3501</v>
      </c>
      <c r="DH65" t="s">
        <v>3441</v>
      </c>
    </row>
    <row r="66" spans="2:112" ht="13.05" customHeight="1" x14ac:dyDescent="0.3">
      <c r="B66" s="4" t="s">
        <v>176</v>
      </c>
      <c r="C66" s="4" t="s">
        <v>387</v>
      </c>
      <c r="D66" s="4"/>
      <c r="E66" s="4"/>
      <c r="F66" s="4" t="s">
        <v>271</v>
      </c>
      <c r="G66" s="343">
        <v>77</v>
      </c>
      <c r="H66" s="4" t="s">
        <v>119</v>
      </c>
      <c r="I66" s="344">
        <v>200</v>
      </c>
      <c r="J66" s="345">
        <v>2</v>
      </c>
      <c r="AT66" s="2" t="s">
        <v>276</v>
      </c>
      <c r="AU66" s="2" t="s">
        <v>276</v>
      </c>
      <c r="AV66" s="2" t="s">
        <v>1808</v>
      </c>
      <c r="AW66" s="2" t="s">
        <v>1808</v>
      </c>
      <c r="AX66" s="2" t="s">
        <v>1809</v>
      </c>
      <c r="BM66" s="2" t="s">
        <v>257</v>
      </c>
      <c r="BN66" s="2" t="s">
        <v>330</v>
      </c>
      <c r="BO66" s="350">
        <v>45765</v>
      </c>
      <c r="BP66" s="2" t="s">
        <v>2129</v>
      </c>
      <c r="BQ66" s="2" t="s">
        <v>2103</v>
      </c>
      <c r="BR66" s="2">
        <v>8</v>
      </c>
      <c r="BS66" s="149">
        <v>45761</v>
      </c>
      <c r="BT66" s="149">
        <f t="shared" si="5"/>
        <v>45761</v>
      </c>
      <c r="CG66" s="2" t="s">
        <v>297</v>
      </c>
      <c r="CH66" s="2" t="s">
        <v>1845</v>
      </c>
      <c r="CI66" s="2" t="s">
        <v>2420</v>
      </c>
      <c r="CJ66" s="2" t="s">
        <v>1859</v>
      </c>
      <c r="CK66" s="2" t="s">
        <v>534</v>
      </c>
      <c r="CL66" s="2" t="s">
        <v>3550</v>
      </c>
      <c r="CM66" s="39">
        <v>2</v>
      </c>
      <c r="CN66" s="2" t="str">
        <f t="shared" si="1"/>
        <v>TADigital NA Consulting | Content &amp; SEO - Content Strategist</v>
      </c>
      <c r="CO66" s="2" t="str">
        <f t="shared" si="2"/>
        <v>TADigital India Consulting | Cloud &amp; Engineering - L2 / B1-B3 | Associate Engineer</v>
      </c>
      <c r="CP66" s="1579">
        <v>170</v>
      </c>
      <c r="CQ66" s="1579">
        <v>82.5</v>
      </c>
      <c r="CR66" s="1579">
        <v>65</v>
      </c>
      <c r="CS66" s="1579">
        <f t="shared" si="3"/>
        <v>18.450000000000003</v>
      </c>
      <c r="CT66" s="1579">
        <v>22.5</v>
      </c>
      <c r="CU66" s="2">
        <f t="shared" si="4"/>
        <v>13</v>
      </c>
      <c r="CV66" s="2" t="str">
        <f t="shared" si="0"/>
        <v>Content &amp; SEO - Content Strategist</v>
      </c>
      <c r="CW66" s="2" t="str">
        <f>_xlfn.XLOOKUP(CL66,'[1]Rates &amp; Drop Downs INT'!D$373:D$430,'[1]Rates &amp; Drop Downs INT'!C$373:C$430,"X",1)</f>
        <v>Cloud &amp; Engineering - 2 | Associate Engineer</v>
      </c>
      <c r="DF66" t="s">
        <v>1207</v>
      </c>
      <c r="DG66" t="s">
        <v>3501</v>
      </c>
      <c r="DH66" t="s">
        <v>1777</v>
      </c>
    </row>
    <row r="67" spans="2:112" ht="13.05" customHeight="1" x14ac:dyDescent="0.3">
      <c r="B67" s="4" t="s">
        <v>176</v>
      </c>
      <c r="C67" s="4" t="s">
        <v>387</v>
      </c>
      <c r="D67" s="4"/>
      <c r="E67" s="4"/>
      <c r="F67" s="346" t="s">
        <v>259</v>
      </c>
      <c r="G67" s="347">
        <v>96</v>
      </c>
      <c r="H67" s="4" t="s">
        <v>119</v>
      </c>
      <c r="I67" s="348">
        <v>240</v>
      </c>
      <c r="J67" s="345">
        <v>3</v>
      </c>
      <c r="AT67" s="2" t="s">
        <v>276</v>
      </c>
      <c r="AU67" s="2" t="s">
        <v>276</v>
      </c>
      <c r="AV67" s="2" t="s">
        <v>1808</v>
      </c>
      <c r="AW67" s="2" t="s">
        <v>1808</v>
      </c>
      <c r="AX67" s="2" t="s">
        <v>1810</v>
      </c>
      <c r="BM67" s="2" t="s">
        <v>257</v>
      </c>
      <c r="BN67" s="2" t="s">
        <v>330</v>
      </c>
      <c r="BO67" s="350">
        <v>45782</v>
      </c>
      <c r="BP67" s="2" t="s">
        <v>2142</v>
      </c>
      <c r="BQ67" s="2" t="s">
        <v>2103</v>
      </c>
      <c r="BR67" s="2">
        <v>8</v>
      </c>
      <c r="BS67" s="149">
        <v>45782</v>
      </c>
      <c r="BT67" s="149">
        <f t="shared" si="5"/>
        <v>45782</v>
      </c>
      <c r="CG67" s="2" t="s">
        <v>297</v>
      </c>
      <c r="CH67" s="2" t="s">
        <v>1845</v>
      </c>
      <c r="CI67" s="2" t="s">
        <v>2420</v>
      </c>
      <c r="CJ67" s="2" t="s">
        <v>1859</v>
      </c>
      <c r="CK67" s="2" t="s">
        <v>3354</v>
      </c>
      <c r="CL67" s="2" t="s">
        <v>3549</v>
      </c>
      <c r="CM67" s="39">
        <v>5</v>
      </c>
      <c r="CN67" s="2" t="str">
        <f t="shared" si="1"/>
        <v>TADigital NA | Management - Sr. Practice Director / Sr. Delivery Director</v>
      </c>
      <c r="CO67" s="2" t="str">
        <f t="shared" si="2"/>
        <v>TADigital India Consulting | Cloud &amp; Engineering - L2 / B1-B3 | Associate Engineer</v>
      </c>
      <c r="CP67" s="1579">
        <v>340</v>
      </c>
      <c r="CQ67" s="1579">
        <v>170</v>
      </c>
      <c r="CR67" s="1579">
        <v>125</v>
      </c>
      <c r="CS67" s="1579">
        <f t="shared" si="3"/>
        <v>49.2</v>
      </c>
      <c r="CT67" s="1579">
        <v>60</v>
      </c>
      <c r="CU67" s="2">
        <f t="shared" si="4"/>
        <v>13</v>
      </c>
      <c r="CV67" s="2" t="str">
        <f t="shared" si="0"/>
        <v>Management - Sr. Practice Director / Sr. Delivery Director</v>
      </c>
      <c r="CW67" s="2" t="str">
        <f>_xlfn.XLOOKUP(CL67,'[1]Rates &amp; Drop Downs INT'!D$373:D$430,'[1]Rates &amp; Drop Downs INT'!C$373:C$430,"X",1)</f>
        <v>Cloud &amp; Engineering - 2 | Associate Engineer</v>
      </c>
      <c r="DF67" t="s">
        <v>1207</v>
      </c>
      <c r="DG67" t="s">
        <v>3501</v>
      </c>
      <c r="DH67" t="s">
        <v>1779</v>
      </c>
    </row>
    <row r="68" spans="2:112" ht="13.05" customHeight="1" x14ac:dyDescent="0.3">
      <c r="B68" s="346" t="s">
        <v>176</v>
      </c>
      <c r="C68" s="4" t="s">
        <v>329</v>
      </c>
      <c r="D68" s="4"/>
      <c r="E68" s="4"/>
      <c r="F68" s="346" t="s">
        <v>271</v>
      </c>
      <c r="G68" s="343">
        <v>77</v>
      </c>
      <c r="H68" s="4" t="s">
        <v>119</v>
      </c>
      <c r="I68" s="348">
        <v>200</v>
      </c>
      <c r="J68" s="351">
        <v>2</v>
      </c>
      <c r="AT68" s="2" t="s">
        <v>276</v>
      </c>
      <c r="AU68" s="2" t="s">
        <v>276</v>
      </c>
      <c r="AV68" s="2" t="s">
        <v>1811</v>
      </c>
      <c r="AW68" s="2" t="s">
        <v>1811</v>
      </c>
      <c r="AX68" s="2" t="s">
        <v>1812</v>
      </c>
      <c r="BM68" s="2" t="s">
        <v>257</v>
      </c>
      <c r="BN68" s="2" t="s">
        <v>330</v>
      </c>
      <c r="BO68" s="350">
        <v>45839</v>
      </c>
      <c r="BP68" s="2" t="s">
        <v>2143</v>
      </c>
      <c r="BQ68" s="2" t="s">
        <v>2103</v>
      </c>
      <c r="BR68" s="2">
        <v>8</v>
      </c>
      <c r="BS68" s="149">
        <v>45838</v>
      </c>
      <c r="BT68" s="149">
        <f t="shared" si="5"/>
        <v>45838</v>
      </c>
      <c r="CG68" s="2" t="s">
        <v>297</v>
      </c>
      <c r="CH68" s="2" t="s">
        <v>1845</v>
      </c>
      <c r="CI68" s="2" t="s">
        <v>2420</v>
      </c>
      <c r="CJ68" s="2" t="s">
        <v>1859</v>
      </c>
      <c r="CK68" s="2" t="s">
        <v>448</v>
      </c>
      <c r="CL68" s="2" t="s">
        <v>3546</v>
      </c>
      <c r="CM68" s="39">
        <v>5</v>
      </c>
      <c r="CN68" s="2" t="str">
        <f t="shared" si="1"/>
        <v>TADigital NA Consulting - Delivery Manager</v>
      </c>
      <c r="CO68" s="2" t="str">
        <f t="shared" si="2"/>
        <v>TADigital India Consulting | Cloud &amp; Engineering - L2 / B1-B3 | Associate Engineer</v>
      </c>
      <c r="CP68" s="1579">
        <v>265</v>
      </c>
      <c r="CQ68" s="1579">
        <v>137.5</v>
      </c>
      <c r="CR68" s="1579">
        <v>90</v>
      </c>
      <c r="CS68" s="1579">
        <f t="shared" si="3"/>
        <v>38.950000000000003</v>
      </c>
      <c r="CT68" s="1579">
        <v>47.5</v>
      </c>
      <c r="CU68" s="2">
        <f t="shared" si="4"/>
        <v>13</v>
      </c>
      <c r="CV68" s="2" t="str">
        <f t="shared" si="0"/>
        <v>Delivery Manager</v>
      </c>
      <c r="CW68" s="2" t="str">
        <f>_xlfn.XLOOKUP(CL68,'[1]Rates &amp; Drop Downs INT'!D$373:D$430,'[1]Rates &amp; Drop Downs INT'!C$373:C$430,"X",1)</f>
        <v>Cloud &amp; Engineering - 2 | Associate Engineer</v>
      </c>
      <c r="DF68" t="s">
        <v>1207</v>
      </c>
      <c r="DG68" t="s">
        <v>3501</v>
      </c>
      <c r="DH68" t="s">
        <v>1780</v>
      </c>
    </row>
    <row r="69" spans="2:112" ht="13.05" customHeight="1" x14ac:dyDescent="0.3">
      <c r="B69" s="346" t="s">
        <v>176</v>
      </c>
      <c r="C69" s="4" t="s">
        <v>329</v>
      </c>
      <c r="D69" s="4"/>
      <c r="E69" s="4"/>
      <c r="F69" s="4" t="s">
        <v>259</v>
      </c>
      <c r="G69" s="343">
        <v>96</v>
      </c>
      <c r="H69" s="4" t="s">
        <v>119</v>
      </c>
      <c r="I69" s="344">
        <v>240</v>
      </c>
      <c r="J69" s="352">
        <v>3</v>
      </c>
      <c r="AT69" s="2" t="s">
        <v>276</v>
      </c>
      <c r="AU69" s="2" t="s">
        <v>276</v>
      </c>
      <c r="AV69" s="2" t="s">
        <v>1811</v>
      </c>
      <c r="AW69" s="2" t="s">
        <v>1811</v>
      </c>
      <c r="AX69" s="2" t="s">
        <v>1771</v>
      </c>
      <c r="BM69" s="2" t="s">
        <v>257</v>
      </c>
      <c r="BN69" s="2" t="s">
        <v>330</v>
      </c>
      <c r="BO69" s="350">
        <v>45873</v>
      </c>
      <c r="BP69" s="2" t="s">
        <v>2144</v>
      </c>
      <c r="BQ69" s="2" t="s">
        <v>2103</v>
      </c>
      <c r="BR69" s="2">
        <v>8</v>
      </c>
      <c r="BS69" s="149">
        <v>45873</v>
      </c>
      <c r="BT69" s="149">
        <f t="shared" si="5"/>
        <v>45873</v>
      </c>
      <c r="CG69" s="2" t="s">
        <v>297</v>
      </c>
      <c r="CH69" s="2" t="s">
        <v>1845</v>
      </c>
      <c r="CI69" s="2" t="s">
        <v>2420</v>
      </c>
      <c r="CJ69" s="2" t="s">
        <v>1859</v>
      </c>
      <c r="CK69" s="2" t="s">
        <v>540</v>
      </c>
      <c r="CL69" s="2" t="s">
        <v>538</v>
      </c>
      <c r="CM69" s="39">
        <v>5</v>
      </c>
      <c r="CN69" s="2" t="str">
        <f t="shared" si="1"/>
        <v>TADigital NA Digital - Sr. Technical Architect</v>
      </c>
      <c r="CO69" s="2" t="str">
        <f t="shared" si="2"/>
        <v>TADigital India Consulting | Cloud &amp; Engineering - L2 / B1-B3 | Associate Engineer</v>
      </c>
      <c r="CP69" s="1579">
        <v>275</v>
      </c>
      <c r="CQ69" s="1579">
        <v>155</v>
      </c>
      <c r="CR69" s="1579">
        <v>105</v>
      </c>
      <c r="CS69" s="1579">
        <f t="shared" si="3"/>
        <v>36.900000000000006</v>
      </c>
      <c r="CT69" s="1579">
        <v>45</v>
      </c>
      <c r="CU69" s="2">
        <f t="shared" si="4"/>
        <v>13</v>
      </c>
      <c r="CV69" s="2" t="str">
        <f t="shared" si="0"/>
        <v>Sr. Technical Architect</v>
      </c>
      <c r="CW69" s="2" t="str">
        <f>_xlfn.XLOOKUP(CL69,'[1]Rates &amp; Drop Downs INT'!D$373:D$430,'[1]Rates &amp; Drop Downs INT'!C$373:C$430,"X",1)</f>
        <v>Cloud &amp; Engineering - 2 | Associate Engineer</v>
      </c>
      <c r="DF69" t="s">
        <v>1207</v>
      </c>
      <c r="DG69" t="s">
        <v>3501</v>
      </c>
      <c r="DH69" t="s">
        <v>1781</v>
      </c>
    </row>
    <row r="70" spans="2:112" ht="13.05" customHeight="1" x14ac:dyDescent="0.3">
      <c r="B70" s="346" t="s">
        <v>176</v>
      </c>
      <c r="C70" s="4" t="s">
        <v>329</v>
      </c>
      <c r="D70" s="4"/>
      <c r="E70" s="4"/>
      <c r="F70" s="346" t="s">
        <v>353</v>
      </c>
      <c r="G70" s="347">
        <v>128</v>
      </c>
      <c r="H70" s="4" t="s">
        <v>119</v>
      </c>
      <c r="I70" s="348">
        <v>300</v>
      </c>
      <c r="J70" s="351">
        <v>4</v>
      </c>
      <c r="AT70" s="2" t="s">
        <v>276</v>
      </c>
      <c r="AU70" s="2" t="s">
        <v>276</v>
      </c>
      <c r="AV70" s="2" t="s">
        <v>1813</v>
      </c>
      <c r="AW70" s="2" t="s">
        <v>1813</v>
      </c>
      <c r="AX70" s="2" t="s">
        <v>1773</v>
      </c>
      <c r="BM70" s="2" t="s">
        <v>257</v>
      </c>
      <c r="BN70" s="2" t="s">
        <v>330</v>
      </c>
      <c r="BO70" s="350">
        <v>45898</v>
      </c>
      <c r="BP70" s="2" t="s">
        <v>2145</v>
      </c>
      <c r="BQ70" s="2" t="s">
        <v>2103</v>
      </c>
      <c r="BR70" s="2">
        <v>8</v>
      </c>
      <c r="BS70" s="149">
        <v>45894</v>
      </c>
      <c r="BT70" s="149">
        <f t="shared" si="5"/>
        <v>45894</v>
      </c>
      <c r="CG70" s="2" t="s">
        <v>297</v>
      </c>
      <c r="CH70" s="2" t="s">
        <v>1845</v>
      </c>
      <c r="CI70" s="2" t="s">
        <v>2420</v>
      </c>
      <c r="CJ70" s="2" t="s">
        <v>1859</v>
      </c>
      <c r="CK70" s="2" t="s">
        <v>538</v>
      </c>
      <c r="CL70" s="2" t="s">
        <v>538</v>
      </c>
      <c r="CM70" s="39">
        <v>4</v>
      </c>
      <c r="CN70" s="2" t="str">
        <f t="shared" si="1"/>
        <v>TADigital NA Consulting - Sr. Project Manager</v>
      </c>
      <c r="CO70" s="2" t="str">
        <f t="shared" si="2"/>
        <v>TADigital India Consulting | Cloud &amp; Engineering - L2 / B1-B3 | Associate Engineer</v>
      </c>
      <c r="CP70" s="1579">
        <v>235</v>
      </c>
      <c r="CQ70" s="1579">
        <v>132.5</v>
      </c>
      <c r="CR70" s="1579">
        <v>95</v>
      </c>
      <c r="CS70" s="1579">
        <f t="shared" si="3"/>
        <v>32.800000000000004</v>
      </c>
      <c r="CT70" s="1579">
        <v>40</v>
      </c>
      <c r="CU70" s="2">
        <f t="shared" si="4"/>
        <v>13</v>
      </c>
      <c r="CV70" s="2" t="str">
        <f t="shared" ref="CV70:CV133" si="6">_xlfn.XLOOKUP(CN70,$F$205:$F$287,TADNorthAmerica,"X",1)</f>
        <v>Sr. Project Manager</v>
      </c>
      <c r="CW70" s="2" t="str">
        <f>_xlfn.XLOOKUP(CL70,'[1]Rates &amp; Drop Downs INT'!D$373:D$430,'[1]Rates &amp; Drop Downs INT'!C$373:C$430,"X",1)</f>
        <v>Cloud &amp; Engineering - 2 | Associate Engineer</v>
      </c>
      <c r="DF70" t="s">
        <v>1207</v>
      </c>
      <c r="DG70" t="s">
        <v>3501</v>
      </c>
      <c r="DH70" t="s">
        <v>3429</v>
      </c>
    </row>
    <row r="71" spans="2:112" ht="13.05" customHeight="1" x14ac:dyDescent="0.3">
      <c r="B71" s="4" t="s">
        <v>176</v>
      </c>
      <c r="C71" s="4" t="s">
        <v>425</v>
      </c>
      <c r="D71" s="4"/>
      <c r="E71" s="4"/>
      <c r="F71" s="4" t="s">
        <v>420</v>
      </c>
      <c r="G71" s="343">
        <v>257</v>
      </c>
      <c r="H71" s="4" t="s">
        <v>119</v>
      </c>
      <c r="I71" s="343">
        <v>390</v>
      </c>
      <c r="J71" s="345">
        <v>6</v>
      </c>
      <c r="AT71" s="2" t="s">
        <v>276</v>
      </c>
      <c r="AU71" s="2" t="s">
        <v>276</v>
      </c>
      <c r="AV71" s="2" t="s">
        <v>1813</v>
      </c>
      <c r="AW71" s="2" t="s">
        <v>1813</v>
      </c>
      <c r="AX71" s="2" t="s">
        <v>1779</v>
      </c>
      <c r="BM71" s="2" t="s">
        <v>257</v>
      </c>
      <c r="BN71" s="2" t="s">
        <v>330</v>
      </c>
      <c r="BO71" s="350">
        <v>45901</v>
      </c>
      <c r="BP71" s="2" t="s">
        <v>2111</v>
      </c>
      <c r="BQ71" s="2" t="s">
        <v>2103</v>
      </c>
      <c r="BR71" s="2">
        <v>8</v>
      </c>
      <c r="BS71" s="149">
        <v>45901</v>
      </c>
      <c r="BT71" s="149">
        <f t="shared" si="5"/>
        <v>45901</v>
      </c>
      <c r="CG71" s="2" t="s">
        <v>297</v>
      </c>
      <c r="CH71" s="2" t="s">
        <v>1845</v>
      </c>
      <c r="CI71" s="2" t="s">
        <v>2420</v>
      </c>
      <c r="CJ71" s="2" t="s">
        <v>1859</v>
      </c>
      <c r="CK71" s="2" t="s">
        <v>536</v>
      </c>
      <c r="CL71" s="2" t="s">
        <v>536</v>
      </c>
      <c r="CM71" s="39">
        <v>3</v>
      </c>
      <c r="CN71" s="2" t="str">
        <f t="shared" ref="CN71:CN134" si="7">_xlfn.XLOOKUP(CP71,$I$205:$I$287,$F$205:$F$287,"X",1)</f>
        <v>TADigital NA Digital - Technical Lead</v>
      </c>
      <c r="CO71" s="2" t="str">
        <f t="shared" ref="CO71:CO134" si="8">_xlfn.XLOOKUP(CW71,$C$373:$C$430,$F$373:$F$430,"X",1)</f>
        <v>TADigital India Consulting | Cloud &amp; Engineering - L2 / B1-B3 | Associate Engineer</v>
      </c>
      <c r="CP71" s="1579">
        <v>185</v>
      </c>
      <c r="CQ71" s="1579">
        <v>90</v>
      </c>
      <c r="CR71" s="1579">
        <v>85</v>
      </c>
      <c r="CS71" s="1579">
        <f t="shared" ref="CS71:CS134" si="9">CT71*(1-0.18)</f>
        <v>24.6</v>
      </c>
      <c r="CT71" s="1579">
        <v>30</v>
      </c>
      <c r="CU71" s="2">
        <f t="shared" ref="CU71:CU134" si="10">_xlfn.XLOOKUP(CW71,$C$373:$C$430,$G$373:$G$430,"X",1)</f>
        <v>13</v>
      </c>
      <c r="CV71" s="2" t="str">
        <f t="shared" si="6"/>
        <v>Technical Lead</v>
      </c>
      <c r="CW71" s="2" t="str">
        <f>_xlfn.XLOOKUP(CL71,'[1]Rates &amp; Drop Downs INT'!D$373:D$430,'[1]Rates &amp; Drop Downs INT'!C$373:C$430,"X",1)</f>
        <v>Cloud &amp; Engineering - 2 | Associate Engineer</v>
      </c>
      <c r="DF71" t="s">
        <v>1208</v>
      </c>
      <c r="DG71" t="s">
        <v>3502</v>
      </c>
      <c r="DH71" t="s">
        <v>1773</v>
      </c>
    </row>
    <row r="72" spans="2:112" ht="13.05" customHeight="1" x14ac:dyDescent="0.3">
      <c r="B72" s="346" t="s">
        <v>176</v>
      </c>
      <c r="C72" s="346" t="s">
        <v>424</v>
      </c>
      <c r="D72" s="346"/>
      <c r="E72" s="346"/>
      <c r="F72" s="346" t="s">
        <v>423</v>
      </c>
      <c r="G72" s="347">
        <v>257</v>
      </c>
      <c r="H72" s="346" t="s">
        <v>119</v>
      </c>
      <c r="I72" s="347">
        <v>390</v>
      </c>
      <c r="J72" s="353">
        <v>6</v>
      </c>
      <c r="AT72" s="2" t="s">
        <v>276</v>
      </c>
      <c r="AU72" s="2" t="s">
        <v>276</v>
      </c>
      <c r="AV72" s="2" t="s">
        <v>1813</v>
      </c>
      <c r="AW72" s="2" t="s">
        <v>1813</v>
      </c>
      <c r="AX72" s="2" t="s">
        <v>1780</v>
      </c>
      <c r="BM72" s="2" t="s">
        <v>257</v>
      </c>
      <c r="BN72" s="2" t="s">
        <v>330</v>
      </c>
      <c r="BO72" s="350">
        <v>45943</v>
      </c>
      <c r="BP72" s="2" t="s">
        <v>2146</v>
      </c>
      <c r="BQ72" s="2" t="s">
        <v>2103</v>
      </c>
      <c r="BR72" s="2">
        <v>8</v>
      </c>
      <c r="BS72" s="149">
        <v>45943</v>
      </c>
      <c r="BT72" s="149">
        <f t="shared" ref="BT72:BT79" si="11">IF(WEEKDAY(BO72,1)=2,BO72,BO72-WEEKDAY(BO72,1)+2)</f>
        <v>45943</v>
      </c>
      <c r="CG72" s="2" t="s">
        <v>297</v>
      </c>
      <c r="CH72" s="2" t="s">
        <v>1845</v>
      </c>
      <c r="CI72" s="2" t="s">
        <v>326</v>
      </c>
      <c r="CJ72" s="2" t="s">
        <v>1862</v>
      </c>
      <c r="CK72" s="2" t="s">
        <v>3351</v>
      </c>
      <c r="CL72" s="2" t="s">
        <v>3545</v>
      </c>
      <c r="CM72" s="39">
        <v>2</v>
      </c>
      <c r="CN72" s="2" t="str">
        <f t="shared" si="7"/>
        <v>TADigital NA Consulting | Content &amp; SEO - Associate Web Content Analyst</v>
      </c>
      <c r="CO72" s="2" t="str">
        <f t="shared" si="8"/>
        <v>TADigital India Consulting | Cloud &amp; Engineering - L2 / B1-B3 | Associate Engineer</v>
      </c>
      <c r="CP72" s="1579">
        <v>0</v>
      </c>
      <c r="CQ72" s="1579">
        <v>0</v>
      </c>
      <c r="CR72" s="1579">
        <v>35</v>
      </c>
      <c r="CS72" s="1579">
        <f t="shared" si="9"/>
        <v>10.66</v>
      </c>
      <c r="CT72" s="1579">
        <v>13</v>
      </c>
      <c r="CU72" s="2">
        <f t="shared" si="10"/>
        <v>13</v>
      </c>
      <c r="CV72" s="2" t="str">
        <f t="shared" si="6"/>
        <v>Content &amp; SEO - Associate Web Content Analyst</v>
      </c>
      <c r="CW72" s="2" t="str">
        <f>_xlfn.XLOOKUP(CL72,'[1]Rates &amp; Drop Downs INT'!D$373:D$430,'[1]Rates &amp; Drop Downs INT'!C$373:C$430,"X",1)</f>
        <v>Cloud &amp; Engineering - 2 | Associate Engineer</v>
      </c>
      <c r="DF72" t="s">
        <v>1208</v>
      </c>
      <c r="DG72" t="s">
        <v>3502</v>
      </c>
      <c r="DH72" t="s">
        <v>1774</v>
      </c>
    </row>
    <row r="73" spans="2:112" ht="13.05" customHeight="1" x14ac:dyDescent="0.3">
      <c r="B73" s="346" t="s">
        <v>176</v>
      </c>
      <c r="C73" s="346" t="s">
        <v>404</v>
      </c>
      <c r="D73" s="346"/>
      <c r="E73" s="346"/>
      <c r="F73" s="4" t="s">
        <v>379</v>
      </c>
      <c r="G73" s="343">
        <v>128</v>
      </c>
      <c r="H73" s="4" t="s">
        <v>119</v>
      </c>
      <c r="I73" s="344">
        <v>300</v>
      </c>
      <c r="J73" s="345">
        <v>4</v>
      </c>
      <c r="AT73" s="2" t="s">
        <v>276</v>
      </c>
      <c r="AU73" s="2" t="s">
        <v>276</v>
      </c>
      <c r="AV73" s="2" t="s">
        <v>1813</v>
      </c>
      <c r="AW73" s="2" t="s">
        <v>1813</v>
      </c>
      <c r="AX73" s="2" t="s">
        <v>1749</v>
      </c>
      <c r="BM73" s="2" t="s">
        <v>257</v>
      </c>
      <c r="BN73" s="2" t="s">
        <v>330</v>
      </c>
      <c r="BO73" s="350">
        <v>45944</v>
      </c>
      <c r="BP73" s="2" t="s">
        <v>2147</v>
      </c>
      <c r="BQ73" s="2" t="s">
        <v>2103</v>
      </c>
      <c r="BR73" s="2">
        <v>8</v>
      </c>
      <c r="BS73" s="149">
        <v>45943</v>
      </c>
      <c r="BT73" s="149">
        <f t="shared" si="11"/>
        <v>45943</v>
      </c>
      <c r="CG73" s="2" t="s">
        <v>297</v>
      </c>
      <c r="CH73" s="2" t="s">
        <v>1845</v>
      </c>
      <c r="CI73" s="2" t="s">
        <v>326</v>
      </c>
      <c r="CJ73" s="2" t="s">
        <v>1862</v>
      </c>
      <c r="CK73" s="2" t="s">
        <v>720</v>
      </c>
      <c r="CL73" s="2" t="s">
        <v>3546</v>
      </c>
      <c r="CM73" s="39">
        <v>5</v>
      </c>
      <c r="CN73" s="2" t="str">
        <f t="shared" si="7"/>
        <v>TADigital NA | Management - Associate Practice Director</v>
      </c>
      <c r="CO73" s="2" t="str">
        <f t="shared" si="8"/>
        <v>TADigital India Consulting | Cloud &amp; Engineering - L2 / B1-B3 | Associate Engineer</v>
      </c>
      <c r="CP73" s="1579">
        <v>290</v>
      </c>
      <c r="CQ73" s="1579">
        <v>140</v>
      </c>
      <c r="CR73" s="1579">
        <v>105</v>
      </c>
      <c r="CS73" s="1579">
        <f t="shared" si="9"/>
        <v>45.1</v>
      </c>
      <c r="CT73" s="1579">
        <v>55</v>
      </c>
      <c r="CU73" s="2">
        <f t="shared" si="10"/>
        <v>13</v>
      </c>
      <c r="CV73" s="2" t="str">
        <f t="shared" si="6"/>
        <v>Management - Associate Practice Director</v>
      </c>
      <c r="CW73" s="2" t="str">
        <f>_xlfn.XLOOKUP(CL73,'[1]Rates &amp; Drop Downs INT'!D$373:D$430,'[1]Rates &amp; Drop Downs INT'!C$373:C$430,"X",1)</f>
        <v>Cloud &amp; Engineering - 2 | Associate Engineer</v>
      </c>
      <c r="DF73" t="s">
        <v>1208</v>
      </c>
      <c r="DG73" t="s">
        <v>3502</v>
      </c>
      <c r="DH73" t="s">
        <v>3430</v>
      </c>
    </row>
    <row r="74" spans="2:112" ht="13.05" customHeight="1" x14ac:dyDescent="0.3">
      <c r="B74" s="346" t="s">
        <v>176</v>
      </c>
      <c r="C74" s="346" t="s">
        <v>404</v>
      </c>
      <c r="D74" s="346"/>
      <c r="E74" s="346"/>
      <c r="F74" s="346" t="s">
        <v>385</v>
      </c>
      <c r="G74" s="347">
        <v>172</v>
      </c>
      <c r="H74" s="4" t="s">
        <v>119</v>
      </c>
      <c r="I74" s="348">
        <v>350</v>
      </c>
      <c r="J74" s="353">
        <v>5</v>
      </c>
      <c r="AT74" s="2" t="s">
        <v>276</v>
      </c>
      <c r="AU74" s="2" t="s">
        <v>276</v>
      </c>
      <c r="AV74" s="2" t="s">
        <v>1814</v>
      </c>
      <c r="AW74" s="2" t="s">
        <v>1814</v>
      </c>
      <c r="AX74" s="2" t="s">
        <v>1784</v>
      </c>
      <c r="BM74" s="2" t="s">
        <v>257</v>
      </c>
      <c r="BN74" s="2" t="s">
        <v>330</v>
      </c>
      <c r="BO74" s="350">
        <v>45972</v>
      </c>
      <c r="BP74" s="2" t="s">
        <v>2148</v>
      </c>
      <c r="BQ74" s="2" t="s">
        <v>2103</v>
      </c>
      <c r="BR74" s="2">
        <v>8</v>
      </c>
      <c r="BS74" s="149">
        <v>45971</v>
      </c>
      <c r="BT74" s="149">
        <f t="shared" si="11"/>
        <v>45971</v>
      </c>
      <c r="CG74" s="2" t="s">
        <v>297</v>
      </c>
      <c r="CH74" s="2" t="s">
        <v>1845</v>
      </c>
      <c r="CI74" s="2" t="s">
        <v>326</v>
      </c>
      <c r="CJ74" s="2" t="s">
        <v>1862</v>
      </c>
      <c r="CK74" s="2" t="s">
        <v>532</v>
      </c>
      <c r="CL74" s="2" t="s">
        <v>3547</v>
      </c>
      <c r="CM74" s="39">
        <v>2</v>
      </c>
      <c r="CN74" s="2" t="str">
        <f t="shared" si="7"/>
        <v>TADigital NA Consulting | Content &amp; SEO - Associate Content Strategist</v>
      </c>
      <c r="CO74" s="2" t="str">
        <f t="shared" si="8"/>
        <v>TADigital India Consulting | Cloud &amp; Engineering - L2 / B1-B3 | Associate Engineer</v>
      </c>
      <c r="CP74" s="1579">
        <v>160</v>
      </c>
      <c r="CQ74" s="1579">
        <v>80</v>
      </c>
      <c r="CR74" s="1579">
        <v>55</v>
      </c>
      <c r="CS74" s="1579">
        <f t="shared" si="9"/>
        <v>14.760000000000002</v>
      </c>
      <c r="CT74" s="1579">
        <v>18</v>
      </c>
      <c r="CU74" s="2">
        <f t="shared" si="10"/>
        <v>13</v>
      </c>
      <c r="CV74" s="2" t="str">
        <f t="shared" si="6"/>
        <v>Content &amp; SEO - Associate Content Strategist</v>
      </c>
      <c r="CW74" s="2" t="str">
        <f>_xlfn.XLOOKUP(CL74,'[1]Rates &amp; Drop Downs INT'!D$373:D$430,'[1]Rates &amp; Drop Downs INT'!C$373:C$430,"X",1)</f>
        <v>Cloud &amp; Engineering - 2 | Associate Engineer</v>
      </c>
      <c r="DF74" t="s">
        <v>1208</v>
      </c>
      <c r="DG74" t="s">
        <v>3502</v>
      </c>
      <c r="DH74" t="s">
        <v>3431</v>
      </c>
    </row>
    <row r="75" spans="2:112" ht="13.05" customHeight="1" x14ac:dyDescent="0.3">
      <c r="B75" s="346" t="s">
        <v>176</v>
      </c>
      <c r="C75" s="346" t="s">
        <v>404</v>
      </c>
      <c r="D75" s="346"/>
      <c r="E75" s="346"/>
      <c r="F75" s="4" t="s">
        <v>420</v>
      </c>
      <c r="G75" s="343">
        <v>257</v>
      </c>
      <c r="H75" s="4" t="s">
        <v>119</v>
      </c>
      <c r="I75" s="344">
        <v>390</v>
      </c>
      <c r="J75" s="345">
        <v>6</v>
      </c>
      <c r="AT75" s="2" t="s">
        <v>276</v>
      </c>
      <c r="AU75" s="2" t="s">
        <v>276</v>
      </c>
      <c r="AV75" s="2" t="s">
        <v>1814</v>
      </c>
      <c r="AW75" s="2" t="s">
        <v>1814</v>
      </c>
      <c r="AX75" s="2" t="s">
        <v>1815</v>
      </c>
      <c r="BM75" s="2" t="s">
        <v>257</v>
      </c>
      <c r="BN75" s="2" t="s">
        <v>330</v>
      </c>
      <c r="BO75" s="350">
        <v>46015</v>
      </c>
      <c r="BP75" s="2" t="s">
        <v>2115</v>
      </c>
      <c r="BQ75" s="2" t="s">
        <v>2103</v>
      </c>
      <c r="BR75" s="2">
        <v>8</v>
      </c>
      <c r="BS75" s="149">
        <v>46013</v>
      </c>
      <c r="BT75" s="149">
        <f t="shared" si="11"/>
        <v>46013</v>
      </c>
      <c r="CG75" s="2" t="s">
        <v>297</v>
      </c>
      <c r="CH75" s="2" t="s">
        <v>1845</v>
      </c>
      <c r="CI75" s="2" t="s">
        <v>326</v>
      </c>
      <c r="CJ75" s="2" t="s">
        <v>1862</v>
      </c>
      <c r="CK75" s="2" t="s">
        <v>542</v>
      </c>
      <c r="CL75" s="2" t="s">
        <v>3548</v>
      </c>
      <c r="CM75" s="39">
        <v>5</v>
      </c>
      <c r="CN75" s="2" t="str">
        <f t="shared" si="7"/>
        <v>TADigital NA | Management - Associate Practice Director</v>
      </c>
      <c r="CO75" s="2" t="str">
        <f t="shared" si="8"/>
        <v>TADigital India Consulting | Cloud &amp; Engineering - L2 / B1-B3 | Associate Engineer</v>
      </c>
      <c r="CP75" s="1579">
        <v>290</v>
      </c>
      <c r="CQ75" s="1579">
        <v>167.5</v>
      </c>
      <c r="CR75" s="1579">
        <v>125</v>
      </c>
      <c r="CS75" s="1579">
        <f t="shared" si="9"/>
        <v>51.250000000000007</v>
      </c>
      <c r="CT75" s="1579">
        <v>62.5</v>
      </c>
      <c r="CU75" s="2">
        <f t="shared" si="10"/>
        <v>13</v>
      </c>
      <c r="CV75" s="2" t="str">
        <f t="shared" si="6"/>
        <v>Management - Associate Practice Director</v>
      </c>
      <c r="CW75" s="2" t="str">
        <f>_xlfn.XLOOKUP(CL75,'[1]Rates &amp; Drop Downs INT'!D$373:D$430,'[1]Rates &amp; Drop Downs INT'!C$373:C$430,"X",1)</f>
        <v>Cloud &amp; Engineering - 2 | Associate Engineer</v>
      </c>
      <c r="DF75" t="s">
        <v>1209</v>
      </c>
      <c r="DG75" t="s">
        <v>3503</v>
      </c>
      <c r="DH75" t="s">
        <v>1769</v>
      </c>
    </row>
    <row r="76" spans="2:112" ht="13.05" customHeight="1" x14ac:dyDescent="0.3">
      <c r="B76" s="4" t="s">
        <v>176</v>
      </c>
      <c r="C76" s="4" t="s">
        <v>350</v>
      </c>
      <c r="D76" s="4"/>
      <c r="E76" s="4"/>
      <c r="F76" s="4" t="s">
        <v>353</v>
      </c>
      <c r="G76" s="343">
        <v>128</v>
      </c>
      <c r="H76" s="4" t="s">
        <v>119</v>
      </c>
      <c r="I76" s="344">
        <v>300</v>
      </c>
      <c r="J76" s="345">
        <v>4</v>
      </c>
      <c r="AT76" s="2" t="s">
        <v>276</v>
      </c>
      <c r="AU76" s="2" t="s">
        <v>276</v>
      </c>
      <c r="AV76" s="2" t="s">
        <v>1814</v>
      </c>
      <c r="AW76" s="2" t="s">
        <v>1814</v>
      </c>
      <c r="AX76" s="2" t="s">
        <v>1816</v>
      </c>
      <c r="BM76" s="2" t="s">
        <v>257</v>
      </c>
      <c r="BN76" s="2" t="s">
        <v>330</v>
      </c>
      <c r="BO76" s="350">
        <v>46016</v>
      </c>
      <c r="BP76" s="2" t="s">
        <v>2116</v>
      </c>
      <c r="BQ76" s="2" t="s">
        <v>2103</v>
      </c>
      <c r="BR76" s="2">
        <v>8</v>
      </c>
      <c r="BS76" s="149">
        <v>46013</v>
      </c>
      <c r="BT76" s="149">
        <f t="shared" si="11"/>
        <v>46013</v>
      </c>
      <c r="CG76" s="2" t="s">
        <v>297</v>
      </c>
      <c r="CH76" s="2" t="s">
        <v>1845</v>
      </c>
      <c r="CI76" s="2" t="s">
        <v>326</v>
      </c>
      <c r="CJ76" s="2" t="s">
        <v>1862</v>
      </c>
      <c r="CK76" s="2" t="s">
        <v>3352</v>
      </c>
      <c r="CL76" s="2" t="s">
        <v>3549</v>
      </c>
      <c r="CM76" s="39">
        <v>5</v>
      </c>
      <c r="CN76" s="2" t="str">
        <f t="shared" si="7"/>
        <v>TADigital NA | Management - Practice Director / Delivery Director</v>
      </c>
      <c r="CO76" s="2" t="str">
        <f t="shared" si="8"/>
        <v>TADigital India Consulting | Cloud &amp; Engineering - L2 / B1-B3 | Associate Engineer</v>
      </c>
      <c r="CP76" s="1579">
        <v>315</v>
      </c>
      <c r="CQ76" s="1579">
        <v>165</v>
      </c>
      <c r="CR76" s="1579">
        <v>115</v>
      </c>
      <c r="CS76" s="1579">
        <f t="shared" si="9"/>
        <v>45.1</v>
      </c>
      <c r="CT76" s="1579">
        <v>55</v>
      </c>
      <c r="CU76" s="2">
        <f t="shared" si="10"/>
        <v>13</v>
      </c>
      <c r="CV76" s="2" t="str">
        <f t="shared" si="6"/>
        <v>Management - Practice Director / Delivery Director</v>
      </c>
      <c r="CW76" s="2" t="str">
        <f>_xlfn.XLOOKUP(CL76,'[1]Rates &amp; Drop Downs INT'!D$373:D$430,'[1]Rates &amp; Drop Downs INT'!C$373:C$430,"X",1)</f>
        <v>Cloud &amp; Engineering - 2 | Associate Engineer</v>
      </c>
      <c r="DF76" t="s">
        <v>1209</v>
      </c>
      <c r="DG76" t="s">
        <v>3503</v>
      </c>
      <c r="DH76" t="s">
        <v>1770</v>
      </c>
    </row>
    <row r="77" spans="2:112" ht="13.05" customHeight="1" x14ac:dyDescent="0.3">
      <c r="B77" s="4" t="s">
        <v>176</v>
      </c>
      <c r="C77" s="4" t="s">
        <v>350</v>
      </c>
      <c r="D77" s="4"/>
      <c r="E77" s="4"/>
      <c r="F77" s="4" t="s">
        <v>346</v>
      </c>
      <c r="G77" s="343">
        <v>172</v>
      </c>
      <c r="H77" s="4" t="s">
        <v>119</v>
      </c>
      <c r="I77" s="344">
        <v>350</v>
      </c>
      <c r="J77" s="345">
        <v>5</v>
      </c>
      <c r="AT77" s="2" t="s">
        <v>276</v>
      </c>
      <c r="AU77" s="2" t="s">
        <v>276</v>
      </c>
      <c r="AV77" s="2" t="s">
        <v>1814</v>
      </c>
      <c r="AW77" s="2" t="s">
        <v>1814</v>
      </c>
      <c r="AX77" s="2" t="s">
        <v>1817</v>
      </c>
      <c r="BM77" s="2" t="s">
        <v>257</v>
      </c>
      <c r="BN77" s="2" t="s">
        <v>330</v>
      </c>
      <c r="BO77" s="350">
        <v>46017</v>
      </c>
      <c r="BP77" s="2" t="s">
        <v>2149</v>
      </c>
      <c r="BQ77" s="2" t="s">
        <v>2103</v>
      </c>
      <c r="BR77" s="2">
        <v>8</v>
      </c>
      <c r="BS77" s="149">
        <v>46013</v>
      </c>
      <c r="BT77" s="149">
        <f t="shared" si="11"/>
        <v>46013</v>
      </c>
      <c r="CG77" s="2" t="s">
        <v>297</v>
      </c>
      <c r="CH77" s="2" t="s">
        <v>1845</v>
      </c>
      <c r="CI77" s="2" t="s">
        <v>326</v>
      </c>
      <c r="CJ77" s="2" t="s">
        <v>1862</v>
      </c>
      <c r="CK77" s="2" t="s">
        <v>446</v>
      </c>
      <c r="CL77" s="2" t="s">
        <v>3546</v>
      </c>
      <c r="CM77" s="39">
        <v>4</v>
      </c>
      <c r="CN77" s="2" t="str">
        <f t="shared" si="7"/>
        <v>TADigital NA Consulting - Sr. Project Manager</v>
      </c>
      <c r="CO77" s="2" t="str">
        <f t="shared" si="8"/>
        <v>TADigital India Consulting | Cloud &amp; Engineering - L2 / B1-B3 | Associate Engineer</v>
      </c>
      <c r="CP77" s="1579">
        <v>235</v>
      </c>
      <c r="CQ77" s="1579">
        <v>130</v>
      </c>
      <c r="CR77" s="1579">
        <v>80</v>
      </c>
      <c r="CS77" s="1579">
        <f t="shared" si="9"/>
        <v>38.950000000000003</v>
      </c>
      <c r="CT77" s="1579">
        <v>47.5</v>
      </c>
      <c r="CU77" s="2">
        <f t="shared" si="10"/>
        <v>13</v>
      </c>
      <c r="CV77" s="2" t="str">
        <f t="shared" si="6"/>
        <v>Sr. Project Manager</v>
      </c>
      <c r="CW77" s="2" t="str">
        <f>_xlfn.XLOOKUP(CL77,'[1]Rates &amp; Drop Downs INT'!D$373:D$430,'[1]Rates &amp; Drop Downs INT'!C$373:C$430,"X",1)</f>
        <v>Cloud &amp; Engineering - 2 | Associate Engineer</v>
      </c>
      <c r="DF77" t="s">
        <v>1209</v>
      </c>
      <c r="DG77" t="s">
        <v>3503</v>
      </c>
      <c r="DH77" t="s">
        <v>1173</v>
      </c>
    </row>
    <row r="78" spans="2:112" ht="13.05" customHeight="1" x14ac:dyDescent="0.3">
      <c r="B78" s="4" t="s">
        <v>176</v>
      </c>
      <c r="C78" s="4" t="s">
        <v>350</v>
      </c>
      <c r="D78" s="4"/>
      <c r="E78" s="4"/>
      <c r="F78" s="4" t="s">
        <v>420</v>
      </c>
      <c r="G78" s="343">
        <v>257</v>
      </c>
      <c r="H78" s="4" t="s">
        <v>119</v>
      </c>
      <c r="I78" s="344">
        <v>390</v>
      </c>
      <c r="J78" s="345">
        <v>6</v>
      </c>
      <c r="AT78" s="2" t="s">
        <v>288</v>
      </c>
      <c r="AU78" s="2" t="s">
        <v>288</v>
      </c>
      <c r="AV78" s="2" t="s">
        <v>1822</v>
      </c>
      <c r="AW78" s="2" t="s">
        <v>1822</v>
      </c>
      <c r="AX78" s="2" t="s">
        <v>1818</v>
      </c>
      <c r="BM78" s="2" t="s">
        <v>257</v>
      </c>
      <c r="BN78" s="2" t="s">
        <v>330</v>
      </c>
      <c r="BO78" s="350">
        <v>46023</v>
      </c>
      <c r="BP78" s="2" t="s">
        <v>2118</v>
      </c>
      <c r="BQ78" s="2" t="s">
        <v>2103</v>
      </c>
      <c r="BR78" s="2">
        <v>8</v>
      </c>
      <c r="BS78" s="149">
        <v>46020</v>
      </c>
      <c r="BT78" s="149">
        <f t="shared" si="11"/>
        <v>46020</v>
      </c>
      <c r="CG78" s="2" t="s">
        <v>297</v>
      </c>
      <c r="CH78" s="2" t="s">
        <v>1845</v>
      </c>
      <c r="CI78" s="2" t="s">
        <v>326</v>
      </c>
      <c r="CJ78" s="2" t="s">
        <v>1862</v>
      </c>
      <c r="CK78" s="2" t="s">
        <v>3353</v>
      </c>
      <c r="CL78" s="2" t="s">
        <v>3549</v>
      </c>
      <c r="CM78" s="39">
        <v>6</v>
      </c>
      <c r="CN78" s="2" t="str">
        <f t="shared" si="7"/>
        <v>TADigital NA | Management - Practice VP / Delivery VP</v>
      </c>
      <c r="CO78" s="2" t="str">
        <f t="shared" si="8"/>
        <v>TADigital India Consulting | Cloud &amp; Engineering - L2 / B1-B3 | Associate Engineer</v>
      </c>
      <c r="CP78" s="1579">
        <v>370</v>
      </c>
      <c r="CQ78" s="1579">
        <v>172.5</v>
      </c>
      <c r="CR78" s="1579">
        <v>135</v>
      </c>
      <c r="CS78" s="1579">
        <f t="shared" si="9"/>
        <v>51.250000000000007</v>
      </c>
      <c r="CT78" s="1579">
        <v>62.5</v>
      </c>
      <c r="CU78" s="2">
        <f t="shared" si="10"/>
        <v>13</v>
      </c>
      <c r="CV78" s="2" t="str">
        <f t="shared" si="6"/>
        <v>Management - Practice VP / Delivery VP</v>
      </c>
      <c r="CW78" s="2" t="str">
        <f>_xlfn.XLOOKUP(CL78,'[1]Rates &amp; Drop Downs INT'!D$373:D$430,'[1]Rates &amp; Drop Downs INT'!C$373:C$430,"X",1)</f>
        <v>Cloud &amp; Engineering - 2 | Associate Engineer</v>
      </c>
      <c r="DF78" t="s">
        <v>1209</v>
      </c>
      <c r="DG78" t="s">
        <v>3503</v>
      </c>
      <c r="DH78" t="s">
        <v>1772</v>
      </c>
    </row>
    <row r="79" spans="2:112" ht="13.05" customHeight="1" x14ac:dyDescent="0.3">
      <c r="B79" s="4" t="s">
        <v>176</v>
      </c>
      <c r="C79" s="4" t="s">
        <v>399</v>
      </c>
      <c r="D79" s="4"/>
      <c r="E79" s="4"/>
      <c r="F79" s="4" t="s">
        <v>271</v>
      </c>
      <c r="G79" s="343">
        <v>77</v>
      </c>
      <c r="H79" s="4" t="s">
        <v>119</v>
      </c>
      <c r="I79" s="344">
        <v>200</v>
      </c>
      <c r="J79" s="345">
        <v>2</v>
      </c>
      <c r="AT79" s="2" t="s">
        <v>288</v>
      </c>
      <c r="AU79" s="2" t="s">
        <v>288</v>
      </c>
      <c r="AV79" s="2" t="s">
        <v>1822</v>
      </c>
      <c r="AW79" s="2" t="s">
        <v>1822</v>
      </c>
      <c r="AX79" s="2" t="s">
        <v>1819</v>
      </c>
      <c r="BM79" s="2" t="s">
        <v>257</v>
      </c>
      <c r="BN79" s="2" t="s">
        <v>330</v>
      </c>
      <c r="BO79" s="350">
        <v>46024</v>
      </c>
      <c r="BP79" s="2" t="s">
        <v>2119</v>
      </c>
      <c r="BQ79" s="2" t="s">
        <v>2103</v>
      </c>
      <c r="BR79" s="2">
        <v>8</v>
      </c>
      <c r="BS79" s="149">
        <v>46020</v>
      </c>
      <c r="BT79" s="149">
        <f t="shared" si="11"/>
        <v>46020</v>
      </c>
      <c r="CG79" s="2" t="s">
        <v>297</v>
      </c>
      <c r="CH79" s="2" t="s">
        <v>1845</v>
      </c>
      <c r="CI79" s="2" t="s">
        <v>326</v>
      </c>
      <c r="CJ79" s="2" t="s">
        <v>1862</v>
      </c>
      <c r="CK79" s="2" t="s">
        <v>534</v>
      </c>
      <c r="CL79" s="2" t="s">
        <v>3550</v>
      </c>
      <c r="CM79" s="39">
        <v>2</v>
      </c>
      <c r="CN79" s="2" t="str">
        <f t="shared" si="7"/>
        <v>TADigital NA Consulting | Content &amp; SEO - Content Strategist</v>
      </c>
      <c r="CO79" s="2" t="str">
        <f t="shared" si="8"/>
        <v>TADigital India Consulting | Cloud &amp; Engineering - L2 / B1-B3 | Associate Engineer</v>
      </c>
      <c r="CP79" s="1579">
        <v>170</v>
      </c>
      <c r="CQ79" s="1579">
        <v>82.5</v>
      </c>
      <c r="CR79" s="1579">
        <v>65</v>
      </c>
      <c r="CS79" s="1579">
        <f t="shared" si="9"/>
        <v>18.450000000000003</v>
      </c>
      <c r="CT79" s="1579">
        <v>22.5</v>
      </c>
      <c r="CU79" s="2">
        <f t="shared" si="10"/>
        <v>13</v>
      </c>
      <c r="CV79" s="2" t="str">
        <f t="shared" si="6"/>
        <v>Content &amp; SEO - Content Strategist</v>
      </c>
      <c r="CW79" s="2" t="str">
        <f>_xlfn.XLOOKUP(CL79,'[1]Rates &amp; Drop Downs INT'!D$373:D$430,'[1]Rates &amp; Drop Downs INT'!C$373:C$430,"X",1)</f>
        <v>Cloud &amp; Engineering - 2 | Associate Engineer</v>
      </c>
      <c r="DF79" t="s">
        <v>2536</v>
      </c>
      <c r="DG79" t="s">
        <v>3504</v>
      </c>
      <c r="DH79" t="s">
        <v>3442</v>
      </c>
    </row>
    <row r="80" spans="2:112" ht="13.05" customHeight="1" x14ac:dyDescent="0.3">
      <c r="B80" s="346" t="s">
        <v>176</v>
      </c>
      <c r="C80" s="4" t="s">
        <v>401</v>
      </c>
      <c r="D80" s="4"/>
      <c r="E80" s="4"/>
      <c r="F80" s="346" t="s">
        <v>379</v>
      </c>
      <c r="G80" s="347">
        <v>128</v>
      </c>
      <c r="H80" s="346" t="s">
        <v>119</v>
      </c>
      <c r="I80" s="348">
        <v>300</v>
      </c>
      <c r="J80" s="345">
        <v>4</v>
      </c>
      <c r="AT80" s="2" t="s">
        <v>288</v>
      </c>
      <c r="AU80" s="2" t="s">
        <v>288</v>
      </c>
      <c r="AV80" s="2" t="s">
        <v>1822</v>
      </c>
      <c r="AW80" s="2" t="s">
        <v>1822</v>
      </c>
      <c r="AX80" s="2" t="s">
        <v>1820</v>
      </c>
      <c r="BO80" s="350"/>
      <c r="BT80" s="149"/>
      <c r="CG80" s="2" t="s">
        <v>297</v>
      </c>
      <c r="CH80" s="2" t="s">
        <v>1845</v>
      </c>
      <c r="CI80" s="2" t="s">
        <v>326</v>
      </c>
      <c r="CJ80" s="2" t="s">
        <v>1862</v>
      </c>
      <c r="CK80" s="2" t="s">
        <v>3354</v>
      </c>
      <c r="CL80" s="2" t="s">
        <v>3549</v>
      </c>
      <c r="CM80" s="39">
        <v>5</v>
      </c>
      <c r="CN80" s="2" t="str">
        <f t="shared" si="7"/>
        <v>TADigital NA | Management - Sr. Practice Director / Sr. Delivery Director</v>
      </c>
      <c r="CO80" s="2" t="str">
        <f t="shared" si="8"/>
        <v>TADigital India Consulting | Cloud &amp; Engineering - L2 / B1-B3 | Associate Engineer</v>
      </c>
      <c r="CP80" s="1579">
        <v>340</v>
      </c>
      <c r="CQ80" s="1579">
        <v>170</v>
      </c>
      <c r="CR80" s="1579">
        <v>125</v>
      </c>
      <c r="CS80" s="1579">
        <f t="shared" si="9"/>
        <v>49.2</v>
      </c>
      <c r="CT80" s="1579">
        <v>60</v>
      </c>
      <c r="CU80" s="2">
        <f t="shared" si="10"/>
        <v>13</v>
      </c>
      <c r="CV80" s="2" t="str">
        <f t="shared" si="6"/>
        <v>Management - Sr. Practice Director / Sr. Delivery Director</v>
      </c>
      <c r="CW80" s="2" t="str">
        <f>_xlfn.XLOOKUP(CL80,'[1]Rates &amp; Drop Downs INT'!D$373:D$430,'[1]Rates &amp; Drop Downs INT'!C$373:C$430,"X",1)</f>
        <v>Cloud &amp; Engineering - 2 | Associate Engineer</v>
      </c>
      <c r="DF80" t="s">
        <v>2536</v>
      </c>
      <c r="DG80" t="s">
        <v>3504</v>
      </c>
      <c r="DH80" t="s">
        <v>1765</v>
      </c>
    </row>
    <row r="81" spans="2:112" ht="13.05" customHeight="1" x14ac:dyDescent="0.3">
      <c r="B81" s="346" t="s">
        <v>176</v>
      </c>
      <c r="C81" s="4" t="s">
        <v>401</v>
      </c>
      <c r="D81" s="4"/>
      <c r="E81" s="4"/>
      <c r="F81" s="4" t="s">
        <v>385</v>
      </c>
      <c r="G81" s="343">
        <v>172</v>
      </c>
      <c r="H81" s="4" t="s">
        <v>119</v>
      </c>
      <c r="I81" s="344">
        <v>350</v>
      </c>
      <c r="J81" s="345">
        <v>5</v>
      </c>
      <c r="AT81" s="2" t="s">
        <v>288</v>
      </c>
      <c r="AU81" s="2" t="s">
        <v>288</v>
      </c>
      <c r="AV81" s="2" t="s">
        <v>1822</v>
      </c>
      <c r="AW81" s="2" t="s">
        <v>1822</v>
      </c>
      <c r="AX81" s="2" t="s">
        <v>1821</v>
      </c>
      <c r="BO81" s="350"/>
      <c r="BT81" s="149"/>
      <c r="CG81" s="2" t="s">
        <v>297</v>
      </c>
      <c r="CH81" s="2" t="s">
        <v>1845</v>
      </c>
      <c r="CI81" s="2" t="s">
        <v>326</v>
      </c>
      <c r="CJ81" s="2" t="s">
        <v>1862</v>
      </c>
      <c r="CK81" s="2" t="s">
        <v>448</v>
      </c>
      <c r="CL81" s="2" t="s">
        <v>3546</v>
      </c>
      <c r="CM81" s="39">
        <v>5</v>
      </c>
      <c r="CN81" s="2" t="str">
        <f t="shared" si="7"/>
        <v>TADigital NA Consulting - Delivery Manager</v>
      </c>
      <c r="CO81" s="2" t="str">
        <f t="shared" si="8"/>
        <v>TADigital India Consulting | Cloud &amp; Engineering - L2 / B1-B3 | Associate Engineer</v>
      </c>
      <c r="CP81" s="1579">
        <v>265</v>
      </c>
      <c r="CQ81" s="1579">
        <v>137.5</v>
      </c>
      <c r="CR81" s="1579">
        <v>90</v>
      </c>
      <c r="CS81" s="1579">
        <f t="shared" si="9"/>
        <v>38.950000000000003</v>
      </c>
      <c r="CT81" s="1579">
        <v>47.5</v>
      </c>
      <c r="CU81" s="2">
        <f t="shared" si="10"/>
        <v>13</v>
      </c>
      <c r="CV81" s="2" t="str">
        <f t="shared" si="6"/>
        <v>Delivery Manager</v>
      </c>
      <c r="CW81" s="2" t="str">
        <f>_xlfn.XLOOKUP(CL81,'[1]Rates &amp; Drop Downs INT'!D$373:D$430,'[1]Rates &amp; Drop Downs INT'!C$373:C$430,"X",1)</f>
        <v>Cloud &amp; Engineering - 2 | Associate Engineer</v>
      </c>
      <c r="DF81" t="s">
        <v>2536</v>
      </c>
      <c r="DG81" t="s">
        <v>3504</v>
      </c>
      <c r="DH81" t="s">
        <v>1766</v>
      </c>
    </row>
    <row r="82" spans="2:112" ht="13.05" customHeight="1" x14ac:dyDescent="0.3">
      <c r="B82" s="346" t="s">
        <v>176</v>
      </c>
      <c r="C82" s="4" t="s">
        <v>401</v>
      </c>
      <c r="D82" s="4"/>
      <c r="E82" s="4"/>
      <c r="F82" s="4" t="s">
        <v>420</v>
      </c>
      <c r="G82" s="343">
        <v>257</v>
      </c>
      <c r="H82" s="4" t="s">
        <v>119</v>
      </c>
      <c r="I82" s="344">
        <v>390</v>
      </c>
      <c r="J82" s="345">
        <v>6</v>
      </c>
      <c r="AT82" s="2" t="s">
        <v>288</v>
      </c>
      <c r="AU82" s="2" t="s">
        <v>288</v>
      </c>
      <c r="AV82" s="2" t="s">
        <v>1825</v>
      </c>
      <c r="AW82" s="2" t="s">
        <v>1825</v>
      </c>
      <c r="AX82" s="2" t="s">
        <v>1823</v>
      </c>
      <c r="BO82" s="350"/>
      <c r="BT82" s="149"/>
      <c r="CG82" s="2" t="s">
        <v>297</v>
      </c>
      <c r="CH82" s="2" t="s">
        <v>1845</v>
      </c>
      <c r="CI82" s="2" t="s">
        <v>326</v>
      </c>
      <c r="CJ82" s="2" t="s">
        <v>1862</v>
      </c>
      <c r="CK82" s="2" t="s">
        <v>540</v>
      </c>
      <c r="CL82" s="2" t="s">
        <v>538</v>
      </c>
      <c r="CM82" s="39">
        <v>5</v>
      </c>
      <c r="CN82" s="2" t="str">
        <f t="shared" si="7"/>
        <v>TADigital NA Digital - Sr. Technical Architect</v>
      </c>
      <c r="CO82" s="2" t="str">
        <f t="shared" si="8"/>
        <v>TADigital India Consulting | Cloud &amp; Engineering - L2 / B1-B3 | Associate Engineer</v>
      </c>
      <c r="CP82" s="1579">
        <v>275</v>
      </c>
      <c r="CQ82" s="1579">
        <v>155</v>
      </c>
      <c r="CR82" s="1579">
        <v>105</v>
      </c>
      <c r="CS82" s="1579">
        <f t="shared" si="9"/>
        <v>36.900000000000006</v>
      </c>
      <c r="CT82" s="1579">
        <v>45</v>
      </c>
      <c r="CU82" s="2">
        <f t="shared" si="10"/>
        <v>13</v>
      </c>
      <c r="CV82" s="2" t="str">
        <f t="shared" si="6"/>
        <v>Sr. Technical Architect</v>
      </c>
      <c r="CW82" s="2" t="str">
        <f>_xlfn.XLOOKUP(CL82,'[1]Rates &amp; Drop Downs INT'!D$373:D$430,'[1]Rates &amp; Drop Downs INT'!C$373:C$430,"X",1)</f>
        <v>Cloud &amp; Engineering - 2 | Associate Engineer</v>
      </c>
      <c r="DF82" t="s">
        <v>2536</v>
      </c>
      <c r="DG82" t="s">
        <v>3504</v>
      </c>
      <c r="DH82" t="s">
        <v>3443</v>
      </c>
    </row>
    <row r="83" spans="2:112" ht="13.05" customHeight="1" x14ac:dyDescent="0.3">
      <c r="B83" s="346" t="s">
        <v>176</v>
      </c>
      <c r="C83" s="346" t="s">
        <v>352</v>
      </c>
      <c r="D83" s="346"/>
      <c r="E83" s="346"/>
      <c r="F83" s="346" t="s">
        <v>353</v>
      </c>
      <c r="G83" s="347">
        <v>128</v>
      </c>
      <c r="H83" s="346" t="s">
        <v>119</v>
      </c>
      <c r="I83" s="348">
        <v>300</v>
      </c>
      <c r="J83" s="353">
        <v>4</v>
      </c>
      <c r="AT83" s="2" t="s">
        <v>288</v>
      </c>
      <c r="AU83" s="2" t="s">
        <v>288</v>
      </c>
      <c r="AV83" s="2" t="s">
        <v>1825</v>
      </c>
      <c r="AW83" s="2" t="s">
        <v>1825</v>
      </c>
      <c r="AX83" s="2" t="s">
        <v>1824</v>
      </c>
      <c r="BO83" s="350"/>
      <c r="BT83" s="149"/>
      <c r="CG83" s="2" t="s">
        <v>297</v>
      </c>
      <c r="CH83" s="2" t="s">
        <v>1845</v>
      </c>
      <c r="CI83" s="2" t="s">
        <v>326</v>
      </c>
      <c r="CJ83" s="2" t="s">
        <v>1862</v>
      </c>
      <c r="CK83" s="2" t="s">
        <v>538</v>
      </c>
      <c r="CL83" s="2" t="s">
        <v>538</v>
      </c>
      <c r="CM83" s="39">
        <v>4</v>
      </c>
      <c r="CN83" s="2" t="str">
        <f t="shared" si="7"/>
        <v>TADigital NA Consulting - Sr. Project Manager</v>
      </c>
      <c r="CO83" s="2" t="str">
        <f t="shared" si="8"/>
        <v>TADigital India Consulting | Cloud &amp; Engineering - L2 / B1-B3 | Associate Engineer</v>
      </c>
      <c r="CP83" s="1579">
        <v>235</v>
      </c>
      <c r="CQ83" s="1579">
        <v>132.5</v>
      </c>
      <c r="CR83" s="1579">
        <v>95</v>
      </c>
      <c r="CS83" s="1579">
        <f t="shared" si="9"/>
        <v>32.800000000000004</v>
      </c>
      <c r="CT83" s="1579">
        <v>40</v>
      </c>
      <c r="CU83" s="2">
        <f t="shared" si="10"/>
        <v>13</v>
      </c>
      <c r="CV83" s="2" t="str">
        <f t="shared" si="6"/>
        <v>Sr. Project Manager</v>
      </c>
      <c r="CW83" s="2" t="str">
        <f>_xlfn.XLOOKUP(CL83,'[1]Rates &amp; Drop Downs INT'!D$373:D$430,'[1]Rates &amp; Drop Downs INT'!C$373:C$430,"X",1)</f>
        <v>Cloud &amp; Engineering - 2 | Associate Engineer</v>
      </c>
      <c r="DF83" t="s">
        <v>2536</v>
      </c>
      <c r="DG83" t="s">
        <v>3504</v>
      </c>
      <c r="DH83" t="s">
        <v>3444</v>
      </c>
    </row>
    <row r="84" spans="2:112" ht="13.05" customHeight="1" x14ac:dyDescent="0.3">
      <c r="B84" s="346" t="s">
        <v>176</v>
      </c>
      <c r="C84" s="346" t="s">
        <v>352</v>
      </c>
      <c r="D84" s="346"/>
      <c r="E84" s="346"/>
      <c r="F84" s="4" t="s">
        <v>346</v>
      </c>
      <c r="G84" s="343">
        <v>172</v>
      </c>
      <c r="H84" s="346" t="s">
        <v>119</v>
      </c>
      <c r="I84" s="344">
        <v>350</v>
      </c>
      <c r="J84" s="345">
        <v>5</v>
      </c>
      <c r="AT84" s="2" t="s">
        <v>288</v>
      </c>
      <c r="AU84" s="2" t="s">
        <v>288</v>
      </c>
      <c r="AV84" s="2" t="s">
        <v>1832</v>
      </c>
      <c r="AW84" s="2" t="s">
        <v>1832</v>
      </c>
      <c r="AX84" s="2" t="s">
        <v>1826</v>
      </c>
      <c r="BO84" s="350"/>
      <c r="BT84" s="149"/>
      <c r="CG84" s="2" t="s">
        <v>297</v>
      </c>
      <c r="CH84" s="2" t="s">
        <v>1845</v>
      </c>
      <c r="CI84" s="2" t="s">
        <v>326</v>
      </c>
      <c r="CJ84" s="2" t="s">
        <v>1862</v>
      </c>
      <c r="CK84" s="2" t="s">
        <v>536</v>
      </c>
      <c r="CL84" s="2" t="s">
        <v>536</v>
      </c>
      <c r="CM84" s="39">
        <v>3</v>
      </c>
      <c r="CN84" s="2" t="str">
        <f t="shared" si="7"/>
        <v>TADigital NA Digital - Technical Lead</v>
      </c>
      <c r="CO84" s="2" t="str">
        <f t="shared" si="8"/>
        <v>TADigital India Consulting | Cloud &amp; Engineering - L2 / B1-B3 | Associate Engineer</v>
      </c>
      <c r="CP84" s="1579">
        <v>185</v>
      </c>
      <c r="CQ84" s="1579">
        <v>90</v>
      </c>
      <c r="CR84" s="1579">
        <v>85</v>
      </c>
      <c r="CS84" s="1579">
        <f t="shared" si="9"/>
        <v>24.6</v>
      </c>
      <c r="CT84" s="1579">
        <v>30</v>
      </c>
      <c r="CU84" s="2">
        <f t="shared" si="10"/>
        <v>13</v>
      </c>
      <c r="CV84" s="2" t="str">
        <f t="shared" si="6"/>
        <v>Technical Lead</v>
      </c>
      <c r="CW84" s="2" t="str">
        <f>_xlfn.XLOOKUP(CL84,'[1]Rates &amp; Drop Downs INT'!D$373:D$430,'[1]Rates &amp; Drop Downs INT'!C$373:C$430,"X",1)</f>
        <v>Cloud &amp; Engineering - 2 | Associate Engineer</v>
      </c>
      <c r="DF84" t="s">
        <v>1211</v>
      </c>
      <c r="DG84" t="s">
        <v>3505</v>
      </c>
      <c r="DH84" t="s">
        <v>3445</v>
      </c>
    </row>
    <row r="85" spans="2:112" ht="13.05" customHeight="1" x14ac:dyDescent="0.3">
      <c r="B85" s="346" t="s">
        <v>176</v>
      </c>
      <c r="C85" s="346" t="s">
        <v>332</v>
      </c>
      <c r="D85" s="346"/>
      <c r="E85" s="346"/>
      <c r="F85" s="346" t="s">
        <v>271</v>
      </c>
      <c r="G85" s="347">
        <v>77</v>
      </c>
      <c r="H85" s="346" t="s">
        <v>119</v>
      </c>
      <c r="I85" s="348">
        <v>200</v>
      </c>
      <c r="J85" s="353">
        <v>2</v>
      </c>
      <c r="AT85" s="2" t="s">
        <v>288</v>
      </c>
      <c r="AU85" s="2" t="s">
        <v>288</v>
      </c>
      <c r="AV85" s="2" t="s">
        <v>1832</v>
      </c>
      <c r="AW85" s="2" t="s">
        <v>1832</v>
      </c>
      <c r="AX85" s="2" t="s">
        <v>1827</v>
      </c>
      <c r="BO85" s="350"/>
      <c r="BT85" s="149"/>
      <c r="CG85" s="2" t="s">
        <v>297</v>
      </c>
      <c r="CH85" s="2" t="s">
        <v>1845</v>
      </c>
      <c r="CI85" s="2" t="s">
        <v>2429</v>
      </c>
      <c r="CJ85" s="2" t="s">
        <v>1864</v>
      </c>
      <c r="CK85" s="2" t="s">
        <v>3351</v>
      </c>
      <c r="CL85" s="2" t="s">
        <v>3545</v>
      </c>
      <c r="CM85" s="39">
        <v>2</v>
      </c>
      <c r="CN85" s="2" t="str">
        <f t="shared" si="7"/>
        <v>TADigital NA Consulting | Content &amp; SEO - Associate Web Content Analyst</v>
      </c>
      <c r="CO85" s="2" t="str">
        <f t="shared" si="8"/>
        <v>TADigital India Consulting | Cloud &amp; Engineering - L2 / B1-B3 | Associate Engineer</v>
      </c>
      <c r="CP85" s="1579">
        <v>0</v>
      </c>
      <c r="CQ85" s="1579">
        <v>0</v>
      </c>
      <c r="CR85" s="1579">
        <v>35</v>
      </c>
      <c r="CS85" s="1579">
        <f t="shared" si="9"/>
        <v>10.66</v>
      </c>
      <c r="CT85" s="1579">
        <v>13</v>
      </c>
      <c r="CU85" s="2">
        <f t="shared" si="10"/>
        <v>13</v>
      </c>
      <c r="CV85" s="2" t="str">
        <f t="shared" si="6"/>
        <v>Content &amp; SEO - Associate Web Content Analyst</v>
      </c>
      <c r="CW85" s="2" t="str">
        <f>_xlfn.XLOOKUP(CL85,'[1]Rates &amp; Drop Downs INT'!D$373:D$430,'[1]Rates &amp; Drop Downs INT'!C$373:C$430,"X",1)</f>
        <v>Cloud &amp; Engineering - 2 | Associate Engineer</v>
      </c>
      <c r="DF85" t="s">
        <v>1211</v>
      </c>
      <c r="DG85" t="s">
        <v>3505</v>
      </c>
      <c r="DH85" t="s">
        <v>3446</v>
      </c>
    </row>
    <row r="86" spans="2:112" ht="13.05" customHeight="1" x14ac:dyDescent="0.3">
      <c r="B86" s="346" t="s">
        <v>176</v>
      </c>
      <c r="C86" s="346" t="s">
        <v>332</v>
      </c>
      <c r="D86" s="346"/>
      <c r="E86" s="346"/>
      <c r="F86" s="346" t="s">
        <v>259</v>
      </c>
      <c r="G86" s="347">
        <v>96</v>
      </c>
      <c r="H86" s="346" t="s">
        <v>119</v>
      </c>
      <c r="I86" s="348">
        <v>240</v>
      </c>
      <c r="J86" s="345">
        <v>3</v>
      </c>
      <c r="AT86" s="2" t="s">
        <v>288</v>
      </c>
      <c r="AU86" s="2" t="s">
        <v>288</v>
      </c>
      <c r="AV86" s="2" t="s">
        <v>1832</v>
      </c>
      <c r="AW86" s="2" t="s">
        <v>1832</v>
      </c>
      <c r="AX86" s="2" t="s">
        <v>1828</v>
      </c>
      <c r="BO86" s="350"/>
      <c r="BT86" s="149"/>
      <c r="CG86" s="2" t="s">
        <v>297</v>
      </c>
      <c r="CH86" s="2" t="s">
        <v>1845</v>
      </c>
      <c r="CI86" s="2" t="s">
        <v>2429</v>
      </c>
      <c r="CJ86" s="2" t="s">
        <v>1864</v>
      </c>
      <c r="CK86" s="2" t="s">
        <v>720</v>
      </c>
      <c r="CL86" s="2" t="s">
        <v>3546</v>
      </c>
      <c r="CM86" s="39">
        <v>5</v>
      </c>
      <c r="CN86" s="2" t="str">
        <f t="shared" si="7"/>
        <v>TADigital NA | Management - Associate Practice Director</v>
      </c>
      <c r="CO86" s="2" t="str">
        <f t="shared" si="8"/>
        <v>TADigital India Consulting | Cloud &amp; Engineering - L2 / B1-B3 | Associate Engineer</v>
      </c>
      <c r="CP86" s="1579">
        <v>290</v>
      </c>
      <c r="CQ86" s="1579">
        <v>140</v>
      </c>
      <c r="CR86" s="1579">
        <v>105</v>
      </c>
      <c r="CS86" s="1579">
        <f t="shared" si="9"/>
        <v>45.1</v>
      </c>
      <c r="CT86" s="1579">
        <v>55</v>
      </c>
      <c r="CU86" s="2">
        <f t="shared" si="10"/>
        <v>13</v>
      </c>
      <c r="CV86" s="2" t="str">
        <f t="shared" si="6"/>
        <v>Management - Associate Practice Director</v>
      </c>
      <c r="CW86" s="2" t="str">
        <f>_xlfn.XLOOKUP(CL86,'[1]Rates &amp; Drop Downs INT'!D$373:D$430,'[1]Rates &amp; Drop Downs INT'!C$373:C$430,"X",1)</f>
        <v>Cloud &amp; Engineering - 2 | Associate Engineer</v>
      </c>
      <c r="DF86" t="s">
        <v>1211</v>
      </c>
      <c r="DG86" t="s">
        <v>3505</v>
      </c>
      <c r="DH86" t="s">
        <v>1754</v>
      </c>
    </row>
    <row r="87" spans="2:112" ht="13.05" customHeight="1" x14ac:dyDescent="0.3">
      <c r="B87" s="4" t="s">
        <v>176</v>
      </c>
      <c r="C87" s="4" t="s">
        <v>333</v>
      </c>
      <c r="D87" s="4"/>
      <c r="E87" s="4"/>
      <c r="F87" s="4" t="s">
        <v>271</v>
      </c>
      <c r="G87" s="343">
        <v>77</v>
      </c>
      <c r="H87" s="4" t="s">
        <v>119</v>
      </c>
      <c r="I87" s="344">
        <v>200</v>
      </c>
      <c r="J87" s="345">
        <v>2</v>
      </c>
      <c r="AT87" s="2" t="s">
        <v>288</v>
      </c>
      <c r="AU87" s="2" t="s">
        <v>288</v>
      </c>
      <c r="AV87" s="2" t="s">
        <v>1832</v>
      </c>
      <c r="AW87" s="2" t="s">
        <v>1832</v>
      </c>
      <c r="AX87" s="2" t="s">
        <v>1829</v>
      </c>
      <c r="BO87" s="350"/>
      <c r="BT87" s="149"/>
      <c r="CG87" s="2" t="s">
        <v>297</v>
      </c>
      <c r="CH87" s="2" t="s">
        <v>1845</v>
      </c>
      <c r="CI87" s="2" t="s">
        <v>2429</v>
      </c>
      <c r="CJ87" s="2" t="s">
        <v>1864</v>
      </c>
      <c r="CK87" s="2" t="s">
        <v>532</v>
      </c>
      <c r="CL87" s="2" t="s">
        <v>3547</v>
      </c>
      <c r="CM87" s="39">
        <v>2</v>
      </c>
      <c r="CN87" s="2" t="str">
        <f t="shared" si="7"/>
        <v>TADigital NA Consulting | Content &amp; SEO - Associate Content Strategist</v>
      </c>
      <c r="CO87" s="2" t="str">
        <f t="shared" si="8"/>
        <v>TADigital India Consulting | Cloud &amp; Engineering - L2 / B1-B3 | Associate Engineer</v>
      </c>
      <c r="CP87" s="1579">
        <v>160</v>
      </c>
      <c r="CQ87" s="1579">
        <v>80</v>
      </c>
      <c r="CR87" s="1579">
        <v>55</v>
      </c>
      <c r="CS87" s="1579">
        <f t="shared" si="9"/>
        <v>14.760000000000002</v>
      </c>
      <c r="CT87" s="1579">
        <v>18</v>
      </c>
      <c r="CU87" s="2">
        <f t="shared" si="10"/>
        <v>13</v>
      </c>
      <c r="CV87" s="2" t="str">
        <f t="shared" si="6"/>
        <v>Content &amp; SEO - Associate Content Strategist</v>
      </c>
      <c r="CW87" s="2" t="str">
        <f>_xlfn.XLOOKUP(CL87,'[1]Rates &amp; Drop Downs INT'!D$373:D$430,'[1]Rates &amp; Drop Downs INT'!C$373:C$430,"X",1)</f>
        <v>Cloud &amp; Engineering - 2 | Associate Engineer</v>
      </c>
      <c r="DF87" t="s">
        <v>1212</v>
      </c>
      <c r="DG87" t="s">
        <v>3506</v>
      </c>
      <c r="DH87" t="s">
        <v>3447</v>
      </c>
    </row>
    <row r="88" spans="2:112" ht="13.05" customHeight="1" x14ac:dyDescent="0.3">
      <c r="B88" s="4" t="s">
        <v>176</v>
      </c>
      <c r="C88" s="4" t="s">
        <v>333</v>
      </c>
      <c r="D88" s="4"/>
      <c r="E88" s="4"/>
      <c r="F88" s="346" t="s">
        <v>259</v>
      </c>
      <c r="G88" s="347">
        <v>96</v>
      </c>
      <c r="H88" s="4" t="s">
        <v>119</v>
      </c>
      <c r="I88" s="348">
        <v>240</v>
      </c>
      <c r="J88" s="345">
        <v>3</v>
      </c>
      <c r="AT88" s="2" t="s">
        <v>288</v>
      </c>
      <c r="AU88" s="2" t="s">
        <v>288</v>
      </c>
      <c r="AV88" s="2" t="s">
        <v>1832</v>
      </c>
      <c r="AW88" s="2" t="s">
        <v>1832</v>
      </c>
      <c r="AX88" s="2" t="s">
        <v>1830</v>
      </c>
      <c r="BO88" s="350"/>
      <c r="BT88" s="149"/>
      <c r="CG88" s="2" t="s">
        <v>297</v>
      </c>
      <c r="CH88" s="2" t="s">
        <v>1845</v>
      </c>
      <c r="CI88" s="2" t="s">
        <v>2429</v>
      </c>
      <c r="CJ88" s="2" t="s">
        <v>1864</v>
      </c>
      <c r="CK88" s="2" t="s">
        <v>542</v>
      </c>
      <c r="CL88" s="2" t="s">
        <v>3548</v>
      </c>
      <c r="CM88" s="39">
        <v>5</v>
      </c>
      <c r="CN88" s="2" t="str">
        <f t="shared" si="7"/>
        <v>TADigital NA | Management - Associate Practice Director</v>
      </c>
      <c r="CO88" s="2" t="str">
        <f t="shared" si="8"/>
        <v>TADigital India Consulting | Cloud &amp; Engineering - L2 / B1-B3 | Associate Engineer</v>
      </c>
      <c r="CP88" s="1579">
        <v>290</v>
      </c>
      <c r="CQ88" s="1579">
        <v>167.5</v>
      </c>
      <c r="CR88" s="1579">
        <v>125</v>
      </c>
      <c r="CS88" s="1579">
        <f t="shared" si="9"/>
        <v>51.250000000000007</v>
      </c>
      <c r="CT88" s="1579">
        <v>62.5</v>
      </c>
      <c r="CU88" s="2">
        <f t="shared" si="10"/>
        <v>13</v>
      </c>
      <c r="CV88" s="2" t="str">
        <f t="shared" si="6"/>
        <v>Management - Associate Practice Director</v>
      </c>
      <c r="CW88" s="2" t="str">
        <f>_xlfn.XLOOKUP(CL88,'[1]Rates &amp; Drop Downs INT'!D$373:D$430,'[1]Rates &amp; Drop Downs INT'!C$373:C$430,"X",1)</f>
        <v>Cloud &amp; Engineering - 2 | Associate Engineer</v>
      </c>
      <c r="DF88" t="s">
        <v>1212</v>
      </c>
      <c r="DG88" t="s">
        <v>3506</v>
      </c>
      <c r="DH88" t="s">
        <v>3448</v>
      </c>
    </row>
    <row r="89" spans="2:112" ht="13.05" customHeight="1" x14ac:dyDescent="0.3">
      <c r="B89" s="4" t="s">
        <v>176</v>
      </c>
      <c r="C89" s="346" t="s">
        <v>335</v>
      </c>
      <c r="D89" s="346"/>
      <c r="E89" s="346"/>
      <c r="F89" s="4" t="s">
        <v>271</v>
      </c>
      <c r="G89" s="343">
        <v>77</v>
      </c>
      <c r="H89" s="4" t="s">
        <v>119</v>
      </c>
      <c r="I89" s="344">
        <v>200</v>
      </c>
      <c r="J89" s="345">
        <v>2</v>
      </c>
      <c r="AT89" s="2" t="s">
        <v>288</v>
      </c>
      <c r="AU89" s="2" t="s">
        <v>288</v>
      </c>
      <c r="AV89" s="2" t="s">
        <v>1832</v>
      </c>
      <c r="AW89" s="2" t="s">
        <v>1832</v>
      </c>
      <c r="AX89" s="2" t="s">
        <v>1831</v>
      </c>
      <c r="BO89" s="350"/>
      <c r="BQ89" s="354"/>
      <c r="BT89" s="149"/>
      <c r="CG89" s="2" t="s">
        <v>297</v>
      </c>
      <c r="CH89" s="2" t="s">
        <v>1845</v>
      </c>
      <c r="CI89" s="2" t="s">
        <v>2429</v>
      </c>
      <c r="CJ89" s="2" t="s">
        <v>1864</v>
      </c>
      <c r="CK89" s="2" t="s">
        <v>3352</v>
      </c>
      <c r="CL89" s="2" t="s">
        <v>3549</v>
      </c>
      <c r="CM89" s="39">
        <v>5</v>
      </c>
      <c r="CN89" s="2" t="str">
        <f t="shared" si="7"/>
        <v>TADigital NA | Management - Practice Director / Delivery Director</v>
      </c>
      <c r="CO89" s="2" t="str">
        <f t="shared" si="8"/>
        <v>TADigital India Consulting | Cloud &amp; Engineering - L2 / B1-B3 | Associate Engineer</v>
      </c>
      <c r="CP89" s="1579">
        <v>315</v>
      </c>
      <c r="CQ89" s="1579">
        <v>165</v>
      </c>
      <c r="CR89" s="1579">
        <v>115</v>
      </c>
      <c r="CS89" s="1579">
        <f t="shared" si="9"/>
        <v>45.1</v>
      </c>
      <c r="CT89" s="1579">
        <v>55</v>
      </c>
      <c r="CU89" s="2">
        <f t="shared" si="10"/>
        <v>13</v>
      </c>
      <c r="CV89" s="2" t="str">
        <f t="shared" si="6"/>
        <v>Management - Practice Director / Delivery Director</v>
      </c>
      <c r="CW89" s="2" t="str">
        <f>_xlfn.XLOOKUP(CL89,'[1]Rates &amp; Drop Downs INT'!D$373:D$430,'[1]Rates &amp; Drop Downs INT'!C$373:C$430,"X",1)</f>
        <v>Cloud &amp; Engineering - 2 | Associate Engineer</v>
      </c>
      <c r="DF89" t="s">
        <v>1212</v>
      </c>
      <c r="DG89" t="s">
        <v>3506</v>
      </c>
      <c r="DH89" t="s">
        <v>3449</v>
      </c>
    </row>
    <row r="90" spans="2:112" ht="13.05" customHeight="1" x14ac:dyDescent="0.3">
      <c r="B90" s="346" t="s">
        <v>176</v>
      </c>
      <c r="C90" s="346" t="s">
        <v>335</v>
      </c>
      <c r="D90" s="346"/>
      <c r="E90" s="346"/>
      <c r="F90" s="346" t="s">
        <v>259</v>
      </c>
      <c r="G90" s="347">
        <v>96</v>
      </c>
      <c r="H90" s="346" t="s">
        <v>119</v>
      </c>
      <c r="I90" s="348">
        <v>240</v>
      </c>
      <c r="J90" s="349">
        <v>3</v>
      </c>
      <c r="AT90" s="2" t="s">
        <v>288</v>
      </c>
      <c r="AU90" s="2" t="s">
        <v>288</v>
      </c>
      <c r="AV90" s="2" t="s">
        <v>1836</v>
      </c>
      <c r="AW90" s="2" t="s">
        <v>1836</v>
      </c>
      <c r="AX90" s="2" t="s">
        <v>1833</v>
      </c>
      <c r="BO90" s="350"/>
      <c r="BT90" s="149"/>
      <c r="CG90" s="2" t="s">
        <v>297</v>
      </c>
      <c r="CH90" s="2" t="s">
        <v>1845</v>
      </c>
      <c r="CI90" s="2" t="s">
        <v>2429</v>
      </c>
      <c r="CJ90" s="2" t="s">
        <v>1864</v>
      </c>
      <c r="CK90" s="2" t="s">
        <v>446</v>
      </c>
      <c r="CL90" s="2" t="s">
        <v>3546</v>
      </c>
      <c r="CM90" s="39">
        <v>4</v>
      </c>
      <c r="CN90" s="2" t="str">
        <f t="shared" si="7"/>
        <v>TADigital NA Consulting - Sr. Project Manager</v>
      </c>
      <c r="CO90" s="2" t="str">
        <f t="shared" si="8"/>
        <v>TADigital India Consulting | Cloud &amp; Engineering - L2 / B1-B3 | Associate Engineer</v>
      </c>
      <c r="CP90" s="1579">
        <v>235</v>
      </c>
      <c r="CQ90" s="1579">
        <v>130</v>
      </c>
      <c r="CR90" s="1579">
        <v>80</v>
      </c>
      <c r="CS90" s="1579">
        <f t="shared" si="9"/>
        <v>38.950000000000003</v>
      </c>
      <c r="CT90" s="1579">
        <v>47.5</v>
      </c>
      <c r="CU90" s="2">
        <f t="shared" si="10"/>
        <v>13</v>
      </c>
      <c r="CV90" s="2" t="str">
        <f t="shared" si="6"/>
        <v>Sr. Project Manager</v>
      </c>
      <c r="CW90" s="2" t="str">
        <f>_xlfn.XLOOKUP(CL90,'[1]Rates &amp; Drop Downs INT'!D$373:D$430,'[1]Rates &amp; Drop Downs INT'!C$373:C$430,"X",1)</f>
        <v>Cloud &amp; Engineering - 2 | Associate Engineer</v>
      </c>
      <c r="DF90" t="s">
        <v>1212</v>
      </c>
      <c r="DG90" t="s">
        <v>3506</v>
      </c>
      <c r="DH90" t="s">
        <v>3450</v>
      </c>
    </row>
    <row r="91" spans="2:112" ht="13.05" customHeight="1" x14ac:dyDescent="0.3">
      <c r="B91" s="346" t="s">
        <v>176</v>
      </c>
      <c r="C91" s="346" t="s">
        <v>408</v>
      </c>
      <c r="D91" s="346"/>
      <c r="E91" s="346"/>
      <c r="F91" s="346" t="s">
        <v>379</v>
      </c>
      <c r="G91" s="347">
        <v>128</v>
      </c>
      <c r="H91" s="4" t="s">
        <v>119</v>
      </c>
      <c r="I91" s="348">
        <v>300</v>
      </c>
      <c r="J91" s="345">
        <v>4</v>
      </c>
      <c r="AT91" s="2" t="s">
        <v>288</v>
      </c>
      <c r="AU91" s="2" t="s">
        <v>288</v>
      </c>
      <c r="AV91" s="2" t="s">
        <v>1836</v>
      </c>
      <c r="AW91" s="2" t="s">
        <v>1836</v>
      </c>
      <c r="AX91" s="2" t="s">
        <v>1834</v>
      </c>
      <c r="BO91" s="350"/>
      <c r="BT91" s="149"/>
      <c r="CG91" s="2" t="s">
        <v>297</v>
      </c>
      <c r="CH91" s="2" t="s">
        <v>1845</v>
      </c>
      <c r="CI91" s="2" t="s">
        <v>2429</v>
      </c>
      <c r="CJ91" s="2" t="s">
        <v>1864</v>
      </c>
      <c r="CK91" s="2" t="s">
        <v>3353</v>
      </c>
      <c r="CL91" s="2" t="s">
        <v>3549</v>
      </c>
      <c r="CM91" s="39">
        <v>6</v>
      </c>
      <c r="CN91" s="2" t="str">
        <f t="shared" si="7"/>
        <v>TADigital NA | Management - Practice VP / Delivery VP</v>
      </c>
      <c r="CO91" s="2" t="str">
        <f t="shared" si="8"/>
        <v>TADigital India Consulting | Cloud &amp; Engineering - L2 / B1-B3 | Associate Engineer</v>
      </c>
      <c r="CP91" s="1579">
        <v>370</v>
      </c>
      <c r="CQ91" s="1579">
        <v>172.5</v>
      </c>
      <c r="CR91" s="1579">
        <v>135</v>
      </c>
      <c r="CS91" s="1579">
        <f t="shared" si="9"/>
        <v>51.250000000000007</v>
      </c>
      <c r="CT91" s="1579">
        <v>62.5</v>
      </c>
      <c r="CU91" s="2">
        <f t="shared" si="10"/>
        <v>13</v>
      </c>
      <c r="CV91" s="2" t="str">
        <f t="shared" si="6"/>
        <v>Management - Practice VP / Delivery VP</v>
      </c>
      <c r="CW91" s="2" t="str">
        <f>_xlfn.XLOOKUP(CL91,'[1]Rates &amp; Drop Downs INT'!D$373:D$430,'[1]Rates &amp; Drop Downs INT'!C$373:C$430,"X",1)</f>
        <v>Cloud &amp; Engineering - 2 | Associate Engineer</v>
      </c>
      <c r="DF91" t="s">
        <v>1212</v>
      </c>
      <c r="DG91" t="s">
        <v>3506</v>
      </c>
      <c r="DH91" t="s">
        <v>3451</v>
      </c>
    </row>
    <row r="92" spans="2:112" ht="13.05" customHeight="1" x14ac:dyDescent="0.3">
      <c r="B92" s="346" t="s">
        <v>176</v>
      </c>
      <c r="C92" s="346" t="s">
        <v>408</v>
      </c>
      <c r="D92" s="346"/>
      <c r="E92" s="346"/>
      <c r="F92" s="346" t="s">
        <v>385</v>
      </c>
      <c r="G92" s="347">
        <v>172</v>
      </c>
      <c r="H92" s="4" t="s">
        <v>119</v>
      </c>
      <c r="I92" s="348">
        <v>350</v>
      </c>
      <c r="J92" s="353">
        <v>5</v>
      </c>
      <c r="AT92" s="2" t="s">
        <v>288</v>
      </c>
      <c r="AU92" s="2" t="s">
        <v>288</v>
      </c>
      <c r="AV92" s="2" t="s">
        <v>1836</v>
      </c>
      <c r="AW92" s="2" t="s">
        <v>1836</v>
      </c>
      <c r="AX92" s="2" t="s">
        <v>1835</v>
      </c>
      <c r="BO92" s="350"/>
      <c r="BT92" s="149"/>
      <c r="CG92" s="2" t="s">
        <v>297</v>
      </c>
      <c r="CH92" s="2" t="s">
        <v>1845</v>
      </c>
      <c r="CI92" s="2" t="s">
        <v>2429</v>
      </c>
      <c r="CJ92" s="2" t="s">
        <v>1864</v>
      </c>
      <c r="CK92" s="2" t="s">
        <v>534</v>
      </c>
      <c r="CL92" s="2" t="s">
        <v>3550</v>
      </c>
      <c r="CM92" s="39">
        <v>2</v>
      </c>
      <c r="CN92" s="2" t="str">
        <f t="shared" si="7"/>
        <v>TADigital NA Consulting | Content &amp; SEO - Content Strategist</v>
      </c>
      <c r="CO92" s="2" t="str">
        <f t="shared" si="8"/>
        <v>TADigital India Consulting | Cloud &amp; Engineering - L2 / B1-B3 | Associate Engineer</v>
      </c>
      <c r="CP92" s="1579">
        <v>170</v>
      </c>
      <c r="CQ92" s="1579">
        <v>82.5</v>
      </c>
      <c r="CR92" s="1579">
        <v>65</v>
      </c>
      <c r="CS92" s="1579">
        <f t="shared" si="9"/>
        <v>18.450000000000003</v>
      </c>
      <c r="CT92" s="1579">
        <v>22.5</v>
      </c>
      <c r="CU92" s="2">
        <f t="shared" si="10"/>
        <v>13</v>
      </c>
      <c r="CV92" s="2" t="str">
        <f t="shared" si="6"/>
        <v>Content &amp; SEO - Content Strategist</v>
      </c>
      <c r="CW92" s="2" t="str">
        <f>_xlfn.XLOOKUP(CL92,'[1]Rates &amp; Drop Downs INT'!D$373:D$430,'[1]Rates &amp; Drop Downs INT'!C$373:C$430,"X",1)</f>
        <v>Cloud &amp; Engineering - 2 | Associate Engineer</v>
      </c>
      <c r="DF92" t="s">
        <v>1212</v>
      </c>
      <c r="DG92" t="s">
        <v>3506</v>
      </c>
      <c r="DH92" t="s">
        <v>3452</v>
      </c>
    </row>
    <row r="93" spans="2:112" ht="13.05" customHeight="1" x14ac:dyDescent="0.3">
      <c r="B93" s="346" t="s">
        <v>176</v>
      </c>
      <c r="C93" s="346" t="s">
        <v>408</v>
      </c>
      <c r="D93" s="346"/>
      <c r="E93" s="346"/>
      <c r="F93" s="4" t="s">
        <v>420</v>
      </c>
      <c r="G93" s="343">
        <v>257</v>
      </c>
      <c r="H93" s="4" t="s">
        <v>119</v>
      </c>
      <c r="I93" s="344">
        <v>390</v>
      </c>
      <c r="J93" s="345">
        <v>6</v>
      </c>
      <c r="AT93" s="2" t="s">
        <v>288</v>
      </c>
      <c r="AU93" s="2" t="s">
        <v>288</v>
      </c>
      <c r="AV93" s="2" t="s">
        <v>1838</v>
      </c>
      <c r="AW93" s="2" t="s">
        <v>1838</v>
      </c>
      <c r="AX93" s="2" t="s">
        <v>1818</v>
      </c>
      <c r="BO93" s="350"/>
      <c r="BT93" s="149"/>
      <c r="CG93" s="2" t="s">
        <v>297</v>
      </c>
      <c r="CH93" s="2" t="s">
        <v>1845</v>
      </c>
      <c r="CI93" s="2" t="s">
        <v>2429</v>
      </c>
      <c r="CJ93" s="2" t="s">
        <v>1864</v>
      </c>
      <c r="CK93" s="2" t="s">
        <v>3354</v>
      </c>
      <c r="CL93" s="2" t="s">
        <v>3549</v>
      </c>
      <c r="CM93" s="39">
        <v>5</v>
      </c>
      <c r="CN93" s="2" t="str">
        <f t="shared" si="7"/>
        <v>TADigital NA | Management - Sr. Practice Director / Sr. Delivery Director</v>
      </c>
      <c r="CO93" s="2" t="str">
        <f t="shared" si="8"/>
        <v>TADigital India Consulting | Cloud &amp; Engineering - L2 / B1-B3 | Associate Engineer</v>
      </c>
      <c r="CP93" s="1579">
        <v>340</v>
      </c>
      <c r="CQ93" s="1579">
        <v>170</v>
      </c>
      <c r="CR93" s="1579">
        <v>125</v>
      </c>
      <c r="CS93" s="1579">
        <f t="shared" si="9"/>
        <v>49.2</v>
      </c>
      <c r="CT93" s="1579">
        <v>60</v>
      </c>
      <c r="CU93" s="2">
        <f t="shared" si="10"/>
        <v>13</v>
      </c>
      <c r="CV93" s="2" t="str">
        <f t="shared" si="6"/>
        <v>Management - Sr. Practice Director / Sr. Delivery Director</v>
      </c>
      <c r="CW93" s="2" t="str">
        <f>_xlfn.XLOOKUP(CL93,'[1]Rates &amp; Drop Downs INT'!D$373:D$430,'[1]Rates &amp; Drop Downs INT'!C$373:C$430,"X",1)</f>
        <v>Cloud &amp; Engineering - 2 | Associate Engineer</v>
      </c>
      <c r="DF93" t="s">
        <v>1213</v>
      </c>
      <c r="DG93" t="s">
        <v>3507</v>
      </c>
      <c r="DH93" t="s">
        <v>3453</v>
      </c>
    </row>
    <row r="94" spans="2:112" ht="13.05" customHeight="1" x14ac:dyDescent="0.3">
      <c r="B94" s="4" t="s">
        <v>176</v>
      </c>
      <c r="C94" s="4" t="s">
        <v>1420</v>
      </c>
      <c r="D94" s="4"/>
      <c r="E94" s="4"/>
      <c r="F94" s="4" t="s">
        <v>1735</v>
      </c>
      <c r="G94" s="343">
        <v>65</v>
      </c>
      <c r="H94" s="4" t="s">
        <v>119</v>
      </c>
      <c r="I94" s="344">
        <v>90</v>
      </c>
      <c r="J94" s="345">
        <v>0</v>
      </c>
      <c r="AT94" s="2" t="s">
        <v>288</v>
      </c>
      <c r="AU94" s="2" t="s">
        <v>288</v>
      </c>
      <c r="AV94" s="2" t="s">
        <v>1838</v>
      </c>
      <c r="AW94" s="2" t="s">
        <v>1838</v>
      </c>
      <c r="AX94" s="2" t="s">
        <v>1819</v>
      </c>
      <c r="BO94" s="350"/>
      <c r="BT94" s="149"/>
      <c r="CG94" s="2" t="s">
        <v>297</v>
      </c>
      <c r="CH94" s="2" t="s">
        <v>1845</v>
      </c>
      <c r="CI94" s="2" t="s">
        <v>2429</v>
      </c>
      <c r="CJ94" s="2" t="s">
        <v>1864</v>
      </c>
      <c r="CK94" s="2" t="s">
        <v>448</v>
      </c>
      <c r="CL94" s="2" t="s">
        <v>3546</v>
      </c>
      <c r="CM94" s="39">
        <v>5</v>
      </c>
      <c r="CN94" s="2" t="str">
        <f t="shared" si="7"/>
        <v>TADigital NA Consulting - Delivery Manager</v>
      </c>
      <c r="CO94" s="2" t="str">
        <f t="shared" si="8"/>
        <v>TADigital India Consulting | Cloud &amp; Engineering - L2 / B1-B3 | Associate Engineer</v>
      </c>
      <c r="CP94" s="1579">
        <v>265</v>
      </c>
      <c r="CQ94" s="1579">
        <v>137.5</v>
      </c>
      <c r="CR94" s="1579">
        <v>90</v>
      </c>
      <c r="CS94" s="1579">
        <f t="shared" si="9"/>
        <v>38.950000000000003</v>
      </c>
      <c r="CT94" s="1579">
        <v>47.5</v>
      </c>
      <c r="CU94" s="2">
        <f t="shared" si="10"/>
        <v>13</v>
      </c>
      <c r="CV94" s="2" t="str">
        <f t="shared" si="6"/>
        <v>Delivery Manager</v>
      </c>
      <c r="CW94" s="2" t="str">
        <f>_xlfn.XLOOKUP(CL94,'[1]Rates &amp; Drop Downs INT'!D$373:D$430,'[1]Rates &amp; Drop Downs INT'!C$373:C$430,"X",1)</f>
        <v>Cloud &amp; Engineering - 2 | Associate Engineer</v>
      </c>
      <c r="DF94" t="s">
        <v>1213</v>
      </c>
      <c r="DG94" t="s">
        <v>3507</v>
      </c>
      <c r="DH94" t="s">
        <v>3454</v>
      </c>
    </row>
    <row r="95" spans="2:112" ht="13.05" customHeight="1" x14ac:dyDescent="0.3">
      <c r="B95" s="346" t="s">
        <v>176</v>
      </c>
      <c r="C95" s="4" t="s">
        <v>337</v>
      </c>
      <c r="D95" s="4"/>
      <c r="E95" s="4"/>
      <c r="F95" s="4" t="s">
        <v>271</v>
      </c>
      <c r="G95" s="343">
        <v>77</v>
      </c>
      <c r="H95" s="4" t="s">
        <v>119</v>
      </c>
      <c r="I95" s="344">
        <v>200</v>
      </c>
      <c r="J95" s="351">
        <v>2</v>
      </c>
      <c r="AT95" s="2" t="s">
        <v>288</v>
      </c>
      <c r="AU95" s="2" t="s">
        <v>288</v>
      </c>
      <c r="AV95" s="2" t="s">
        <v>1838</v>
      </c>
      <c r="AW95" s="2" t="s">
        <v>1838</v>
      </c>
      <c r="AX95" s="2" t="s">
        <v>1820</v>
      </c>
      <c r="BO95" s="350"/>
      <c r="BT95" s="149"/>
      <c r="CG95" s="2" t="s">
        <v>297</v>
      </c>
      <c r="CH95" s="2" t="s">
        <v>1845</v>
      </c>
      <c r="CI95" s="2" t="s">
        <v>2429</v>
      </c>
      <c r="CJ95" s="2" t="s">
        <v>1864</v>
      </c>
      <c r="CK95" s="2" t="s">
        <v>540</v>
      </c>
      <c r="CL95" s="2" t="s">
        <v>538</v>
      </c>
      <c r="CM95" s="39">
        <v>5</v>
      </c>
      <c r="CN95" s="2" t="str">
        <f t="shared" si="7"/>
        <v>TADigital NA Digital - Sr. Technical Architect</v>
      </c>
      <c r="CO95" s="2" t="str">
        <f t="shared" si="8"/>
        <v>TADigital India Consulting | Cloud &amp; Engineering - L2 / B1-B3 | Associate Engineer</v>
      </c>
      <c r="CP95" s="1579">
        <v>275</v>
      </c>
      <c r="CQ95" s="1579">
        <v>155</v>
      </c>
      <c r="CR95" s="1579">
        <v>105</v>
      </c>
      <c r="CS95" s="1579">
        <f t="shared" si="9"/>
        <v>36.900000000000006</v>
      </c>
      <c r="CT95" s="1579">
        <v>45</v>
      </c>
      <c r="CU95" s="2">
        <f t="shared" si="10"/>
        <v>13</v>
      </c>
      <c r="CV95" s="2" t="str">
        <f t="shared" si="6"/>
        <v>Sr. Technical Architect</v>
      </c>
      <c r="CW95" s="2" t="str">
        <f>_xlfn.XLOOKUP(CL95,'[1]Rates &amp; Drop Downs INT'!D$373:D$430,'[1]Rates &amp; Drop Downs INT'!C$373:C$430,"X",1)</f>
        <v>Cloud &amp; Engineering - 2 | Associate Engineer</v>
      </c>
      <c r="DF95" t="s">
        <v>1213</v>
      </c>
      <c r="DG95" t="s">
        <v>3507</v>
      </c>
      <c r="DH95" t="s">
        <v>3455</v>
      </c>
    </row>
    <row r="96" spans="2:112" ht="13.05" customHeight="1" x14ac:dyDescent="0.3">
      <c r="B96" s="4" t="s">
        <v>176</v>
      </c>
      <c r="C96" s="4" t="s">
        <v>337</v>
      </c>
      <c r="D96" s="4"/>
      <c r="E96" s="4"/>
      <c r="F96" s="4" t="s">
        <v>259</v>
      </c>
      <c r="G96" s="343">
        <v>96</v>
      </c>
      <c r="H96" s="4" t="s">
        <v>119</v>
      </c>
      <c r="I96" s="344">
        <v>240</v>
      </c>
      <c r="J96" s="352">
        <v>3</v>
      </c>
      <c r="AT96" s="2" t="s">
        <v>288</v>
      </c>
      <c r="AU96" s="2" t="s">
        <v>288</v>
      </c>
      <c r="AV96" s="2" t="s">
        <v>1838</v>
      </c>
      <c r="AW96" s="2" t="s">
        <v>1838</v>
      </c>
      <c r="AX96" s="2" t="s">
        <v>1771</v>
      </c>
      <c r="BO96" s="350"/>
      <c r="BT96" s="149"/>
      <c r="CG96" s="2" t="s">
        <v>297</v>
      </c>
      <c r="CH96" s="2" t="s">
        <v>1845</v>
      </c>
      <c r="CI96" s="2" t="s">
        <v>2429</v>
      </c>
      <c r="CJ96" s="2" t="s">
        <v>1864</v>
      </c>
      <c r="CK96" s="2" t="s">
        <v>538</v>
      </c>
      <c r="CL96" s="2" t="s">
        <v>538</v>
      </c>
      <c r="CM96" s="39">
        <v>4</v>
      </c>
      <c r="CN96" s="2" t="str">
        <f t="shared" si="7"/>
        <v>TADigital NA Consulting - Sr. Project Manager</v>
      </c>
      <c r="CO96" s="2" t="str">
        <f t="shared" si="8"/>
        <v>TADigital India Consulting | Cloud &amp; Engineering - L2 / B1-B3 | Associate Engineer</v>
      </c>
      <c r="CP96" s="1579">
        <v>235</v>
      </c>
      <c r="CQ96" s="1579">
        <v>132.5</v>
      </c>
      <c r="CR96" s="1579">
        <v>95</v>
      </c>
      <c r="CS96" s="1579">
        <f t="shared" si="9"/>
        <v>32.800000000000004</v>
      </c>
      <c r="CT96" s="1579">
        <v>40</v>
      </c>
      <c r="CU96" s="2">
        <f t="shared" si="10"/>
        <v>13</v>
      </c>
      <c r="CV96" s="2" t="str">
        <f t="shared" si="6"/>
        <v>Sr. Project Manager</v>
      </c>
      <c r="CW96" s="2" t="str">
        <f>_xlfn.XLOOKUP(CL96,'[1]Rates &amp; Drop Downs INT'!D$373:D$430,'[1]Rates &amp; Drop Downs INT'!C$373:C$430,"X",1)</f>
        <v>Cloud &amp; Engineering - 2 | Associate Engineer</v>
      </c>
      <c r="DF96" t="s">
        <v>1213</v>
      </c>
      <c r="DG96" t="s">
        <v>3507</v>
      </c>
      <c r="DH96" t="s">
        <v>3456</v>
      </c>
    </row>
    <row r="97" spans="1:112" ht="13.05" customHeight="1" x14ac:dyDescent="0.3">
      <c r="B97" s="346" t="s">
        <v>176</v>
      </c>
      <c r="C97" s="4" t="s">
        <v>397</v>
      </c>
      <c r="D97" s="4"/>
      <c r="E97" s="4"/>
      <c r="F97" s="4" t="s">
        <v>271</v>
      </c>
      <c r="G97" s="343">
        <v>77</v>
      </c>
      <c r="H97" s="4" t="s">
        <v>119</v>
      </c>
      <c r="I97" s="344">
        <v>200</v>
      </c>
      <c r="J97" s="345">
        <v>2</v>
      </c>
      <c r="AT97" s="2" t="s">
        <v>288</v>
      </c>
      <c r="AU97" s="2" t="s">
        <v>288</v>
      </c>
      <c r="AV97" s="2" t="s">
        <v>1838</v>
      </c>
      <c r="AW97" s="2" t="s">
        <v>1838</v>
      </c>
      <c r="AX97" s="2" t="s">
        <v>1837</v>
      </c>
      <c r="CG97" s="2" t="s">
        <v>297</v>
      </c>
      <c r="CH97" s="2" t="s">
        <v>1845</v>
      </c>
      <c r="CI97" s="2" t="s">
        <v>2429</v>
      </c>
      <c r="CJ97" s="2" t="s">
        <v>1864</v>
      </c>
      <c r="CK97" s="2" t="s">
        <v>536</v>
      </c>
      <c r="CL97" s="2" t="s">
        <v>536</v>
      </c>
      <c r="CM97" s="39">
        <v>3</v>
      </c>
      <c r="CN97" s="2" t="str">
        <f t="shared" si="7"/>
        <v>TADigital NA Digital - Technical Lead</v>
      </c>
      <c r="CO97" s="2" t="str">
        <f t="shared" si="8"/>
        <v>TADigital India Consulting | Cloud &amp; Engineering - L2 / B1-B3 | Associate Engineer</v>
      </c>
      <c r="CP97" s="1579">
        <v>185</v>
      </c>
      <c r="CQ97" s="1579">
        <v>90</v>
      </c>
      <c r="CR97" s="1579">
        <v>85</v>
      </c>
      <c r="CS97" s="1579">
        <f t="shared" si="9"/>
        <v>24.6</v>
      </c>
      <c r="CT97" s="1579">
        <v>30</v>
      </c>
      <c r="CU97" s="2">
        <f t="shared" si="10"/>
        <v>13</v>
      </c>
      <c r="CV97" s="2" t="str">
        <f t="shared" si="6"/>
        <v>Technical Lead</v>
      </c>
      <c r="CW97" s="2" t="str">
        <f>_xlfn.XLOOKUP(CL97,'[1]Rates &amp; Drop Downs INT'!D$373:D$430,'[1]Rates &amp; Drop Downs INT'!C$373:C$430,"X",1)</f>
        <v>Cloud &amp; Engineering - 2 | Associate Engineer</v>
      </c>
      <c r="DF97" t="s">
        <v>1213</v>
      </c>
      <c r="DG97" t="s">
        <v>3507</v>
      </c>
      <c r="DH97" t="s">
        <v>3457</v>
      </c>
    </row>
    <row r="98" spans="1:112" ht="13.05" customHeight="1" x14ac:dyDescent="0.3">
      <c r="B98" s="346" t="s">
        <v>176</v>
      </c>
      <c r="C98" s="4" t="s">
        <v>397</v>
      </c>
      <c r="D98" s="4"/>
      <c r="E98" s="4"/>
      <c r="F98" s="346" t="s">
        <v>259</v>
      </c>
      <c r="G98" s="347">
        <v>96</v>
      </c>
      <c r="H98" s="4" t="s">
        <v>119</v>
      </c>
      <c r="I98" s="348">
        <v>240</v>
      </c>
      <c r="J98" s="345">
        <v>3</v>
      </c>
      <c r="AT98" s="2" t="s">
        <v>288</v>
      </c>
      <c r="AU98" s="2" t="s">
        <v>288</v>
      </c>
      <c r="AV98" s="2" t="s">
        <v>1839</v>
      </c>
      <c r="AW98" s="2" t="s">
        <v>1839</v>
      </c>
      <c r="AX98" s="2" t="s">
        <v>1773</v>
      </c>
      <c r="CG98" s="2" t="s">
        <v>297</v>
      </c>
      <c r="CH98" s="2" t="s">
        <v>1845</v>
      </c>
      <c r="CI98" s="2" t="s">
        <v>3326</v>
      </c>
      <c r="CJ98" s="2" t="s">
        <v>1866</v>
      </c>
      <c r="CK98" s="2" t="s">
        <v>3351</v>
      </c>
      <c r="CL98" s="2" t="s">
        <v>3545</v>
      </c>
      <c r="CM98" s="39">
        <v>2</v>
      </c>
      <c r="CN98" s="2" t="str">
        <f t="shared" si="7"/>
        <v>TADigital NA Consulting | Content &amp; SEO - Associate Web Content Analyst</v>
      </c>
      <c r="CO98" s="2" t="str">
        <f t="shared" si="8"/>
        <v>TADigital India Consulting | Cloud &amp; Engineering - L2 / B1-B3 | Associate Engineer</v>
      </c>
      <c r="CP98" s="1579">
        <v>0</v>
      </c>
      <c r="CQ98" s="1579">
        <v>0</v>
      </c>
      <c r="CR98" s="1579">
        <v>35</v>
      </c>
      <c r="CS98" s="1579">
        <f t="shared" si="9"/>
        <v>10.66</v>
      </c>
      <c r="CT98" s="1579">
        <v>13</v>
      </c>
      <c r="CU98" s="2">
        <f t="shared" si="10"/>
        <v>13</v>
      </c>
      <c r="CV98" s="2" t="str">
        <f t="shared" si="6"/>
        <v>Content &amp; SEO - Associate Web Content Analyst</v>
      </c>
      <c r="CW98" s="2" t="str">
        <f>_xlfn.XLOOKUP(CL98,'[1]Rates &amp; Drop Downs INT'!D$373:D$430,'[1]Rates &amp; Drop Downs INT'!C$373:C$430,"X",1)</f>
        <v>Cloud &amp; Engineering - 2 | Associate Engineer</v>
      </c>
      <c r="DF98" t="s">
        <v>336</v>
      </c>
      <c r="DG98" t="s">
        <v>3508</v>
      </c>
      <c r="DH98" t="s">
        <v>3458</v>
      </c>
    </row>
    <row r="99" spans="1:112" ht="13.05" customHeight="1" x14ac:dyDescent="0.3">
      <c r="B99" s="346" t="s">
        <v>176</v>
      </c>
      <c r="C99" s="346" t="s">
        <v>426</v>
      </c>
      <c r="D99" s="346"/>
      <c r="E99" s="346"/>
      <c r="F99" s="346" t="s">
        <v>1745</v>
      </c>
      <c r="G99" s="347">
        <v>128</v>
      </c>
      <c r="H99" s="346" t="s">
        <v>119</v>
      </c>
      <c r="I99" s="348">
        <v>300</v>
      </c>
      <c r="J99" s="353">
        <v>4</v>
      </c>
      <c r="AT99" s="2" t="s">
        <v>288</v>
      </c>
      <c r="AU99" s="2" t="s">
        <v>288</v>
      </c>
      <c r="AV99" s="2" t="s">
        <v>1839</v>
      </c>
      <c r="AW99" s="2" t="s">
        <v>1839</v>
      </c>
      <c r="AX99" s="2" t="s">
        <v>1774</v>
      </c>
      <c r="CG99" s="2" t="s">
        <v>297</v>
      </c>
      <c r="CH99" s="2" t="s">
        <v>1845</v>
      </c>
      <c r="CI99" s="2" t="s">
        <v>3326</v>
      </c>
      <c r="CJ99" s="2" t="s">
        <v>1866</v>
      </c>
      <c r="CK99" s="2" t="s">
        <v>720</v>
      </c>
      <c r="CL99" s="2" t="s">
        <v>3546</v>
      </c>
      <c r="CM99" s="39">
        <v>5</v>
      </c>
      <c r="CN99" s="2" t="str">
        <f t="shared" si="7"/>
        <v>TADigital NA | Management - Associate Practice Director</v>
      </c>
      <c r="CO99" s="2" t="str">
        <f t="shared" si="8"/>
        <v>TADigital India Consulting | Cloud &amp; Engineering - L2 / B1-B3 | Associate Engineer</v>
      </c>
      <c r="CP99" s="1579">
        <v>290</v>
      </c>
      <c r="CQ99" s="1579">
        <v>140</v>
      </c>
      <c r="CR99" s="1579">
        <v>105</v>
      </c>
      <c r="CS99" s="1579">
        <f t="shared" si="9"/>
        <v>45.1</v>
      </c>
      <c r="CT99" s="1579">
        <v>55</v>
      </c>
      <c r="CU99" s="2">
        <f t="shared" si="10"/>
        <v>13</v>
      </c>
      <c r="CV99" s="2" t="str">
        <f t="shared" si="6"/>
        <v>Management - Associate Practice Director</v>
      </c>
      <c r="CW99" s="2" t="str">
        <f>_xlfn.XLOOKUP(CL99,'[1]Rates &amp; Drop Downs INT'!D$373:D$430,'[1]Rates &amp; Drop Downs INT'!C$373:C$430,"X",1)</f>
        <v>Cloud &amp; Engineering - 2 | Associate Engineer</v>
      </c>
      <c r="DF99" t="s">
        <v>3329</v>
      </c>
      <c r="DG99" t="s">
        <v>3509</v>
      </c>
      <c r="DH99" t="s">
        <v>3459</v>
      </c>
    </row>
    <row r="100" spans="1:112" ht="13.05" customHeight="1" x14ac:dyDescent="0.3">
      <c r="B100" s="346" t="s">
        <v>176</v>
      </c>
      <c r="C100" s="346" t="s">
        <v>426</v>
      </c>
      <c r="D100" s="346"/>
      <c r="E100" s="346"/>
      <c r="F100" s="346" t="s">
        <v>1744</v>
      </c>
      <c r="G100" s="347">
        <v>172</v>
      </c>
      <c r="H100" s="346" t="s">
        <v>119</v>
      </c>
      <c r="I100" s="348">
        <v>350</v>
      </c>
      <c r="J100" s="345">
        <v>5</v>
      </c>
      <c r="AT100" s="2" t="s">
        <v>288</v>
      </c>
      <c r="AU100" s="2" t="s">
        <v>288</v>
      </c>
      <c r="AV100" s="2" t="s">
        <v>1839</v>
      </c>
      <c r="AW100" s="2" t="s">
        <v>1839</v>
      </c>
      <c r="AX100" s="2" t="s">
        <v>1775</v>
      </c>
      <c r="CG100" s="2" t="s">
        <v>297</v>
      </c>
      <c r="CH100" s="2" t="s">
        <v>1845</v>
      </c>
      <c r="CI100" s="2" t="s">
        <v>3326</v>
      </c>
      <c r="CJ100" s="2" t="s">
        <v>1866</v>
      </c>
      <c r="CK100" s="2" t="s">
        <v>532</v>
      </c>
      <c r="CL100" s="2" t="s">
        <v>3547</v>
      </c>
      <c r="CM100" s="39">
        <v>2</v>
      </c>
      <c r="CN100" s="2" t="str">
        <f t="shared" si="7"/>
        <v>TADigital NA Consulting | Content &amp; SEO - Associate Content Strategist</v>
      </c>
      <c r="CO100" s="2" t="str">
        <f t="shared" si="8"/>
        <v>TADigital India Consulting | Cloud &amp; Engineering - L2 / B1-B3 | Associate Engineer</v>
      </c>
      <c r="CP100" s="1579">
        <v>160</v>
      </c>
      <c r="CQ100" s="1579">
        <v>80</v>
      </c>
      <c r="CR100" s="1579">
        <v>55</v>
      </c>
      <c r="CS100" s="1579">
        <f t="shared" si="9"/>
        <v>14.760000000000002</v>
      </c>
      <c r="CT100" s="1579">
        <v>18</v>
      </c>
      <c r="CU100" s="2">
        <f t="shared" si="10"/>
        <v>13</v>
      </c>
      <c r="CV100" s="2" t="str">
        <f t="shared" si="6"/>
        <v>Content &amp; SEO - Associate Content Strategist</v>
      </c>
      <c r="CW100" s="2" t="str">
        <f>_xlfn.XLOOKUP(CL100,'[1]Rates &amp; Drop Downs INT'!D$373:D$430,'[1]Rates &amp; Drop Downs INT'!C$373:C$430,"X",1)</f>
        <v>Cloud &amp; Engineering - 2 | Associate Engineer</v>
      </c>
      <c r="DF100" t="s">
        <v>3329</v>
      </c>
      <c r="DG100" t="s">
        <v>3509</v>
      </c>
      <c r="DH100" t="s">
        <v>3460</v>
      </c>
    </row>
    <row r="101" spans="1:112" ht="13.05" customHeight="1" x14ac:dyDescent="0.3">
      <c r="B101" s="346" t="s">
        <v>176</v>
      </c>
      <c r="C101" s="346" t="s">
        <v>426</v>
      </c>
      <c r="D101" s="346"/>
      <c r="E101" s="346"/>
      <c r="F101" s="4" t="s">
        <v>1742</v>
      </c>
      <c r="G101" s="343">
        <v>257</v>
      </c>
      <c r="H101" s="346" t="s">
        <v>119</v>
      </c>
      <c r="I101" s="343">
        <v>390</v>
      </c>
      <c r="J101" s="345">
        <v>6</v>
      </c>
      <c r="AT101" s="2" t="s">
        <v>288</v>
      </c>
      <c r="AU101" s="2" t="s">
        <v>288</v>
      </c>
      <c r="AV101" s="2" t="s">
        <v>1839</v>
      </c>
      <c r="AW101" s="2" t="s">
        <v>1839</v>
      </c>
      <c r="AX101" s="2" t="s">
        <v>1776</v>
      </c>
      <c r="CG101" s="2" t="s">
        <v>297</v>
      </c>
      <c r="CH101" s="2" t="s">
        <v>1845</v>
      </c>
      <c r="CI101" s="2" t="s">
        <v>3326</v>
      </c>
      <c r="CJ101" s="2" t="s">
        <v>1866</v>
      </c>
      <c r="CK101" s="2" t="s">
        <v>542</v>
      </c>
      <c r="CL101" s="2" t="s">
        <v>3548</v>
      </c>
      <c r="CM101" s="39">
        <v>5</v>
      </c>
      <c r="CN101" s="2" t="str">
        <f t="shared" si="7"/>
        <v>TADigital NA | Management - Associate Practice Director</v>
      </c>
      <c r="CO101" s="2" t="str">
        <f t="shared" si="8"/>
        <v>TADigital India Consulting | Cloud &amp; Engineering - L2 / B1-B3 | Associate Engineer</v>
      </c>
      <c r="CP101" s="1579">
        <v>290</v>
      </c>
      <c r="CQ101" s="1579">
        <v>167.5</v>
      </c>
      <c r="CR101" s="1579">
        <v>125</v>
      </c>
      <c r="CS101" s="1579">
        <f t="shared" si="9"/>
        <v>51.250000000000007</v>
      </c>
      <c r="CT101" s="1579">
        <v>62.5</v>
      </c>
      <c r="CU101" s="2">
        <f t="shared" si="10"/>
        <v>13</v>
      </c>
      <c r="CV101" s="2" t="str">
        <f t="shared" si="6"/>
        <v>Management - Associate Practice Director</v>
      </c>
      <c r="CW101" s="2" t="str">
        <f>_xlfn.XLOOKUP(CL101,'[1]Rates &amp; Drop Downs INT'!D$373:D$430,'[1]Rates &amp; Drop Downs INT'!C$373:C$430,"X",1)</f>
        <v>Cloud &amp; Engineering - 2 | Associate Engineer</v>
      </c>
      <c r="DF101" t="s">
        <v>1174</v>
      </c>
      <c r="DG101" t="s">
        <v>3510</v>
      </c>
      <c r="DH101" t="s">
        <v>3461</v>
      </c>
    </row>
    <row r="102" spans="1:112" ht="13.05" customHeight="1" x14ac:dyDescent="0.3">
      <c r="B102" s="4" t="s">
        <v>176</v>
      </c>
      <c r="C102" s="4" t="s">
        <v>419</v>
      </c>
      <c r="D102" s="4"/>
      <c r="E102" s="4"/>
      <c r="F102" s="4" t="s">
        <v>420</v>
      </c>
      <c r="G102" s="343">
        <v>257</v>
      </c>
      <c r="H102" s="4" t="s">
        <v>119</v>
      </c>
      <c r="I102" s="343">
        <v>390</v>
      </c>
      <c r="J102" s="345">
        <v>6</v>
      </c>
      <c r="AT102" s="2" t="s">
        <v>288</v>
      </c>
      <c r="AU102" s="2" t="s">
        <v>288</v>
      </c>
      <c r="AV102" s="2" t="s">
        <v>1840</v>
      </c>
      <c r="AW102" s="2" t="s">
        <v>1840</v>
      </c>
      <c r="AX102" s="2" t="s">
        <v>1777</v>
      </c>
      <c r="CG102" s="2" t="s">
        <v>297</v>
      </c>
      <c r="CH102" s="2" t="s">
        <v>1845</v>
      </c>
      <c r="CI102" s="2" t="s">
        <v>3326</v>
      </c>
      <c r="CJ102" s="2" t="s">
        <v>1866</v>
      </c>
      <c r="CK102" s="2" t="s">
        <v>3352</v>
      </c>
      <c r="CL102" s="2" t="s">
        <v>3549</v>
      </c>
      <c r="CM102" s="39">
        <v>5</v>
      </c>
      <c r="CN102" s="2" t="str">
        <f t="shared" si="7"/>
        <v>TADigital NA | Management - Practice Director / Delivery Director</v>
      </c>
      <c r="CO102" s="2" t="str">
        <f t="shared" si="8"/>
        <v>TADigital India Consulting | Cloud &amp; Engineering - L2 / B1-B3 | Associate Engineer</v>
      </c>
      <c r="CP102" s="1579">
        <v>315</v>
      </c>
      <c r="CQ102" s="1579">
        <v>165</v>
      </c>
      <c r="CR102" s="1579">
        <v>115</v>
      </c>
      <c r="CS102" s="1579">
        <f t="shared" si="9"/>
        <v>45.1</v>
      </c>
      <c r="CT102" s="1579">
        <v>55</v>
      </c>
      <c r="CU102" s="2">
        <f t="shared" si="10"/>
        <v>13</v>
      </c>
      <c r="CV102" s="2" t="str">
        <f t="shared" si="6"/>
        <v>Management - Practice Director / Delivery Director</v>
      </c>
      <c r="CW102" s="2" t="str">
        <f>_xlfn.XLOOKUP(CL102,'[1]Rates &amp; Drop Downs INT'!D$373:D$430,'[1]Rates &amp; Drop Downs INT'!C$373:C$430,"X",1)</f>
        <v>Cloud &amp; Engineering - 2 | Associate Engineer</v>
      </c>
      <c r="DF102" t="s">
        <v>1174</v>
      </c>
      <c r="DG102" t="s">
        <v>3510</v>
      </c>
      <c r="DH102" t="s">
        <v>3462</v>
      </c>
    </row>
    <row r="103" spans="1:112" ht="13.05" customHeight="1" x14ac:dyDescent="0.3">
      <c r="B103" s="4" t="s">
        <v>176</v>
      </c>
      <c r="C103" s="346" t="s">
        <v>339</v>
      </c>
      <c r="D103" s="346"/>
      <c r="E103" s="346"/>
      <c r="F103" s="4" t="s">
        <v>271</v>
      </c>
      <c r="G103" s="343">
        <v>77</v>
      </c>
      <c r="H103" s="4" t="s">
        <v>119</v>
      </c>
      <c r="I103" s="344">
        <v>200</v>
      </c>
      <c r="J103" s="351">
        <v>2</v>
      </c>
      <c r="AT103" s="2" t="s">
        <v>288</v>
      </c>
      <c r="AU103" s="2" t="s">
        <v>288</v>
      </c>
      <c r="AV103" s="2" t="s">
        <v>1840</v>
      </c>
      <c r="AW103" s="2" t="s">
        <v>1840</v>
      </c>
      <c r="AX103" s="2" t="s">
        <v>1779</v>
      </c>
      <c r="CG103" s="2" t="s">
        <v>297</v>
      </c>
      <c r="CH103" s="2" t="s">
        <v>1845</v>
      </c>
      <c r="CI103" s="2" t="s">
        <v>3326</v>
      </c>
      <c r="CJ103" s="2" t="s">
        <v>1866</v>
      </c>
      <c r="CK103" s="2" t="s">
        <v>446</v>
      </c>
      <c r="CL103" s="2" t="s">
        <v>3546</v>
      </c>
      <c r="CM103" s="39">
        <v>4</v>
      </c>
      <c r="CN103" s="2" t="str">
        <f t="shared" si="7"/>
        <v>TADigital NA Consulting - Sr. Project Manager</v>
      </c>
      <c r="CO103" s="2" t="str">
        <f t="shared" si="8"/>
        <v>TADigital India Consulting | Cloud &amp; Engineering - L2 / B1-B3 | Associate Engineer</v>
      </c>
      <c r="CP103" s="1579">
        <v>235</v>
      </c>
      <c r="CQ103" s="1579">
        <v>130</v>
      </c>
      <c r="CR103" s="1579">
        <v>80</v>
      </c>
      <c r="CS103" s="1579">
        <f t="shared" si="9"/>
        <v>38.950000000000003</v>
      </c>
      <c r="CT103" s="1579">
        <v>47.5</v>
      </c>
      <c r="CU103" s="2">
        <f t="shared" si="10"/>
        <v>13</v>
      </c>
      <c r="CV103" s="2" t="str">
        <f t="shared" si="6"/>
        <v>Sr. Project Manager</v>
      </c>
      <c r="CW103" s="2" t="str">
        <f>_xlfn.XLOOKUP(CL103,'[1]Rates &amp; Drop Downs INT'!D$373:D$430,'[1]Rates &amp; Drop Downs INT'!C$373:C$430,"X",1)</f>
        <v>Cloud &amp; Engineering - 2 | Associate Engineer</v>
      </c>
      <c r="DF103" t="s">
        <v>1223</v>
      </c>
      <c r="DG103" t="s">
        <v>3511</v>
      </c>
      <c r="DH103" t="s">
        <v>1223</v>
      </c>
    </row>
    <row r="104" spans="1:112" ht="13.05" customHeight="1" x14ac:dyDescent="0.3">
      <c r="B104" s="4" t="s">
        <v>176</v>
      </c>
      <c r="C104" s="346" t="s">
        <v>339</v>
      </c>
      <c r="D104" s="346"/>
      <c r="E104" s="346"/>
      <c r="F104" s="346" t="s">
        <v>259</v>
      </c>
      <c r="G104" s="347">
        <v>96</v>
      </c>
      <c r="H104" s="346" t="s">
        <v>119</v>
      </c>
      <c r="I104" s="348">
        <v>240</v>
      </c>
      <c r="J104" s="349">
        <v>3</v>
      </c>
      <c r="AT104" s="2" t="s">
        <v>288</v>
      </c>
      <c r="AU104" s="2" t="s">
        <v>288</v>
      </c>
      <c r="AV104" s="2" t="s">
        <v>1840</v>
      </c>
      <c r="AW104" s="2" t="s">
        <v>1840</v>
      </c>
      <c r="AX104" s="2" t="s">
        <v>1780</v>
      </c>
      <c r="CG104" s="2" t="s">
        <v>297</v>
      </c>
      <c r="CH104" s="2" t="s">
        <v>1845</v>
      </c>
      <c r="CI104" s="2" t="s">
        <v>3326</v>
      </c>
      <c r="CJ104" s="2" t="s">
        <v>1866</v>
      </c>
      <c r="CK104" s="2" t="s">
        <v>3353</v>
      </c>
      <c r="CL104" s="2" t="s">
        <v>3549</v>
      </c>
      <c r="CM104" s="39">
        <v>6</v>
      </c>
      <c r="CN104" s="2" t="str">
        <f t="shared" si="7"/>
        <v>TADigital NA | Management - Practice VP / Delivery VP</v>
      </c>
      <c r="CO104" s="2" t="str">
        <f t="shared" si="8"/>
        <v>TADigital India Consulting | Cloud &amp; Engineering - L2 / B1-B3 | Associate Engineer</v>
      </c>
      <c r="CP104" s="1579">
        <v>370</v>
      </c>
      <c r="CQ104" s="1579">
        <v>172.5</v>
      </c>
      <c r="CR104" s="1579">
        <v>135</v>
      </c>
      <c r="CS104" s="1579">
        <f t="shared" si="9"/>
        <v>51.250000000000007</v>
      </c>
      <c r="CT104" s="1579">
        <v>62.5</v>
      </c>
      <c r="CU104" s="2">
        <f t="shared" si="10"/>
        <v>13</v>
      </c>
      <c r="CV104" s="2" t="str">
        <f t="shared" si="6"/>
        <v>Management - Practice VP / Delivery VP</v>
      </c>
      <c r="CW104" s="2" t="str">
        <f>_xlfn.XLOOKUP(CL104,'[1]Rates &amp; Drop Downs INT'!D$373:D$430,'[1]Rates &amp; Drop Downs INT'!C$373:C$430,"X",1)</f>
        <v>Cloud &amp; Engineering - 2 | Associate Engineer</v>
      </c>
      <c r="DF104" t="s">
        <v>3330</v>
      </c>
      <c r="DG104" t="s">
        <v>3512</v>
      </c>
      <c r="DH104" t="s">
        <v>3463</v>
      </c>
    </row>
    <row r="105" spans="1:112" ht="13.05" customHeight="1" x14ac:dyDescent="0.3">
      <c r="B105" s="4" t="s">
        <v>176</v>
      </c>
      <c r="C105" s="346" t="s">
        <v>339</v>
      </c>
      <c r="D105" s="346"/>
      <c r="E105" s="346"/>
      <c r="F105" s="4" t="s">
        <v>353</v>
      </c>
      <c r="G105" s="343">
        <v>128</v>
      </c>
      <c r="H105" s="346" t="s">
        <v>119</v>
      </c>
      <c r="I105" s="344">
        <v>300</v>
      </c>
      <c r="J105" s="351">
        <v>4</v>
      </c>
      <c r="AT105" s="2" t="s">
        <v>288</v>
      </c>
      <c r="AU105" s="2" t="s">
        <v>288</v>
      </c>
      <c r="AV105" s="2" t="s">
        <v>1840</v>
      </c>
      <c r="AW105" s="2" t="s">
        <v>1840</v>
      </c>
      <c r="AX105" s="2" t="s">
        <v>1749</v>
      </c>
      <c r="CG105" s="2" t="s">
        <v>297</v>
      </c>
      <c r="CH105" s="2" t="s">
        <v>1845</v>
      </c>
      <c r="CI105" s="2" t="s">
        <v>3326</v>
      </c>
      <c r="CJ105" s="2" t="s">
        <v>1866</v>
      </c>
      <c r="CK105" s="2" t="s">
        <v>534</v>
      </c>
      <c r="CL105" s="2" t="s">
        <v>3550</v>
      </c>
      <c r="CM105" s="39">
        <v>2</v>
      </c>
      <c r="CN105" s="2" t="str">
        <f t="shared" si="7"/>
        <v>TADigital NA Consulting | Content &amp; SEO - Content Strategist</v>
      </c>
      <c r="CO105" s="2" t="str">
        <f t="shared" si="8"/>
        <v>TADigital India Consulting | Cloud &amp; Engineering - L2 / B1-B3 | Associate Engineer</v>
      </c>
      <c r="CP105" s="1579">
        <v>170</v>
      </c>
      <c r="CQ105" s="1579">
        <v>82.5</v>
      </c>
      <c r="CR105" s="1579">
        <v>65</v>
      </c>
      <c r="CS105" s="1579">
        <f t="shared" si="9"/>
        <v>18.450000000000003</v>
      </c>
      <c r="CT105" s="1579">
        <v>22.5</v>
      </c>
      <c r="CU105" s="2">
        <f t="shared" si="10"/>
        <v>13</v>
      </c>
      <c r="CV105" s="2" t="str">
        <f t="shared" si="6"/>
        <v>Content &amp; SEO - Content Strategist</v>
      </c>
      <c r="CW105" s="2" t="str">
        <f>_xlfn.XLOOKUP(CL105,'[1]Rates &amp; Drop Downs INT'!D$373:D$430,'[1]Rates &amp; Drop Downs INT'!C$373:C$430,"X",1)</f>
        <v>Cloud &amp; Engineering - 2 | Associate Engineer</v>
      </c>
      <c r="DF105" t="s">
        <v>3330</v>
      </c>
      <c r="DG105" t="s">
        <v>3512</v>
      </c>
      <c r="DH105" t="s">
        <v>3464</v>
      </c>
    </row>
    <row r="106" spans="1:112" ht="13.05" customHeight="1" x14ac:dyDescent="0.3">
      <c r="B106" s="4" t="s">
        <v>176</v>
      </c>
      <c r="C106" s="4" t="s">
        <v>355</v>
      </c>
      <c r="D106" s="4"/>
      <c r="E106" s="4"/>
      <c r="F106" s="4" t="s">
        <v>353</v>
      </c>
      <c r="G106" s="343">
        <v>128</v>
      </c>
      <c r="H106" s="4" t="s">
        <v>119</v>
      </c>
      <c r="I106" s="344">
        <v>300</v>
      </c>
      <c r="J106" s="345">
        <v>4</v>
      </c>
      <c r="AT106" s="2" t="s">
        <v>288</v>
      </c>
      <c r="AU106" s="2" t="s">
        <v>288</v>
      </c>
      <c r="AV106" s="2" t="s">
        <v>1841</v>
      </c>
      <c r="AW106" s="2" t="s">
        <v>1841</v>
      </c>
      <c r="AX106" s="2" t="s">
        <v>1818</v>
      </c>
      <c r="CG106" s="2" t="s">
        <v>297</v>
      </c>
      <c r="CH106" s="2" t="s">
        <v>1845</v>
      </c>
      <c r="CI106" s="2" t="s">
        <v>3326</v>
      </c>
      <c r="CJ106" s="2" t="s">
        <v>1866</v>
      </c>
      <c r="CK106" s="2" t="s">
        <v>3354</v>
      </c>
      <c r="CL106" s="2" t="s">
        <v>3549</v>
      </c>
      <c r="CM106" s="39">
        <v>5</v>
      </c>
      <c r="CN106" s="2" t="str">
        <f t="shared" si="7"/>
        <v>TADigital NA | Management - Sr. Practice Director / Sr. Delivery Director</v>
      </c>
      <c r="CO106" s="2" t="str">
        <f t="shared" si="8"/>
        <v>TADigital India Consulting | Cloud &amp; Engineering - L2 / B1-B3 | Associate Engineer</v>
      </c>
      <c r="CP106" s="1579">
        <v>340</v>
      </c>
      <c r="CQ106" s="1579">
        <v>170</v>
      </c>
      <c r="CR106" s="1579">
        <v>125</v>
      </c>
      <c r="CS106" s="1579">
        <f t="shared" si="9"/>
        <v>49.2</v>
      </c>
      <c r="CT106" s="1579">
        <v>60</v>
      </c>
      <c r="CU106" s="2">
        <f t="shared" si="10"/>
        <v>13</v>
      </c>
      <c r="CV106" s="2" t="str">
        <f t="shared" si="6"/>
        <v>Management - Sr. Practice Director / Sr. Delivery Director</v>
      </c>
      <c r="CW106" s="2" t="str">
        <f>_xlfn.XLOOKUP(CL106,'[1]Rates &amp; Drop Downs INT'!D$373:D$430,'[1]Rates &amp; Drop Downs INT'!C$373:C$430,"X",1)</f>
        <v>Cloud &amp; Engineering - 2 | Associate Engineer</v>
      </c>
      <c r="DF106" t="s">
        <v>3331</v>
      </c>
      <c r="DG106" t="s">
        <v>3513</v>
      </c>
      <c r="DH106" t="s">
        <v>1818</v>
      </c>
    </row>
    <row r="107" spans="1:112" ht="13.05" customHeight="1" x14ac:dyDescent="0.3">
      <c r="B107" s="4" t="s">
        <v>176</v>
      </c>
      <c r="C107" s="4" t="s">
        <v>355</v>
      </c>
      <c r="D107" s="4"/>
      <c r="E107" s="4"/>
      <c r="F107" s="346" t="s">
        <v>346</v>
      </c>
      <c r="G107" s="347">
        <v>172</v>
      </c>
      <c r="H107" s="4" t="s">
        <v>119</v>
      </c>
      <c r="I107" s="348">
        <v>350</v>
      </c>
      <c r="J107" s="345">
        <v>5</v>
      </c>
      <c r="AT107" s="2" t="s">
        <v>288</v>
      </c>
      <c r="AU107" s="2" t="s">
        <v>288</v>
      </c>
      <c r="AV107" s="2" t="s">
        <v>1841</v>
      </c>
      <c r="AW107" s="2" t="s">
        <v>1841</v>
      </c>
      <c r="AX107" s="2" t="s">
        <v>1823</v>
      </c>
      <c r="CG107" s="2" t="s">
        <v>297</v>
      </c>
      <c r="CH107" s="2" t="s">
        <v>1845</v>
      </c>
      <c r="CI107" s="2" t="s">
        <v>3326</v>
      </c>
      <c r="CJ107" s="2" t="s">
        <v>1866</v>
      </c>
      <c r="CK107" s="2" t="s">
        <v>448</v>
      </c>
      <c r="CL107" s="2" t="s">
        <v>3546</v>
      </c>
      <c r="CM107" s="39">
        <v>5</v>
      </c>
      <c r="CN107" s="2" t="str">
        <f t="shared" si="7"/>
        <v>TADigital NA Consulting - Delivery Manager</v>
      </c>
      <c r="CO107" s="2" t="str">
        <f t="shared" si="8"/>
        <v>TADigital India Consulting | Cloud &amp; Engineering - L2 / B1-B3 | Associate Engineer</v>
      </c>
      <c r="CP107" s="1579">
        <v>265</v>
      </c>
      <c r="CQ107" s="1579">
        <v>137.5</v>
      </c>
      <c r="CR107" s="1579">
        <v>90</v>
      </c>
      <c r="CS107" s="1579">
        <f t="shared" si="9"/>
        <v>38.950000000000003</v>
      </c>
      <c r="CT107" s="1579">
        <v>47.5</v>
      </c>
      <c r="CU107" s="2">
        <f t="shared" si="10"/>
        <v>13</v>
      </c>
      <c r="CV107" s="2" t="str">
        <f t="shared" si="6"/>
        <v>Delivery Manager</v>
      </c>
      <c r="CW107" s="2" t="str">
        <f>_xlfn.XLOOKUP(CL107,'[1]Rates &amp; Drop Downs INT'!D$373:D$430,'[1]Rates &amp; Drop Downs INT'!C$373:C$430,"X",1)</f>
        <v>Cloud &amp; Engineering - 2 | Associate Engineer</v>
      </c>
      <c r="DF107" t="s">
        <v>3331</v>
      </c>
      <c r="DG107" t="s">
        <v>3513</v>
      </c>
      <c r="DH107" t="s">
        <v>1823</v>
      </c>
    </row>
    <row r="108" spans="1:112" ht="13.05" customHeight="1" x14ac:dyDescent="0.3">
      <c r="B108" s="4" t="s">
        <v>176</v>
      </c>
      <c r="C108" s="4" t="s">
        <v>341</v>
      </c>
      <c r="D108" s="4"/>
      <c r="E108" s="4"/>
      <c r="F108" s="4" t="s">
        <v>271</v>
      </c>
      <c r="G108" s="343">
        <v>77</v>
      </c>
      <c r="H108" s="4" t="s">
        <v>119</v>
      </c>
      <c r="I108" s="344">
        <v>200</v>
      </c>
      <c r="J108" s="351">
        <v>2</v>
      </c>
      <c r="AT108" s="2" t="s">
        <v>288</v>
      </c>
      <c r="AU108" s="2" t="s">
        <v>288</v>
      </c>
      <c r="AV108" s="2" t="s">
        <v>1841</v>
      </c>
      <c r="AW108" s="2" t="s">
        <v>1841</v>
      </c>
      <c r="AX108" s="2" t="s">
        <v>1824</v>
      </c>
      <c r="CG108" s="2" t="s">
        <v>297</v>
      </c>
      <c r="CH108" s="2" t="s">
        <v>1845</v>
      </c>
      <c r="CI108" s="2" t="s">
        <v>3326</v>
      </c>
      <c r="CJ108" s="2" t="s">
        <v>1866</v>
      </c>
      <c r="CK108" s="2" t="s">
        <v>540</v>
      </c>
      <c r="CL108" s="2" t="s">
        <v>538</v>
      </c>
      <c r="CM108" s="39">
        <v>5</v>
      </c>
      <c r="CN108" s="2" t="str">
        <f t="shared" si="7"/>
        <v>TADigital NA Digital - Sr. Technical Architect</v>
      </c>
      <c r="CO108" s="2" t="str">
        <f t="shared" si="8"/>
        <v>TADigital India Consulting | Cloud &amp; Engineering - L2 / B1-B3 | Associate Engineer</v>
      </c>
      <c r="CP108" s="1579">
        <v>275</v>
      </c>
      <c r="CQ108" s="1579">
        <v>155</v>
      </c>
      <c r="CR108" s="1579">
        <v>105</v>
      </c>
      <c r="CS108" s="1579">
        <f t="shared" si="9"/>
        <v>36.900000000000006</v>
      </c>
      <c r="CT108" s="1579">
        <v>45</v>
      </c>
      <c r="CU108" s="2">
        <f t="shared" si="10"/>
        <v>13</v>
      </c>
      <c r="CV108" s="2" t="str">
        <f t="shared" si="6"/>
        <v>Sr. Technical Architect</v>
      </c>
      <c r="CW108" s="2" t="str">
        <f>_xlfn.XLOOKUP(CL108,'[1]Rates &amp; Drop Downs INT'!D$373:D$430,'[1]Rates &amp; Drop Downs INT'!C$373:C$430,"X",1)</f>
        <v>Cloud &amp; Engineering - 2 | Associate Engineer</v>
      </c>
      <c r="DF108" t="s">
        <v>3331</v>
      </c>
      <c r="DG108" t="s">
        <v>3513</v>
      </c>
      <c r="DH108" t="s">
        <v>1824</v>
      </c>
    </row>
    <row r="109" spans="1:112" ht="13.05" customHeight="1" x14ac:dyDescent="0.3">
      <c r="B109" s="4" t="s">
        <v>176</v>
      </c>
      <c r="C109" s="4" t="s">
        <v>341</v>
      </c>
      <c r="D109" s="4"/>
      <c r="E109" s="4"/>
      <c r="F109" s="4" t="s">
        <v>259</v>
      </c>
      <c r="G109" s="343">
        <v>96</v>
      </c>
      <c r="H109" s="4" t="s">
        <v>119</v>
      </c>
      <c r="I109" s="344">
        <v>240</v>
      </c>
      <c r="J109" s="352">
        <v>3</v>
      </c>
      <c r="AT109" s="2" t="s">
        <v>288</v>
      </c>
      <c r="AU109" s="2" t="s">
        <v>288</v>
      </c>
      <c r="AV109" s="2" t="s">
        <v>1841</v>
      </c>
      <c r="AW109" s="2" t="s">
        <v>1841</v>
      </c>
      <c r="AX109" s="2" t="s">
        <v>1819</v>
      </c>
      <c r="CG109" s="2" t="s">
        <v>297</v>
      </c>
      <c r="CH109" s="2" t="s">
        <v>1845</v>
      </c>
      <c r="CI109" s="2" t="s">
        <v>3326</v>
      </c>
      <c r="CJ109" s="2" t="s">
        <v>1866</v>
      </c>
      <c r="CK109" s="2" t="s">
        <v>538</v>
      </c>
      <c r="CL109" s="2" t="s">
        <v>538</v>
      </c>
      <c r="CM109" s="39">
        <v>4</v>
      </c>
      <c r="CN109" s="2" t="str">
        <f t="shared" si="7"/>
        <v>TADigital NA Consulting - Sr. Project Manager</v>
      </c>
      <c r="CO109" s="2" t="str">
        <f t="shared" si="8"/>
        <v>TADigital India Consulting | Cloud &amp; Engineering - L2 / B1-B3 | Associate Engineer</v>
      </c>
      <c r="CP109" s="1579">
        <v>235</v>
      </c>
      <c r="CQ109" s="1579">
        <v>132.5</v>
      </c>
      <c r="CR109" s="1579">
        <v>95</v>
      </c>
      <c r="CS109" s="1579">
        <f t="shared" si="9"/>
        <v>32.800000000000004</v>
      </c>
      <c r="CT109" s="1579">
        <v>40</v>
      </c>
      <c r="CU109" s="2">
        <f t="shared" si="10"/>
        <v>13</v>
      </c>
      <c r="CV109" s="2" t="str">
        <f t="shared" si="6"/>
        <v>Sr. Project Manager</v>
      </c>
      <c r="CW109" s="2" t="str">
        <f>_xlfn.XLOOKUP(CL109,'[1]Rates &amp; Drop Downs INT'!D$373:D$430,'[1]Rates &amp; Drop Downs INT'!C$373:C$430,"X",1)</f>
        <v>Cloud &amp; Engineering - 2 | Associate Engineer</v>
      </c>
      <c r="DF109" t="s">
        <v>3331</v>
      </c>
      <c r="DG109" t="s">
        <v>3513</v>
      </c>
      <c r="DH109" t="s">
        <v>1819</v>
      </c>
    </row>
    <row r="110" spans="1:112" ht="13.05" customHeight="1" x14ac:dyDescent="0.3">
      <c r="A110" s="32"/>
      <c r="B110" s="4" t="s">
        <v>176</v>
      </c>
      <c r="C110" s="346" t="s">
        <v>371</v>
      </c>
      <c r="D110" s="346"/>
      <c r="E110" s="346"/>
      <c r="F110" s="4" t="s">
        <v>353</v>
      </c>
      <c r="G110" s="343">
        <v>128</v>
      </c>
      <c r="H110" s="4" t="s">
        <v>119</v>
      </c>
      <c r="I110" s="344">
        <v>300</v>
      </c>
      <c r="J110" s="345">
        <v>4</v>
      </c>
      <c r="AT110" s="2" t="s">
        <v>288</v>
      </c>
      <c r="AU110" s="2" t="s">
        <v>288</v>
      </c>
      <c r="AV110" s="2" t="s">
        <v>1841</v>
      </c>
      <c r="AW110" s="2" t="s">
        <v>1841</v>
      </c>
      <c r="AX110" s="2" t="s">
        <v>1820</v>
      </c>
      <c r="CG110" s="2" t="s">
        <v>297</v>
      </c>
      <c r="CH110" s="2" t="s">
        <v>1845</v>
      </c>
      <c r="CI110" s="2" t="s">
        <v>3326</v>
      </c>
      <c r="CJ110" s="2" t="s">
        <v>1866</v>
      </c>
      <c r="CK110" s="2" t="s">
        <v>536</v>
      </c>
      <c r="CL110" s="2" t="s">
        <v>536</v>
      </c>
      <c r="CM110" s="39">
        <v>3</v>
      </c>
      <c r="CN110" s="2" t="str">
        <f t="shared" si="7"/>
        <v>TADigital NA Digital - Technical Lead</v>
      </c>
      <c r="CO110" s="2" t="str">
        <f t="shared" si="8"/>
        <v>TADigital India Consulting | Cloud &amp; Engineering - L2 / B1-B3 | Associate Engineer</v>
      </c>
      <c r="CP110" s="1579">
        <v>185</v>
      </c>
      <c r="CQ110" s="1579">
        <v>90</v>
      </c>
      <c r="CR110" s="1579">
        <v>85</v>
      </c>
      <c r="CS110" s="1579">
        <f t="shared" si="9"/>
        <v>24.6</v>
      </c>
      <c r="CT110" s="1579">
        <v>30</v>
      </c>
      <c r="CU110" s="2">
        <f t="shared" si="10"/>
        <v>13</v>
      </c>
      <c r="CV110" s="2" t="str">
        <f t="shared" si="6"/>
        <v>Technical Lead</v>
      </c>
      <c r="CW110" s="2" t="str">
        <f>_xlfn.XLOOKUP(CL110,'[1]Rates &amp; Drop Downs INT'!D$373:D$430,'[1]Rates &amp; Drop Downs INT'!C$373:C$430,"X",1)</f>
        <v>Cloud &amp; Engineering - 2 | Associate Engineer</v>
      </c>
      <c r="DF110" t="s">
        <v>3331</v>
      </c>
      <c r="DG110" t="s">
        <v>3513</v>
      </c>
      <c r="DH110" t="s">
        <v>3465</v>
      </c>
    </row>
    <row r="111" spans="1:112" ht="13.05" customHeight="1" x14ac:dyDescent="0.3">
      <c r="A111" s="32"/>
      <c r="B111" s="4" t="s">
        <v>176</v>
      </c>
      <c r="C111" s="346" t="s">
        <v>371</v>
      </c>
      <c r="D111" s="346"/>
      <c r="E111" s="346"/>
      <c r="F111" s="346" t="s">
        <v>346</v>
      </c>
      <c r="G111" s="347">
        <v>172</v>
      </c>
      <c r="H111" s="4" t="s">
        <v>119</v>
      </c>
      <c r="I111" s="348">
        <v>350</v>
      </c>
      <c r="J111" s="353">
        <v>5</v>
      </c>
      <c r="AT111" s="2" t="s">
        <v>288</v>
      </c>
      <c r="AU111" s="2" t="s">
        <v>288</v>
      </c>
      <c r="AV111" s="2" t="s">
        <v>1841</v>
      </c>
      <c r="AW111" s="2" t="s">
        <v>1841</v>
      </c>
      <c r="AX111" s="2" t="s">
        <v>1837</v>
      </c>
      <c r="CG111" s="2" t="s">
        <v>297</v>
      </c>
      <c r="CH111" s="2" t="s">
        <v>1845</v>
      </c>
      <c r="CI111" s="2" t="s">
        <v>279</v>
      </c>
      <c r="CJ111" s="2" t="s">
        <v>1865</v>
      </c>
      <c r="CK111" s="2" t="s">
        <v>3351</v>
      </c>
      <c r="CL111" s="2" t="s">
        <v>3545</v>
      </c>
      <c r="CM111" s="39">
        <v>2</v>
      </c>
      <c r="CN111" s="2" t="str">
        <f t="shared" si="7"/>
        <v>TADigital NA Consulting | Content &amp; SEO - Associate Web Content Analyst</v>
      </c>
      <c r="CO111" s="2" t="str">
        <f t="shared" si="8"/>
        <v>TADigital India Consulting | Cloud &amp; Engineering - L2 / B1-B3 | Associate Engineer</v>
      </c>
      <c r="CP111" s="1579">
        <v>0</v>
      </c>
      <c r="CQ111" s="1579">
        <v>0</v>
      </c>
      <c r="CR111" s="1579">
        <v>35</v>
      </c>
      <c r="CS111" s="1579">
        <f t="shared" si="9"/>
        <v>10.66</v>
      </c>
      <c r="CT111" s="1579">
        <v>13</v>
      </c>
      <c r="CU111" s="2">
        <f t="shared" si="10"/>
        <v>13</v>
      </c>
      <c r="CV111" s="2" t="str">
        <f t="shared" si="6"/>
        <v>Content &amp; SEO - Associate Web Content Analyst</v>
      </c>
      <c r="CW111" s="2" t="str">
        <f>_xlfn.XLOOKUP(CL111,'[1]Rates &amp; Drop Downs INT'!D$373:D$430,'[1]Rates &amp; Drop Downs INT'!C$373:C$430,"X",1)</f>
        <v>Cloud &amp; Engineering - 2 | Associate Engineer</v>
      </c>
      <c r="DF111" t="s">
        <v>3331</v>
      </c>
      <c r="DG111" t="s">
        <v>3513</v>
      </c>
      <c r="DH111" t="s">
        <v>3466</v>
      </c>
    </row>
    <row r="112" spans="1:112" ht="13.05" customHeight="1" x14ac:dyDescent="0.3">
      <c r="A112" s="32"/>
      <c r="B112" s="4" t="s">
        <v>176</v>
      </c>
      <c r="C112" s="346" t="s">
        <v>371</v>
      </c>
      <c r="D112" s="346"/>
      <c r="E112" s="346"/>
      <c r="F112" s="4" t="s">
        <v>1742</v>
      </c>
      <c r="G112" s="343">
        <v>257</v>
      </c>
      <c r="H112" s="4" t="s">
        <v>119</v>
      </c>
      <c r="I112" s="344">
        <v>390</v>
      </c>
      <c r="J112" s="345">
        <v>6</v>
      </c>
      <c r="AT112" s="2" t="s">
        <v>297</v>
      </c>
      <c r="AU112" s="2" t="s">
        <v>1845</v>
      </c>
      <c r="AV112" s="2" t="s">
        <v>1844</v>
      </c>
      <c r="AW112" s="2" t="s">
        <v>1865</v>
      </c>
      <c r="AX112" s="2" t="s">
        <v>1842</v>
      </c>
      <c r="CG112" s="2" t="s">
        <v>297</v>
      </c>
      <c r="CH112" s="2" t="s">
        <v>1845</v>
      </c>
      <c r="CI112" s="2" t="s">
        <v>279</v>
      </c>
      <c r="CJ112" s="2" t="s">
        <v>1865</v>
      </c>
      <c r="CK112" s="2" t="s">
        <v>720</v>
      </c>
      <c r="CL112" s="2" t="s">
        <v>3546</v>
      </c>
      <c r="CM112" s="39">
        <v>5</v>
      </c>
      <c r="CN112" s="2" t="str">
        <f t="shared" si="7"/>
        <v>TADigital NA | Management - Associate Practice Director</v>
      </c>
      <c r="CO112" s="2" t="str">
        <f t="shared" si="8"/>
        <v>TADigital India Consulting | Cloud &amp; Engineering - L2 / B1-B3 | Associate Engineer</v>
      </c>
      <c r="CP112" s="1579">
        <v>290</v>
      </c>
      <c r="CQ112" s="1579">
        <v>140</v>
      </c>
      <c r="CR112" s="1579">
        <v>105</v>
      </c>
      <c r="CS112" s="1579">
        <f t="shared" si="9"/>
        <v>45.1</v>
      </c>
      <c r="CT112" s="1579">
        <v>55</v>
      </c>
      <c r="CU112" s="2">
        <f t="shared" si="10"/>
        <v>13</v>
      </c>
      <c r="CV112" s="2" t="str">
        <f t="shared" si="6"/>
        <v>Management - Associate Practice Director</v>
      </c>
      <c r="CW112" s="2" t="str">
        <f>_xlfn.XLOOKUP(CL112,'[1]Rates &amp; Drop Downs INT'!D$373:D$430,'[1]Rates &amp; Drop Downs INT'!C$373:C$430,"X",1)</f>
        <v>Cloud &amp; Engineering - 2 | Associate Engineer</v>
      </c>
      <c r="DF112" t="s">
        <v>1229</v>
      </c>
      <c r="DG112" t="s">
        <v>3514</v>
      </c>
      <c r="DH112" t="s">
        <v>1818</v>
      </c>
    </row>
    <row r="113" spans="1:112" ht="13.05" customHeight="1" x14ac:dyDescent="0.3">
      <c r="A113" s="32"/>
      <c r="B113" s="4" t="s">
        <v>176</v>
      </c>
      <c r="C113" s="4" t="s">
        <v>427</v>
      </c>
      <c r="D113" s="4"/>
      <c r="E113" s="4"/>
      <c r="F113" s="4" t="s">
        <v>1743</v>
      </c>
      <c r="G113" s="343">
        <v>128</v>
      </c>
      <c r="H113" s="4" t="s">
        <v>119</v>
      </c>
      <c r="I113" s="344">
        <v>300</v>
      </c>
      <c r="J113" s="345">
        <v>4</v>
      </c>
      <c r="AT113" s="2" t="s">
        <v>297</v>
      </c>
      <c r="AU113" s="2" t="s">
        <v>1845</v>
      </c>
      <c r="AV113" s="2" t="s">
        <v>1844</v>
      </c>
      <c r="AW113" s="2" t="s">
        <v>1865</v>
      </c>
      <c r="AX113" s="2" t="s">
        <v>1843</v>
      </c>
      <c r="CG113" s="2" t="s">
        <v>297</v>
      </c>
      <c r="CH113" s="2" t="s">
        <v>1845</v>
      </c>
      <c r="CI113" s="2" t="s">
        <v>279</v>
      </c>
      <c r="CJ113" s="2" t="s">
        <v>1865</v>
      </c>
      <c r="CK113" s="2" t="s">
        <v>532</v>
      </c>
      <c r="CL113" s="2" t="s">
        <v>3547</v>
      </c>
      <c r="CM113" s="39">
        <v>2</v>
      </c>
      <c r="CN113" s="2" t="str">
        <f t="shared" si="7"/>
        <v>TADigital NA Consulting | Content &amp; SEO - Associate Content Strategist</v>
      </c>
      <c r="CO113" s="2" t="str">
        <f t="shared" si="8"/>
        <v>TADigital India Consulting | Cloud &amp; Engineering - L2 / B1-B3 | Associate Engineer</v>
      </c>
      <c r="CP113" s="1579">
        <v>160</v>
      </c>
      <c r="CQ113" s="1579">
        <v>80</v>
      </c>
      <c r="CR113" s="1579">
        <v>55</v>
      </c>
      <c r="CS113" s="1579">
        <f t="shared" si="9"/>
        <v>14.760000000000002</v>
      </c>
      <c r="CT113" s="1579">
        <v>18</v>
      </c>
      <c r="CU113" s="2">
        <f t="shared" si="10"/>
        <v>13</v>
      </c>
      <c r="CV113" s="2" t="str">
        <f t="shared" si="6"/>
        <v>Content &amp; SEO - Associate Content Strategist</v>
      </c>
      <c r="CW113" s="2" t="str">
        <f>_xlfn.XLOOKUP(CL113,'[1]Rates &amp; Drop Downs INT'!D$373:D$430,'[1]Rates &amp; Drop Downs INT'!C$373:C$430,"X",1)</f>
        <v>Cloud &amp; Engineering - 2 | Associate Engineer</v>
      </c>
      <c r="DF113" t="s">
        <v>1229</v>
      </c>
      <c r="DG113" t="s">
        <v>3514</v>
      </c>
      <c r="DH113" t="s">
        <v>1819</v>
      </c>
    </row>
    <row r="114" spans="1:112" ht="13.05" customHeight="1" x14ac:dyDescent="0.3">
      <c r="A114" s="32"/>
      <c r="B114" s="4" t="s">
        <v>176</v>
      </c>
      <c r="C114" s="4" t="s">
        <v>427</v>
      </c>
      <c r="D114" s="4"/>
      <c r="E114" s="4"/>
      <c r="F114" s="346" t="s">
        <v>1744</v>
      </c>
      <c r="G114" s="347">
        <v>172</v>
      </c>
      <c r="H114" s="4" t="s">
        <v>119</v>
      </c>
      <c r="I114" s="348">
        <v>350</v>
      </c>
      <c r="J114" s="345">
        <v>5</v>
      </c>
      <c r="AT114" s="2" t="s">
        <v>297</v>
      </c>
      <c r="AU114" s="2" t="s">
        <v>1845</v>
      </c>
      <c r="AV114" s="2" t="s">
        <v>1867</v>
      </c>
      <c r="AW114" s="2" t="s">
        <v>1866</v>
      </c>
      <c r="AX114" s="2" t="s">
        <v>1847</v>
      </c>
      <c r="CG114" s="2" t="s">
        <v>297</v>
      </c>
      <c r="CH114" s="2" t="s">
        <v>1845</v>
      </c>
      <c r="CI114" s="2" t="s">
        <v>279</v>
      </c>
      <c r="CJ114" s="2" t="s">
        <v>1865</v>
      </c>
      <c r="CK114" s="2" t="s">
        <v>542</v>
      </c>
      <c r="CL114" s="2" t="s">
        <v>3548</v>
      </c>
      <c r="CM114" s="39">
        <v>5</v>
      </c>
      <c r="CN114" s="2" t="str">
        <f t="shared" si="7"/>
        <v>TADigital NA | Management - Associate Practice Director</v>
      </c>
      <c r="CO114" s="2" t="str">
        <f t="shared" si="8"/>
        <v>TADigital India Consulting | Cloud &amp; Engineering - L2 / B1-B3 | Associate Engineer</v>
      </c>
      <c r="CP114" s="1579">
        <v>290</v>
      </c>
      <c r="CQ114" s="1579">
        <v>167.5</v>
      </c>
      <c r="CR114" s="1579">
        <v>125</v>
      </c>
      <c r="CS114" s="1579">
        <f t="shared" si="9"/>
        <v>51.250000000000007</v>
      </c>
      <c r="CT114" s="1579">
        <v>62.5</v>
      </c>
      <c r="CU114" s="2">
        <f t="shared" si="10"/>
        <v>13</v>
      </c>
      <c r="CV114" s="2" t="str">
        <f t="shared" si="6"/>
        <v>Management - Associate Practice Director</v>
      </c>
      <c r="CW114" s="2" t="str">
        <f>_xlfn.XLOOKUP(CL114,'[1]Rates &amp; Drop Downs INT'!D$373:D$430,'[1]Rates &amp; Drop Downs INT'!C$373:C$430,"X",1)</f>
        <v>Cloud &amp; Engineering - 2 | Associate Engineer</v>
      </c>
      <c r="DF114" t="s">
        <v>1229</v>
      </c>
      <c r="DG114" t="s">
        <v>3514</v>
      </c>
      <c r="DH114" t="s">
        <v>3465</v>
      </c>
    </row>
    <row r="115" spans="1:112" ht="13.05" customHeight="1" x14ac:dyDescent="0.3">
      <c r="A115" s="32"/>
      <c r="B115" s="4" t="s">
        <v>176</v>
      </c>
      <c r="C115" s="4" t="s">
        <v>427</v>
      </c>
      <c r="D115" s="4"/>
      <c r="E115" s="4"/>
      <c r="F115" s="4" t="s">
        <v>1742</v>
      </c>
      <c r="G115" s="343">
        <v>257</v>
      </c>
      <c r="H115" s="4" t="s">
        <v>119</v>
      </c>
      <c r="I115" s="343">
        <v>390</v>
      </c>
      <c r="J115" s="345">
        <v>6</v>
      </c>
      <c r="AT115" s="2" t="s">
        <v>297</v>
      </c>
      <c r="AU115" s="2" t="s">
        <v>1845</v>
      </c>
      <c r="AV115" s="2" t="s">
        <v>1867</v>
      </c>
      <c r="AW115" s="2" t="s">
        <v>1866</v>
      </c>
      <c r="AX115" s="2" t="s">
        <v>1848</v>
      </c>
      <c r="CG115" s="2" t="s">
        <v>297</v>
      </c>
      <c r="CH115" s="2" t="s">
        <v>1845</v>
      </c>
      <c r="CI115" s="2" t="s">
        <v>279</v>
      </c>
      <c r="CJ115" s="2" t="s">
        <v>1865</v>
      </c>
      <c r="CK115" s="2" t="s">
        <v>3352</v>
      </c>
      <c r="CL115" s="2" t="s">
        <v>3549</v>
      </c>
      <c r="CM115" s="39">
        <v>5</v>
      </c>
      <c r="CN115" s="2" t="str">
        <f t="shared" si="7"/>
        <v>TADigital NA | Management - Practice Director / Delivery Director</v>
      </c>
      <c r="CO115" s="2" t="str">
        <f t="shared" si="8"/>
        <v>TADigital India Consulting | Cloud &amp; Engineering - L2 / B1-B3 | Associate Engineer</v>
      </c>
      <c r="CP115" s="1579">
        <v>315</v>
      </c>
      <c r="CQ115" s="1579">
        <v>165</v>
      </c>
      <c r="CR115" s="1579">
        <v>115</v>
      </c>
      <c r="CS115" s="1579">
        <f t="shared" si="9"/>
        <v>45.1</v>
      </c>
      <c r="CT115" s="1579">
        <v>55</v>
      </c>
      <c r="CU115" s="2">
        <f t="shared" si="10"/>
        <v>13</v>
      </c>
      <c r="CV115" s="2" t="str">
        <f t="shared" si="6"/>
        <v>Management - Practice Director / Delivery Director</v>
      </c>
      <c r="CW115" s="2" t="str">
        <f>_xlfn.XLOOKUP(CL115,'[1]Rates &amp; Drop Downs INT'!D$373:D$430,'[1]Rates &amp; Drop Downs INT'!C$373:C$430,"X",1)</f>
        <v>Cloud &amp; Engineering - 2 | Associate Engineer</v>
      </c>
      <c r="DF115" t="s">
        <v>1229</v>
      </c>
      <c r="DG115" t="s">
        <v>3514</v>
      </c>
      <c r="DH115" t="s">
        <v>1821</v>
      </c>
    </row>
    <row r="116" spans="1:112" ht="13.05" customHeight="1" x14ac:dyDescent="0.3">
      <c r="A116" s="32"/>
      <c r="B116" s="4" t="s">
        <v>176</v>
      </c>
      <c r="C116" s="346" t="s">
        <v>414</v>
      </c>
      <c r="D116" s="346"/>
      <c r="E116" s="346"/>
      <c r="F116" s="4" t="s">
        <v>1745</v>
      </c>
      <c r="G116" s="343">
        <v>128</v>
      </c>
      <c r="H116" s="4" t="s">
        <v>119</v>
      </c>
      <c r="I116" s="344">
        <v>300</v>
      </c>
      <c r="J116" s="345">
        <v>4</v>
      </c>
      <c r="AT116" s="2" t="s">
        <v>297</v>
      </c>
      <c r="AU116" s="2" t="s">
        <v>1845</v>
      </c>
      <c r="AV116" s="2" t="s">
        <v>1868</v>
      </c>
      <c r="AW116" s="2" t="s">
        <v>1864</v>
      </c>
      <c r="AX116" s="2" t="s">
        <v>1748</v>
      </c>
      <c r="CG116" s="2" t="s">
        <v>297</v>
      </c>
      <c r="CH116" s="2" t="s">
        <v>1845</v>
      </c>
      <c r="CI116" s="2" t="s">
        <v>279</v>
      </c>
      <c r="CJ116" s="2" t="s">
        <v>1865</v>
      </c>
      <c r="CK116" s="2" t="s">
        <v>446</v>
      </c>
      <c r="CL116" s="2" t="s">
        <v>3546</v>
      </c>
      <c r="CM116" s="39">
        <v>4</v>
      </c>
      <c r="CN116" s="2" t="str">
        <f t="shared" si="7"/>
        <v>TADigital NA Consulting - Sr. Project Manager</v>
      </c>
      <c r="CO116" s="2" t="str">
        <f t="shared" si="8"/>
        <v>TADigital India Consulting | Cloud &amp; Engineering - L2 / B1-B3 | Associate Engineer</v>
      </c>
      <c r="CP116" s="1579">
        <v>235</v>
      </c>
      <c r="CQ116" s="1579">
        <v>130</v>
      </c>
      <c r="CR116" s="1579">
        <v>80</v>
      </c>
      <c r="CS116" s="1579">
        <f t="shared" si="9"/>
        <v>38.950000000000003</v>
      </c>
      <c r="CT116" s="1579">
        <v>47.5</v>
      </c>
      <c r="CU116" s="2">
        <f t="shared" si="10"/>
        <v>13</v>
      </c>
      <c r="CV116" s="2" t="str">
        <f t="shared" si="6"/>
        <v>Sr. Project Manager</v>
      </c>
      <c r="CW116" s="2" t="str">
        <f>_xlfn.XLOOKUP(CL116,'[1]Rates &amp; Drop Downs INT'!D$373:D$430,'[1]Rates &amp; Drop Downs INT'!C$373:C$430,"X",1)</f>
        <v>Cloud &amp; Engineering - 2 | Associate Engineer</v>
      </c>
      <c r="DF116" t="s">
        <v>1228</v>
      </c>
      <c r="DG116" t="s">
        <v>3515</v>
      </c>
      <c r="DH116" t="s">
        <v>1823</v>
      </c>
    </row>
    <row r="117" spans="1:112" ht="13.05" customHeight="1" x14ac:dyDescent="0.3">
      <c r="A117" s="32"/>
      <c r="B117" s="4" t="s">
        <v>176</v>
      </c>
      <c r="C117" s="346" t="s">
        <v>414</v>
      </c>
      <c r="D117" s="346"/>
      <c r="E117" s="346"/>
      <c r="F117" s="346" t="s">
        <v>1744</v>
      </c>
      <c r="G117" s="347">
        <v>172</v>
      </c>
      <c r="H117" s="4" t="s">
        <v>119</v>
      </c>
      <c r="I117" s="348">
        <v>350</v>
      </c>
      <c r="J117" s="353">
        <v>5</v>
      </c>
      <c r="AT117" s="2" t="s">
        <v>297</v>
      </c>
      <c r="AU117" s="2" t="s">
        <v>1845</v>
      </c>
      <c r="AV117" s="2" t="s">
        <v>1869</v>
      </c>
      <c r="AW117" s="2" t="s">
        <v>1863</v>
      </c>
      <c r="AX117" s="2" t="s">
        <v>1798</v>
      </c>
      <c r="CG117" s="2" t="s">
        <v>297</v>
      </c>
      <c r="CH117" s="2" t="s">
        <v>1845</v>
      </c>
      <c r="CI117" s="2" t="s">
        <v>279</v>
      </c>
      <c r="CJ117" s="2" t="s">
        <v>1865</v>
      </c>
      <c r="CK117" s="2" t="s">
        <v>3353</v>
      </c>
      <c r="CL117" s="2" t="s">
        <v>3549</v>
      </c>
      <c r="CM117" s="39">
        <v>6</v>
      </c>
      <c r="CN117" s="2" t="str">
        <f t="shared" si="7"/>
        <v>TADigital NA | Management - Practice VP / Delivery VP</v>
      </c>
      <c r="CO117" s="2" t="str">
        <f t="shared" si="8"/>
        <v>TADigital India Consulting | Cloud &amp; Engineering - L2 / B1-B3 | Associate Engineer</v>
      </c>
      <c r="CP117" s="1579">
        <v>370</v>
      </c>
      <c r="CQ117" s="1579">
        <v>172.5</v>
      </c>
      <c r="CR117" s="1579">
        <v>135</v>
      </c>
      <c r="CS117" s="1579">
        <f t="shared" si="9"/>
        <v>51.250000000000007</v>
      </c>
      <c r="CT117" s="1579">
        <v>62.5</v>
      </c>
      <c r="CU117" s="2">
        <f t="shared" si="10"/>
        <v>13</v>
      </c>
      <c r="CV117" s="2" t="str">
        <f t="shared" si="6"/>
        <v>Management - Practice VP / Delivery VP</v>
      </c>
      <c r="CW117" s="2" t="str">
        <f>_xlfn.XLOOKUP(CL117,'[1]Rates &amp; Drop Downs INT'!D$373:D$430,'[1]Rates &amp; Drop Downs INT'!C$373:C$430,"X",1)</f>
        <v>Cloud &amp; Engineering - 2 | Associate Engineer</v>
      </c>
      <c r="DF117" t="s">
        <v>1228</v>
      </c>
      <c r="DG117" t="s">
        <v>3515</v>
      </c>
      <c r="DH117" t="s">
        <v>1824</v>
      </c>
    </row>
    <row r="118" spans="1:112" ht="13.05" customHeight="1" x14ac:dyDescent="0.3">
      <c r="A118" s="32"/>
      <c r="B118" s="4" t="s">
        <v>176</v>
      </c>
      <c r="C118" s="346" t="s">
        <v>414</v>
      </c>
      <c r="D118" s="346"/>
      <c r="E118" s="346"/>
      <c r="F118" s="4" t="s">
        <v>1742</v>
      </c>
      <c r="G118" s="343">
        <v>257</v>
      </c>
      <c r="H118" s="4" t="s">
        <v>119</v>
      </c>
      <c r="I118" s="343">
        <v>390</v>
      </c>
      <c r="J118" s="345">
        <v>6</v>
      </c>
      <c r="AT118" s="2" t="s">
        <v>297</v>
      </c>
      <c r="AU118" s="2" t="s">
        <v>1845</v>
      </c>
      <c r="AV118" s="2" t="s">
        <v>1870</v>
      </c>
      <c r="AW118" s="2" t="s">
        <v>1862</v>
      </c>
      <c r="AX118" s="2" t="s">
        <v>326</v>
      </c>
      <c r="CG118" s="2" t="s">
        <v>297</v>
      </c>
      <c r="CH118" s="2" t="s">
        <v>1845</v>
      </c>
      <c r="CI118" s="2" t="s">
        <v>279</v>
      </c>
      <c r="CJ118" s="2" t="s">
        <v>1865</v>
      </c>
      <c r="CK118" s="2" t="s">
        <v>534</v>
      </c>
      <c r="CL118" s="2" t="s">
        <v>3550</v>
      </c>
      <c r="CM118" s="39">
        <v>2</v>
      </c>
      <c r="CN118" s="2" t="str">
        <f t="shared" si="7"/>
        <v>TADigital NA Consulting | Content &amp; SEO - Content Strategist</v>
      </c>
      <c r="CO118" s="2" t="str">
        <f t="shared" si="8"/>
        <v>TADigital India Consulting | Cloud &amp; Engineering - L2 / B1-B3 | Associate Engineer</v>
      </c>
      <c r="CP118" s="1579">
        <v>170</v>
      </c>
      <c r="CQ118" s="1579">
        <v>82.5</v>
      </c>
      <c r="CR118" s="1579">
        <v>65</v>
      </c>
      <c r="CS118" s="1579">
        <f t="shared" si="9"/>
        <v>18.450000000000003</v>
      </c>
      <c r="CT118" s="1579">
        <v>22.5</v>
      </c>
      <c r="CU118" s="2">
        <f t="shared" si="10"/>
        <v>13</v>
      </c>
      <c r="CV118" s="2" t="str">
        <f t="shared" si="6"/>
        <v>Content &amp; SEO - Content Strategist</v>
      </c>
      <c r="CW118" s="2" t="str">
        <f>_xlfn.XLOOKUP(CL118,'[1]Rates &amp; Drop Downs INT'!D$373:D$430,'[1]Rates &amp; Drop Downs INT'!C$373:C$430,"X",1)</f>
        <v>Cloud &amp; Engineering - 2 | Associate Engineer</v>
      </c>
      <c r="DF118" t="s">
        <v>1225</v>
      </c>
      <c r="DG118" t="s">
        <v>3516</v>
      </c>
      <c r="DH118" t="s">
        <v>1777</v>
      </c>
    </row>
    <row r="119" spans="1:112" ht="13.05" customHeight="1" x14ac:dyDescent="0.3">
      <c r="A119" s="32"/>
      <c r="B119" s="346" t="s">
        <v>176</v>
      </c>
      <c r="C119" s="346" t="s">
        <v>412</v>
      </c>
      <c r="D119" s="346"/>
      <c r="E119" s="346"/>
      <c r="F119" s="346" t="s">
        <v>1743</v>
      </c>
      <c r="G119" s="347">
        <v>128</v>
      </c>
      <c r="H119" s="4" t="s">
        <v>119</v>
      </c>
      <c r="I119" s="348">
        <v>300</v>
      </c>
      <c r="J119" s="345">
        <v>4</v>
      </c>
      <c r="AT119" s="2" t="s">
        <v>297</v>
      </c>
      <c r="AU119" s="2" t="s">
        <v>1845</v>
      </c>
      <c r="AV119" s="2" t="s">
        <v>1871</v>
      </c>
      <c r="AW119" s="2" t="s">
        <v>1861</v>
      </c>
      <c r="AX119" s="2" t="s">
        <v>1849</v>
      </c>
      <c r="CG119" s="2" t="s">
        <v>297</v>
      </c>
      <c r="CH119" s="2" t="s">
        <v>1845</v>
      </c>
      <c r="CI119" s="2" t="s">
        <v>279</v>
      </c>
      <c r="CJ119" s="2" t="s">
        <v>1865</v>
      </c>
      <c r="CK119" s="2" t="s">
        <v>3354</v>
      </c>
      <c r="CL119" s="2" t="s">
        <v>3549</v>
      </c>
      <c r="CM119" s="39">
        <v>5</v>
      </c>
      <c r="CN119" s="2" t="str">
        <f t="shared" si="7"/>
        <v>TADigital NA | Management - Sr. Practice Director / Sr. Delivery Director</v>
      </c>
      <c r="CO119" s="2" t="str">
        <f t="shared" si="8"/>
        <v>TADigital India Consulting | Cloud &amp; Engineering - L2 / B1-B3 | Associate Engineer</v>
      </c>
      <c r="CP119" s="1579">
        <v>340</v>
      </c>
      <c r="CQ119" s="1579">
        <v>170</v>
      </c>
      <c r="CR119" s="1579">
        <v>125</v>
      </c>
      <c r="CS119" s="1579">
        <f t="shared" si="9"/>
        <v>49.2</v>
      </c>
      <c r="CT119" s="1579">
        <v>60</v>
      </c>
      <c r="CU119" s="2">
        <f t="shared" si="10"/>
        <v>13</v>
      </c>
      <c r="CV119" s="2" t="str">
        <f t="shared" si="6"/>
        <v>Management - Sr. Practice Director / Sr. Delivery Director</v>
      </c>
      <c r="CW119" s="2" t="str">
        <f>_xlfn.XLOOKUP(CL119,'[1]Rates &amp; Drop Downs INT'!D$373:D$430,'[1]Rates &amp; Drop Downs INT'!C$373:C$430,"X",1)</f>
        <v>Cloud &amp; Engineering - 2 | Associate Engineer</v>
      </c>
      <c r="DF119" t="s">
        <v>1225</v>
      </c>
      <c r="DG119" t="s">
        <v>3516</v>
      </c>
      <c r="DH119" t="s">
        <v>1779</v>
      </c>
    </row>
    <row r="120" spans="1:112" ht="13.05" customHeight="1" x14ac:dyDescent="0.3">
      <c r="B120" s="346" t="s">
        <v>176</v>
      </c>
      <c r="C120" s="346" t="s">
        <v>412</v>
      </c>
      <c r="D120" s="346"/>
      <c r="E120" s="346"/>
      <c r="F120" s="346" t="s">
        <v>1744</v>
      </c>
      <c r="G120" s="347">
        <v>172</v>
      </c>
      <c r="H120" s="346" t="s">
        <v>119</v>
      </c>
      <c r="I120" s="348">
        <v>350</v>
      </c>
      <c r="J120" s="353">
        <v>5</v>
      </c>
      <c r="AT120" s="2" t="s">
        <v>297</v>
      </c>
      <c r="AU120" s="2" t="s">
        <v>1845</v>
      </c>
      <c r="AV120" s="2" t="s">
        <v>1872</v>
      </c>
      <c r="AW120" s="2" t="s">
        <v>1860</v>
      </c>
      <c r="AX120" s="2" t="s">
        <v>1850</v>
      </c>
      <c r="CG120" s="2" t="s">
        <v>297</v>
      </c>
      <c r="CH120" s="2" t="s">
        <v>1845</v>
      </c>
      <c r="CI120" s="2" t="s">
        <v>279</v>
      </c>
      <c r="CJ120" s="2" t="s">
        <v>1865</v>
      </c>
      <c r="CK120" s="2" t="s">
        <v>448</v>
      </c>
      <c r="CL120" s="2" t="s">
        <v>3546</v>
      </c>
      <c r="CM120" s="39">
        <v>5</v>
      </c>
      <c r="CN120" s="2" t="str">
        <f t="shared" si="7"/>
        <v>TADigital NA Consulting - Delivery Manager</v>
      </c>
      <c r="CO120" s="2" t="str">
        <f t="shared" si="8"/>
        <v>TADigital India Consulting | Cloud &amp; Engineering - L2 / B1-B3 | Associate Engineer</v>
      </c>
      <c r="CP120" s="1579">
        <v>265</v>
      </c>
      <c r="CQ120" s="1579">
        <v>137.5</v>
      </c>
      <c r="CR120" s="1579">
        <v>90</v>
      </c>
      <c r="CS120" s="1579">
        <f t="shared" si="9"/>
        <v>38.950000000000003</v>
      </c>
      <c r="CT120" s="1579">
        <v>47.5</v>
      </c>
      <c r="CU120" s="2">
        <f t="shared" si="10"/>
        <v>13</v>
      </c>
      <c r="CV120" s="2" t="str">
        <f t="shared" si="6"/>
        <v>Delivery Manager</v>
      </c>
      <c r="CW120" s="2" t="str">
        <f>_xlfn.XLOOKUP(CL120,'[1]Rates &amp; Drop Downs INT'!D$373:D$430,'[1]Rates &amp; Drop Downs INT'!C$373:C$430,"X",1)</f>
        <v>Cloud &amp; Engineering - 2 | Associate Engineer</v>
      </c>
      <c r="DF120" t="s">
        <v>1225</v>
      </c>
      <c r="DG120" t="s">
        <v>3516</v>
      </c>
      <c r="DH120" t="s">
        <v>1780</v>
      </c>
    </row>
    <row r="121" spans="1:112" ht="13.05" customHeight="1" x14ac:dyDescent="0.3">
      <c r="B121" s="346" t="s">
        <v>176</v>
      </c>
      <c r="C121" s="346" t="s">
        <v>412</v>
      </c>
      <c r="D121" s="346"/>
      <c r="E121" s="346"/>
      <c r="F121" s="346" t="s">
        <v>1742</v>
      </c>
      <c r="G121" s="343">
        <v>257</v>
      </c>
      <c r="H121" s="346" t="s">
        <v>119</v>
      </c>
      <c r="I121" s="344">
        <v>390</v>
      </c>
      <c r="J121" s="345">
        <v>5</v>
      </c>
      <c r="AT121" s="2" t="s">
        <v>297</v>
      </c>
      <c r="AU121" s="2" t="s">
        <v>1845</v>
      </c>
      <c r="AV121" s="2" t="s">
        <v>1872</v>
      </c>
      <c r="AW121" s="2" t="s">
        <v>1860</v>
      </c>
      <c r="AX121" s="2" t="s">
        <v>1851</v>
      </c>
      <c r="CG121" s="2" t="s">
        <v>297</v>
      </c>
      <c r="CH121" s="2" t="s">
        <v>1845</v>
      </c>
      <c r="CI121" s="2" t="s">
        <v>279</v>
      </c>
      <c r="CJ121" s="2" t="s">
        <v>1865</v>
      </c>
      <c r="CK121" s="2" t="s">
        <v>540</v>
      </c>
      <c r="CL121" s="2" t="s">
        <v>538</v>
      </c>
      <c r="CM121" s="39">
        <v>5</v>
      </c>
      <c r="CN121" s="2" t="str">
        <f t="shared" si="7"/>
        <v>TADigital NA Digital - Sr. Technical Architect</v>
      </c>
      <c r="CO121" s="2" t="str">
        <f t="shared" si="8"/>
        <v>TADigital India Consulting | Cloud &amp; Engineering - L2 / B1-B3 | Associate Engineer</v>
      </c>
      <c r="CP121" s="1579">
        <v>275</v>
      </c>
      <c r="CQ121" s="1579">
        <v>155</v>
      </c>
      <c r="CR121" s="1579">
        <v>105</v>
      </c>
      <c r="CS121" s="1579">
        <f t="shared" si="9"/>
        <v>36.900000000000006</v>
      </c>
      <c r="CT121" s="1579">
        <v>45</v>
      </c>
      <c r="CU121" s="2">
        <f t="shared" si="10"/>
        <v>13</v>
      </c>
      <c r="CV121" s="2" t="str">
        <f t="shared" si="6"/>
        <v>Sr. Technical Architect</v>
      </c>
      <c r="CW121" s="2" t="str">
        <f>_xlfn.XLOOKUP(CL121,'[1]Rates &amp; Drop Downs INT'!D$373:D$430,'[1]Rates &amp; Drop Downs INT'!C$373:C$430,"X",1)</f>
        <v>Cloud &amp; Engineering - 2 | Associate Engineer</v>
      </c>
      <c r="DF121" t="s">
        <v>1225</v>
      </c>
      <c r="DG121" t="s">
        <v>3516</v>
      </c>
      <c r="DH121" t="s">
        <v>3429</v>
      </c>
    </row>
    <row r="122" spans="1:112" ht="13.05" customHeight="1" x14ac:dyDescent="0.3">
      <c r="B122" s="4" t="s">
        <v>176</v>
      </c>
      <c r="C122" s="4" t="s">
        <v>415</v>
      </c>
      <c r="D122" s="4"/>
      <c r="E122" s="4"/>
      <c r="F122" s="4" t="s">
        <v>1740</v>
      </c>
      <c r="G122" s="343">
        <v>77</v>
      </c>
      <c r="H122" s="4" t="s">
        <v>119</v>
      </c>
      <c r="I122" s="344">
        <v>200</v>
      </c>
      <c r="J122" s="345">
        <v>2</v>
      </c>
      <c r="AT122" s="2" t="s">
        <v>297</v>
      </c>
      <c r="AU122" s="2" t="s">
        <v>1845</v>
      </c>
      <c r="AV122" s="2" t="s">
        <v>1872</v>
      </c>
      <c r="AW122" s="2" t="s">
        <v>1860</v>
      </c>
      <c r="AX122" s="2" t="s">
        <v>1852</v>
      </c>
      <c r="CG122" s="2" t="s">
        <v>297</v>
      </c>
      <c r="CH122" s="2" t="s">
        <v>1845</v>
      </c>
      <c r="CI122" s="2" t="s">
        <v>279</v>
      </c>
      <c r="CJ122" s="2" t="s">
        <v>1865</v>
      </c>
      <c r="CK122" s="2" t="s">
        <v>538</v>
      </c>
      <c r="CL122" s="2" t="s">
        <v>538</v>
      </c>
      <c r="CM122" s="39">
        <v>4</v>
      </c>
      <c r="CN122" s="2" t="str">
        <f t="shared" si="7"/>
        <v>TADigital NA Consulting - Sr. Project Manager</v>
      </c>
      <c r="CO122" s="2" t="str">
        <f t="shared" si="8"/>
        <v>TADigital India Consulting | Cloud &amp; Engineering - L2 / B1-B3 | Associate Engineer</v>
      </c>
      <c r="CP122" s="1579">
        <v>235</v>
      </c>
      <c r="CQ122" s="1579">
        <v>132.5</v>
      </c>
      <c r="CR122" s="1579">
        <v>95</v>
      </c>
      <c r="CS122" s="1579">
        <f t="shared" si="9"/>
        <v>32.800000000000004</v>
      </c>
      <c r="CT122" s="1579">
        <v>40</v>
      </c>
      <c r="CU122" s="2">
        <f t="shared" si="10"/>
        <v>13</v>
      </c>
      <c r="CV122" s="2" t="str">
        <f t="shared" si="6"/>
        <v>Sr. Project Manager</v>
      </c>
      <c r="CW122" s="2" t="str">
        <f>_xlfn.XLOOKUP(CL122,'[1]Rates &amp; Drop Downs INT'!D$373:D$430,'[1]Rates &amp; Drop Downs INT'!C$373:C$430,"X",1)</f>
        <v>Cloud &amp; Engineering - 2 | Associate Engineer</v>
      </c>
      <c r="DF122" t="s">
        <v>1226</v>
      </c>
      <c r="DG122" t="s">
        <v>3517</v>
      </c>
      <c r="DH122" t="s">
        <v>1773</v>
      </c>
    </row>
    <row r="123" spans="1:112" ht="13.05" customHeight="1" x14ac:dyDescent="0.3">
      <c r="B123" s="4" t="s">
        <v>176</v>
      </c>
      <c r="C123" s="4" t="s">
        <v>415</v>
      </c>
      <c r="D123" s="4"/>
      <c r="E123" s="4"/>
      <c r="F123" s="346" t="s">
        <v>1741</v>
      </c>
      <c r="G123" s="347">
        <v>96</v>
      </c>
      <c r="H123" s="4" t="s">
        <v>119</v>
      </c>
      <c r="I123" s="348">
        <v>240</v>
      </c>
      <c r="J123" s="345">
        <v>3</v>
      </c>
      <c r="AT123" s="2" t="s">
        <v>297</v>
      </c>
      <c r="AU123" s="2" t="s">
        <v>1845</v>
      </c>
      <c r="AV123" s="2" t="s">
        <v>1872</v>
      </c>
      <c r="AW123" s="2" t="s">
        <v>1860</v>
      </c>
      <c r="AX123" s="2" t="s">
        <v>1853</v>
      </c>
      <c r="CG123" s="2" t="s">
        <v>297</v>
      </c>
      <c r="CH123" s="2" t="s">
        <v>1845</v>
      </c>
      <c r="CI123" s="2" t="s">
        <v>279</v>
      </c>
      <c r="CJ123" s="2" t="s">
        <v>1865</v>
      </c>
      <c r="CK123" s="2" t="s">
        <v>536</v>
      </c>
      <c r="CL123" s="2" t="s">
        <v>536</v>
      </c>
      <c r="CM123" s="39">
        <v>3</v>
      </c>
      <c r="CN123" s="2" t="str">
        <f t="shared" si="7"/>
        <v>TADigital NA Digital - Technical Lead</v>
      </c>
      <c r="CO123" s="2" t="str">
        <f t="shared" si="8"/>
        <v>TADigital India Consulting | Cloud &amp; Engineering - L2 / B1-B3 | Associate Engineer</v>
      </c>
      <c r="CP123" s="1579">
        <v>185</v>
      </c>
      <c r="CQ123" s="1579">
        <v>90</v>
      </c>
      <c r="CR123" s="1579">
        <v>85</v>
      </c>
      <c r="CS123" s="1579">
        <f t="shared" si="9"/>
        <v>24.6</v>
      </c>
      <c r="CT123" s="1579">
        <v>30</v>
      </c>
      <c r="CU123" s="2">
        <f t="shared" si="10"/>
        <v>13</v>
      </c>
      <c r="CV123" s="2" t="str">
        <f t="shared" si="6"/>
        <v>Technical Lead</v>
      </c>
      <c r="CW123" s="2" t="str">
        <f>_xlfn.XLOOKUP(CL123,'[1]Rates &amp; Drop Downs INT'!D$373:D$430,'[1]Rates &amp; Drop Downs INT'!C$373:C$430,"X",1)</f>
        <v>Cloud &amp; Engineering - 2 | Associate Engineer</v>
      </c>
      <c r="DF123" t="s">
        <v>1226</v>
      </c>
      <c r="DG123" t="s">
        <v>3517</v>
      </c>
      <c r="DH123" t="s">
        <v>1774</v>
      </c>
    </row>
    <row r="124" spans="1:112" ht="13.05" customHeight="1" x14ac:dyDescent="0.3">
      <c r="B124" s="346" t="s">
        <v>176</v>
      </c>
      <c r="C124" s="346" t="s">
        <v>416</v>
      </c>
      <c r="D124" s="346"/>
      <c r="E124" s="346"/>
      <c r="F124" s="346" t="s">
        <v>1743</v>
      </c>
      <c r="G124" s="347">
        <v>128</v>
      </c>
      <c r="H124" s="346" t="s">
        <v>119</v>
      </c>
      <c r="I124" s="348">
        <v>300</v>
      </c>
      <c r="J124" s="353">
        <v>4</v>
      </c>
      <c r="AT124" s="2" t="s">
        <v>297</v>
      </c>
      <c r="AU124" s="2" t="s">
        <v>1845</v>
      </c>
      <c r="AV124" s="2" t="s">
        <v>1873</v>
      </c>
      <c r="AW124" s="2" t="s">
        <v>1859</v>
      </c>
      <c r="AX124" s="2" t="s">
        <v>1769</v>
      </c>
      <c r="CG124" s="2" t="s">
        <v>297</v>
      </c>
      <c r="CH124" s="2" t="s">
        <v>1845</v>
      </c>
      <c r="CI124" s="2" t="s">
        <v>3327</v>
      </c>
      <c r="CJ124" s="2" t="s">
        <v>1861</v>
      </c>
      <c r="CK124" s="2" t="s">
        <v>3351</v>
      </c>
      <c r="CL124" s="2" t="s">
        <v>3545</v>
      </c>
      <c r="CM124" s="39">
        <v>2</v>
      </c>
      <c r="CN124" s="2" t="str">
        <f t="shared" si="7"/>
        <v>TADigital NA Consulting | Content &amp; SEO - Associate Web Content Analyst</v>
      </c>
      <c r="CO124" s="2" t="str">
        <f t="shared" si="8"/>
        <v>TADigital India Consulting | Cloud &amp; Engineering - L2 / B1-B3 | Associate Engineer</v>
      </c>
      <c r="CP124" s="1579">
        <v>0</v>
      </c>
      <c r="CQ124" s="1579">
        <v>0</v>
      </c>
      <c r="CR124" s="1579">
        <v>35</v>
      </c>
      <c r="CS124" s="1579">
        <f t="shared" si="9"/>
        <v>10.66</v>
      </c>
      <c r="CT124" s="1579">
        <v>13</v>
      </c>
      <c r="CU124" s="2">
        <f t="shared" si="10"/>
        <v>13</v>
      </c>
      <c r="CV124" s="2" t="str">
        <f t="shared" si="6"/>
        <v>Content &amp; SEO - Associate Web Content Analyst</v>
      </c>
      <c r="CW124" s="2" t="str">
        <f>_xlfn.XLOOKUP(CL124,'[1]Rates &amp; Drop Downs INT'!D$373:D$430,'[1]Rates &amp; Drop Downs INT'!C$373:C$430,"X",1)</f>
        <v>Cloud &amp; Engineering - 2 | Associate Engineer</v>
      </c>
      <c r="DF124" t="s">
        <v>1226</v>
      </c>
      <c r="DG124" t="s">
        <v>3517</v>
      </c>
      <c r="DH124" t="s">
        <v>3430</v>
      </c>
    </row>
    <row r="125" spans="1:112" ht="13.05" customHeight="1" x14ac:dyDescent="0.3">
      <c r="B125" s="346" t="s">
        <v>176</v>
      </c>
      <c r="C125" s="346" t="s">
        <v>416</v>
      </c>
      <c r="D125" s="346"/>
      <c r="E125" s="346"/>
      <c r="F125" s="4" t="s">
        <v>1744</v>
      </c>
      <c r="G125" s="343">
        <v>172</v>
      </c>
      <c r="H125" s="4" t="s">
        <v>119</v>
      </c>
      <c r="I125" s="344">
        <v>350</v>
      </c>
      <c r="J125" s="345">
        <v>5</v>
      </c>
      <c r="AT125" s="2" t="s">
        <v>297</v>
      </c>
      <c r="AU125" s="2" t="s">
        <v>1845</v>
      </c>
      <c r="AV125" s="2" t="s">
        <v>1873</v>
      </c>
      <c r="AW125" s="2" t="s">
        <v>1859</v>
      </c>
      <c r="AX125" s="2" t="s">
        <v>1854</v>
      </c>
      <c r="CG125" s="2" t="s">
        <v>297</v>
      </c>
      <c r="CH125" s="2" t="s">
        <v>1845</v>
      </c>
      <c r="CI125" s="2" t="s">
        <v>3327</v>
      </c>
      <c r="CJ125" s="2" t="s">
        <v>1861</v>
      </c>
      <c r="CK125" s="2" t="s">
        <v>720</v>
      </c>
      <c r="CL125" s="2" t="s">
        <v>3546</v>
      </c>
      <c r="CM125" s="39">
        <v>5</v>
      </c>
      <c r="CN125" s="2" t="str">
        <f t="shared" si="7"/>
        <v>TADigital NA | Management - Associate Practice Director</v>
      </c>
      <c r="CO125" s="2" t="str">
        <f t="shared" si="8"/>
        <v>TADigital India Consulting | Cloud &amp; Engineering - L2 / B1-B3 | Associate Engineer</v>
      </c>
      <c r="CP125" s="1579">
        <v>290</v>
      </c>
      <c r="CQ125" s="1579">
        <v>140</v>
      </c>
      <c r="CR125" s="1579">
        <v>105</v>
      </c>
      <c r="CS125" s="1579">
        <f t="shared" si="9"/>
        <v>45.1</v>
      </c>
      <c r="CT125" s="1579">
        <v>55</v>
      </c>
      <c r="CU125" s="2">
        <f t="shared" si="10"/>
        <v>13</v>
      </c>
      <c r="CV125" s="2" t="str">
        <f t="shared" si="6"/>
        <v>Management - Associate Practice Director</v>
      </c>
      <c r="CW125" s="2" t="str">
        <f>_xlfn.XLOOKUP(CL125,'[1]Rates &amp; Drop Downs INT'!D$373:D$430,'[1]Rates &amp; Drop Downs INT'!C$373:C$430,"X",1)</f>
        <v>Cloud &amp; Engineering - 2 | Associate Engineer</v>
      </c>
      <c r="DF125" t="s">
        <v>1226</v>
      </c>
      <c r="DG125" t="s">
        <v>3517</v>
      </c>
      <c r="DH125" t="s">
        <v>3431</v>
      </c>
    </row>
    <row r="126" spans="1:112" ht="13.05" customHeight="1" x14ac:dyDescent="0.3">
      <c r="B126" s="346" t="s">
        <v>176</v>
      </c>
      <c r="C126" s="346" t="s">
        <v>418</v>
      </c>
      <c r="D126" s="346"/>
      <c r="E126" s="346"/>
      <c r="F126" s="346" t="s">
        <v>1743</v>
      </c>
      <c r="G126" s="347">
        <v>128</v>
      </c>
      <c r="H126" s="4" t="s">
        <v>119</v>
      </c>
      <c r="I126" s="348">
        <v>300</v>
      </c>
      <c r="J126" s="345">
        <v>4</v>
      </c>
      <c r="AT126" s="2" t="s">
        <v>297</v>
      </c>
      <c r="AU126" s="2" t="s">
        <v>1845</v>
      </c>
      <c r="AV126" s="2" t="s">
        <v>1873</v>
      </c>
      <c r="AW126" s="2" t="s">
        <v>1859</v>
      </c>
      <c r="AX126" s="2" t="s">
        <v>1770</v>
      </c>
      <c r="CG126" s="2" t="s">
        <v>297</v>
      </c>
      <c r="CH126" s="2" t="s">
        <v>1845</v>
      </c>
      <c r="CI126" s="2" t="s">
        <v>3327</v>
      </c>
      <c r="CJ126" s="2" t="s">
        <v>1861</v>
      </c>
      <c r="CK126" s="2" t="s">
        <v>532</v>
      </c>
      <c r="CL126" s="2" t="s">
        <v>3547</v>
      </c>
      <c r="CM126" s="39">
        <v>2</v>
      </c>
      <c r="CN126" s="2" t="str">
        <f t="shared" si="7"/>
        <v>TADigital NA Consulting | Content &amp; SEO - Associate Content Strategist</v>
      </c>
      <c r="CO126" s="2" t="str">
        <f t="shared" si="8"/>
        <v>TADigital India Consulting | Cloud &amp; Engineering - L2 / B1-B3 | Associate Engineer</v>
      </c>
      <c r="CP126" s="1579">
        <v>160</v>
      </c>
      <c r="CQ126" s="1579">
        <v>80</v>
      </c>
      <c r="CR126" s="1579">
        <v>55</v>
      </c>
      <c r="CS126" s="1579">
        <f t="shared" si="9"/>
        <v>14.760000000000002</v>
      </c>
      <c r="CT126" s="1579">
        <v>18</v>
      </c>
      <c r="CU126" s="2">
        <f t="shared" si="10"/>
        <v>13</v>
      </c>
      <c r="CV126" s="2" t="str">
        <f t="shared" si="6"/>
        <v>Content &amp; SEO - Associate Content Strategist</v>
      </c>
      <c r="CW126" s="2" t="str">
        <f>_xlfn.XLOOKUP(CL126,'[1]Rates &amp; Drop Downs INT'!D$373:D$430,'[1]Rates &amp; Drop Downs INT'!C$373:C$430,"X",1)</f>
        <v>Cloud &amp; Engineering - 2 | Associate Engineer</v>
      </c>
      <c r="DF126" t="s">
        <v>1227</v>
      </c>
      <c r="DG126" t="s">
        <v>3518</v>
      </c>
      <c r="DH126" t="s">
        <v>1818</v>
      </c>
    </row>
    <row r="127" spans="1:112" ht="13.05" customHeight="1" x14ac:dyDescent="0.3">
      <c r="B127" s="346" t="s">
        <v>176</v>
      </c>
      <c r="C127" s="346" t="s">
        <v>418</v>
      </c>
      <c r="D127" s="346"/>
      <c r="E127" s="346"/>
      <c r="F127" s="346" t="s">
        <v>1744</v>
      </c>
      <c r="G127" s="347">
        <v>172</v>
      </c>
      <c r="H127" s="4" t="s">
        <v>119</v>
      </c>
      <c r="I127" s="348">
        <v>350</v>
      </c>
      <c r="J127" s="353">
        <v>5</v>
      </c>
      <c r="AT127" s="2" t="s">
        <v>297</v>
      </c>
      <c r="AU127" s="2" t="s">
        <v>1845</v>
      </c>
      <c r="AV127" s="2" t="s">
        <v>1873</v>
      </c>
      <c r="AW127" s="2" t="s">
        <v>1859</v>
      </c>
      <c r="AX127" s="2" t="s">
        <v>1771</v>
      </c>
      <c r="CG127" s="2" t="s">
        <v>297</v>
      </c>
      <c r="CH127" s="2" t="s">
        <v>1845</v>
      </c>
      <c r="CI127" s="2" t="s">
        <v>3327</v>
      </c>
      <c r="CJ127" s="2" t="s">
        <v>1861</v>
      </c>
      <c r="CK127" s="2" t="s">
        <v>542</v>
      </c>
      <c r="CL127" s="2" t="s">
        <v>3548</v>
      </c>
      <c r="CM127" s="39">
        <v>5</v>
      </c>
      <c r="CN127" s="2" t="str">
        <f t="shared" si="7"/>
        <v>TADigital NA | Management - Associate Practice Director</v>
      </c>
      <c r="CO127" s="2" t="str">
        <f t="shared" si="8"/>
        <v>TADigital India Consulting | Cloud &amp; Engineering - L2 / B1-B3 | Associate Engineer</v>
      </c>
      <c r="CP127" s="1579">
        <v>290</v>
      </c>
      <c r="CQ127" s="1579">
        <v>167.5</v>
      </c>
      <c r="CR127" s="1579">
        <v>125</v>
      </c>
      <c r="CS127" s="1579">
        <f t="shared" si="9"/>
        <v>51.250000000000007</v>
      </c>
      <c r="CT127" s="1579">
        <v>62.5</v>
      </c>
      <c r="CU127" s="2">
        <f t="shared" si="10"/>
        <v>13</v>
      </c>
      <c r="CV127" s="2" t="str">
        <f t="shared" si="6"/>
        <v>Management - Associate Practice Director</v>
      </c>
      <c r="CW127" s="2" t="str">
        <f>_xlfn.XLOOKUP(CL127,'[1]Rates &amp; Drop Downs INT'!D$373:D$430,'[1]Rates &amp; Drop Downs INT'!C$373:C$430,"X",1)</f>
        <v>Cloud &amp; Engineering - 2 | Associate Engineer</v>
      </c>
      <c r="DF127" t="s">
        <v>1227</v>
      </c>
      <c r="DG127" t="s">
        <v>3518</v>
      </c>
      <c r="DH127" t="s">
        <v>1819</v>
      </c>
    </row>
    <row r="128" spans="1:112" ht="13.05" customHeight="1" x14ac:dyDescent="0.3">
      <c r="B128" s="346" t="s">
        <v>176</v>
      </c>
      <c r="C128" s="346" t="s">
        <v>418</v>
      </c>
      <c r="D128" s="346"/>
      <c r="E128" s="346"/>
      <c r="F128" s="4" t="s">
        <v>1742</v>
      </c>
      <c r="G128" s="343">
        <v>257</v>
      </c>
      <c r="H128" s="4" t="s">
        <v>119</v>
      </c>
      <c r="I128" s="343">
        <v>390</v>
      </c>
      <c r="J128" s="345">
        <v>6</v>
      </c>
      <c r="AT128" s="2" t="s">
        <v>297</v>
      </c>
      <c r="AU128" s="2" t="s">
        <v>1845</v>
      </c>
      <c r="AV128" s="2" t="s">
        <v>1873</v>
      </c>
      <c r="AW128" s="2" t="s">
        <v>1859</v>
      </c>
      <c r="AX128" s="2" t="s">
        <v>1772</v>
      </c>
      <c r="CG128" s="2" t="s">
        <v>297</v>
      </c>
      <c r="CH128" s="2" t="s">
        <v>1845</v>
      </c>
      <c r="CI128" s="2" t="s">
        <v>3327</v>
      </c>
      <c r="CJ128" s="2" t="s">
        <v>1861</v>
      </c>
      <c r="CK128" s="2" t="s">
        <v>3352</v>
      </c>
      <c r="CL128" s="2" t="s">
        <v>3549</v>
      </c>
      <c r="CM128" s="39">
        <v>5</v>
      </c>
      <c r="CN128" s="2" t="str">
        <f t="shared" si="7"/>
        <v>TADigital NA | Management - Practice Director / Delivery Director</v>
      </c>
      <c r="CO128" s="2" t="str">
        <f t="shared" si="8"/>
        <v>TADigital India Consulting | Cloud &amp; Engineering - L2 / B1-B3 | Associate Engineer</v>
      </c>
      <c r="CP128" s="1579">
        <v>315</v>
      </c>
      <c r="CQ128" s="1579">
        <v>165</v>
      </c>
      <c r="CR128" s="1579">
        <v>115</v>
      </c>
      <c r="CS128" s="1579">
        <f t="shared" si="9"/>
        <v>45.1</v>
      </c>
      <c r="CT128" s="1579">
        <v>55</v>
      </c>
      <c r="CU128" s="2">
        <f t="shared" si="10"/>
        <v>13</v>
      </c>
      <c r="CV128" s="2" t="str">
        <f t="shared" si="6"/>
        <v>Management - Practice Director / Delivery Director</v>
      </c>
      <c r="CW128" s="2" t="str">
        <f>_xlfn.XLOOKUP(CL128,'[1]Rates &amp; Drop Downs INT'!D$373:D$430,'[1]Rates &amp; Drop Downs INT'!C$373:C$430,"X",1)</f>
        <v>Cloud &amp; Engineering - 2 | Associate Engineer</v>
      </c>
      <c r="DF128" t="s">
        <v>1227</v>
      </c>
      <c r="DG128" t="s">
        <v>3518</v>
      </c>
      <c r="DH128" t="s">
        <v>3465</v>
      </c>
    </row>
    <row r="129" spans="2:112" ht="13.05" customHeight="1" x14ac:dyDescent="0.3">
      <c r="B129" s="346" t="s">
        <v>176</v>
      </c>
      <c r="C129" s="4" t="s">
        <v>417</v>
      </c>
      <c r="D129" s="4"/>
      <c r="E129" s="4"/>
      <c r="F129" s="346" t="s">
        <v>1743</v>
      </c>
      <c r="G129" s="347">
        <v>128</v>
      </c>
      <c r="H129" s="4" t="s">
        <v>119</v>
      </c>
      <c r="I129" s="348">
        <v>300</v>
      </c>
      <c r="J129" s="345">
        <v>4</v>
      </c>
      <c r="AT129" s="2" t="s">
        <v>297</v>
      </c>
      <c r="AU129" s="2" t="s">
        <v>1845</v>
      </c>
      <c r="AV129" s="2" t="s">
        <v>1874</v>
      </c>
      <c r="AW129" s="2" t="s">
        <v>1858</v>
      </c>
      <c r="AX129" s="2" t="s">
        <v>1773</v>
      </c>
      <c r="CG129" s="2" t="s">
        <v>297</v>
      </c>
      <c r="CH129" s="2" t="s">
        <v>1845</v>
      </c>
      <c r="CI129" s="2" t="s">
        <v>3327</v>
      </c>
      <c r="CJ129" s="2" t="s">
        <v>1861</v>
      </c>
      <c r="CK129" s="2" t="s">
        <v>446</v>
      </c>
      <c r="CL129" s="2" t="s">
        <v>3546</v>
      </c>
      <c r="CM129" s="39">
        <v>4</v>
      </c>
      <c r="CN129" s="2" t="str">
        <f t="shared" si="7"/>
        <v>TADigital NA Consulting - Sr. Project Manager</v>
      </c>
      <c r="CO129" s="2" t="str">
        <f t="shared" si="8"/>
        <v>TADigital India Consulting | Cloud &amp; Engineering - L2 / B1-B3 | Associate Engineer</v>
      </c>
      <c r="CP129" s="1579">
        <v>235</v>
      </c>
      <c r="CQ129" s="1579">
        <v>130</v>
      </c>
      <c r="CR129" s="1579">
        <v>80</v>
      </c>
      <c r="CS129" s="1579">
        <f t="shared" si="9"/>
        <v>38.950000000000003</v>
      </c>
      <c r="CT129" s="1579">
        <v>47.5</v>
      </c>
      <c r="CU129" s="2">
        <f t="shared" si="10"/>
        <v>13</v>
      </c>
      <c r="CV129" s="2" t="str">
        <f t="shared" si="6"/>
        <v>Sr. Project Manager</v>
      </c>
      <c r="CW129" s="2" t="str">
        <f>_xlfn.XLOOKUP(CL129,'[1]Rates &amp; Drop Downs INT'!D$373:D$430,'[1]Rates &amp; Drop Downs INT'!C$373:C$430,"X",1)</f>
        <v>Cloud &amp; Engineering - 2 | Associate Engineer</v>
      </c>
      <c r="DF129" t="s">
        <v>1227</v>
      </c>
      <c r="DG129" t="s">
        <v>3518</v>
      </c>
      <c r="DH129" t="s">
        <v>1173</v>
      </c>
    </row>
    <row r="130" spans="2:112" ht="13.05" customHeight="1" x14ac:dyDescent="0.3">
      <c r="B130" s="346" t="s">
        <v>176</v>
      </c>
      <c r="C130" s="4" t="s">
        <v>417</v>
      </c>
      <c r="D130" s="4"/>
      <c r="E130" s="4"/>
      <c r="F130" s="4" t="s">
        <v>1744</v>
      </c>
      <c r="G130" s="343">
        <v>172</v>
      </c>
      <c r="H130" s="4" t="s">
        <v>119</v>
      </c>
      <c r="I130" s="344">
        <v>350</v>
      </c>
      <c r="J130" s="345">
        <v>5</v>
      </c>
      <c r="AT130" s="2" t="s">
        <v>297</v>
      </c>
      <c r="AU130" s="2" t="s">
        <v>1845</v>
      </c>
      <c r="AV130" s="2" t="s">
        <v>1874</v>
      </c>
      <c r="AW130" s="2" t="s">
        <v>1858</v>
      </c>
      <c r="AX130" s="2" t="s">
        <v>1774</v>
      </c>
      <c r="CG130" s="2" t="s">
        <v>297</v>
      </c>
      <c r="CH130" s="2" t="s">
        <v>1845</v>
      </c>
      <c r="CI130" s="2" t="s">
        <v>3327</v>
      </c>
      <c r="CJ130" s="2" t="s">
        <v>1861</v>
      </c>
      <c r="CK130" s="2" t="s">
        <v>3353</v>
      </c>
      <c r="CL130" s="2" t="s">
        <v>3549</v>
      </c>
      <c r="CM130" s="39">
        <v>6</v>
      </c>
      <c r="CN130" s="2" t="str">
        <f t="shared" si="7"/>
        <v>TADigital NA | Management - Practice VP / Delivery VP</v>
      </c>
      <c r="CO130" s="2" t="str">
        <f t="shared" si="8"/>
        <v>TADigital India Consulting | Cloud &amp; Engineering - L2 / B1-B3 | Associate Engineer</v>
      </c>
      <c r="CP130" s="1579">
        <v>370</v>
      </c>
      <c r="CQ130" s="1579">
        <v>172.5</v>
      </c>
      <c r="CR130" s="1579">
        <v>135</v>
      </c>
      <c r="CS130" s="1579">
        <f t="shared" si="9"/>
        <v>51.250000000000007</v>
      </c>
      <c r="CT130" s="1579">
        <v>62.5</v>
      </c>
      <c r="CU130" s="2">
        <f t="shared" si="10"/>
        <v>13</v>
      </c>
      <c r="CV130" s="2" t="str">
        <f t="shared" si="6"/>
        <v>Management - Practice VP / Delivery VP</v>
      </c>
      <c r="CW130" s="2" t="str">
        <f>_xlfn.XLOOKUP(CL130,'[1]Rates &amp; Drop Downs INT'!D$373:D$430,'[1]Rates &amp; Drop Downs INT'!C$373:C$430,"X",1)</f>
        <v>Cloud &amp; Engineering - 2 | Associate Engineer</v>
      </c>
      <c r="DF130" t="s">
        <v>1227</v>
      </c>
      <c r="DG130" t="s">
        <v>3518</v>
      </c>
      <c r="DH130" t="s">
        <v>3466</v>
      </c>
    </row>
    <row r="131" spans="2:112" ht="13.05" customHeight="1" x14ac:dyDescent="0.3">
      <c r="B131" s="346" t="s">
        <v>176</v>
      </c>
      <c r="C131" s="4" t="s">
        <v>417</v>
      </c>
      <c r="D131" s="4"/>
      <c r="E131" s="4"/>
      <c r="F131" s="4" t="s">
        <v>1742</v>
      </c>
      <c r="G131" s="343">
        <v>257</v>
      </c>
      <c r="H131" s="4" t="s">
        <v>119</v>
      </c>
      <c r="I131" s="343">
        <v>390</v>
      </c>
      <c r="J131" s="345">
        <v>6</v>
      </c>
      <c r="AT131" s="2" t="s">
        <v>297</v>
      </c>
      <c r="AU131" s="2" t="s">
        <v>1845</v>
      </c>
      <c r="AV131" s="2" t="s">
        <v>1874</v>
      </c>
      <c r="AW131" s="2" t="s">
        <v>1858</v>
      </c>
      <c r="AX131" s="2" t="s">
        <v>1775</v>
      </c>
      <c r="CG131" s="2" t="s">
        <v>297</v>
      </c>
      <c r="CH131" s="2" t="s">
        <v>1845</v>
      </c>
      <c r="CI131" s="2" t="s">
        <v>3327</v>
      </c>
      <c r="CJ131" s="2" t="s">
        <v>1861</v>
      </c>
      <c r="CK131" s="2" t="s">
        <v>534</v>
      </c>
      <c r="CL131" s="2" t="s">
        <v>3550</v>
      </c>
      <c r="CM131" s="39">
        <v>2</v>
      </c>
      <c r="CN131" s="2" t="str">
        <f t="shared" si="7"/>
        <v>TADigital NA Consulting | Content &amp; SEO - Content Strategist</v>
      </c>
      <c r="CO131" s="2" t="str">
        <f t="shared" si="8"/>
        <v>TADigital India Consulting | Cloud &amp; Engineering - L2 / B1-B3 | Associate Engineer</v>
      </c>
      <c r="CP131" s="1579">
        <v>170</v>
      </c>
      <c r="CQ131" s="1579">
        <v>82.5</v>
      </c>
      <c r="CR131" s="1579">
        <v>65</v>
      </c>
      <c r="CS131" s="1579">
        <f t="shared" si="9"/>
        <v>18.450000000000003</v>
      </c>
      <c r="CT131" s="1579">
        <v>22.5</v>
      </c>
      <c r="CU131" s="2">
        <f t="shared" si="10"/>
        <v>13</v>
      </c>
      <c r="CV131" s="2" t="str">
        <f t="shared" si="6"/>
        <v>Content &amp; SEO - Content Strategist</v>
      </c>
      <c r="CW131" s="2" t="str">
        <f>_xlfn.XLOOKUP(CL131,'[1]Rates &amp; Drop Downs INT'!D$373:D$430,'[1]Rates &amp; Drop Downs INT'!C$373:C$430,"X",1)</f>
        <v>Cloud &amp; Engineering - 2 | Associate Engineer</v>
      </c>
      <c r="DF131" t="s">
        <v>1230</v>
      </c>
      <c r="DG131" t="s">
        <v>3519</v>
      </c>
      <c r="DH131" t="s">
        <v>1835</v>
      </c>
    </row>
    <row r="132" spans="2:112" ht="13.05" customHeight="1" x14ac:dyDescent="0.3">
      <c r="B132" s="4" t="s">
        <v>176</v>
      </c>
      <c r="C132" s="346" t="s">
        <v>428</v>
      </c>
      <c r="D132" s="346"/>
      <c r="E132" s="346"/>
      <c r="F132" s="4" t="s">
        <v>1744</v>
      </c>
      <c r="G132" s="343">
        <v>172</v>
      </c>
      <c r="H132" s="4" t="s">
        <v>119</v>
      </c>
      <c r="I132" s="344">
        <v>350</v>
      </c>
      <c r="J132" s="345">
        <v>5</v>
      </c>
      <c r="AT132" s="2" t="s">
        <v>297</v>
      </c>
      <c r="AU132" s="2" t="s">
        <v>1845</v>
      </c>
      <c r="AV132" s="2" t="s">
        <v>1874</v>
      </c>
      <c r="AW132" s="2" t="s">
        <v>1858</v>
      </c>
      <c r="AX132" s="2" t="s">
        <v>1776</v>
      </c>
      <c r="CG132" s="2" t="s">
        <v>297</v>
      </c>
      <c r="CH132" s="2" t="s">
        <v>1845</v>
      </c>
      <c r="CI132" s="2" t="s">
        <v>3327</v>
      </c>
      <c r="CJ132" s="2" t="s">
        <v>1861</v>
      </c>
      <c r="CK132" s="2" t="s">
        <v>3354</v>
      </c>
      <c r="CL132" s="2" t="s">
        <v>3549</v>
      </c>
      <c r="CM132" s="39">
        <v>5</v>
      </c>
      <c r="CN132" s="2" t="str">
        <f t="shared" si="7"/>
        <v>TADigital NA | Management - Sr. Practice Director / Sr. Delivery Director</v>
      </c>
      <c r="CO132" s="2" t="str">
        <f t="shared" si="8"/>
        <v>TADigital India Consulting | Cloud &amp; Engineering - L2 / B1-B3 | Associate Engineer</v>
      </c>
      <c r="CP132" s="1579">
        <v>340</v>
      </c>
      <c r="CQ132" s="1579">
        <v>170</v>
      </c>
      <c r="CR132" s="1579">
        <v>125</v>
      </c>
      <c r="CS132" s="1579">
        <f t="shared" si="9"/>
        <v>49.2</v>
      </c>
      <c r="CT132" s="1579">
        <v>60</v>
      </c>
      <c r="CU132" s="2">
        <f t="shared" si="10"/>
        <v>13</v>
      </c>
      <c r="CV132" s="2" t="str">
        <f t="shared" si="6"/>
        <v>Management - Sr. Practice Director / Sr. Delivery Director</v>
      </c>
      <c r="CW132" s="2" t="str">
        <f>_xlfn.XLOOKUP(CL132,'[1]Rates &amp; Drop Downs INT'!D$373:D$430,'[1]Rates &amp; Drop Downs INT'!C$373:C$430,"X",1)</f>
        <v>Cloud &amp; Engineering - 2 | Associate Engineer</v>
      </c>
      <c r="DF132" t="s">
        <v>1230</v>
      </c>
      <c r="DG132" t="s">
        <v>3519</v>
      </c>
      <c r="DH132" t="s">
        <v>1833</v>
      </c>
    </row>
    <row r="133" spans="2:112" ht="13.05" customHeight="1" x14ac:dyDescent="0.3">
      <c r="B133" s="4" t="s">
        <v>176</v>
      </c>
      <c r="C133" s="346" t="s">
        <v>428</v>
      </c>
      <c r="D133" s="346"/>
      <c r="E133" s="346"/>
      <c r="F133" s="4" t="s">
        <v>1742</v>
      </c>
      <c r="G133" s="343">
        <v>257</v>
      </c>
      <c r="H133" s="4" t="s">
        <v>119</v>
      </c>
      <c r="I133" s="343">
        <v>390</v>
      </c>
      <c r="J133" s="345">
        <v>6</v>
      </c>
      <c r="AT133" s="2" t="s">
        <v>297</v>
      </c>
      <c r="AU133" s="2" t="s">
        <v>1845</v>
      </c>
      <c r="AV133" s="2" t="s">
        <v>1875</v>
      </c>
      <c r="AW133" s="2" t="s">
        <v>1857</v>
      </c>
      <c r="AX133" s="2" t="s">
        <v>1777</v>
      </c>
      <c r="CG133" s="2" t="s">
        <v>297</v>
      </c>
      <c r="CH133" s="2" t="s">
        <v>1845</v>
      </c>
      <c r="CI133" s="2" t="s">
        <v>3327</v>
      </c>
      <c r="CJ133" s="2" t="s">
        <v>1861</v>
      </c>
      <c r="CK133" s="2" t="s">
        <v>448</v>
      </c>
      <c r="CL133" s="2" t="s">
        <v>3546</v>
      </c>
      <c r="CM133" s="39">
        <v>5</v>
      </c>
      <c r="CN133" s="2" t="str">
        <f t="shared" si="7"/>
        <v>TADigital NA Consulting - Delivery Manager</v>
      </c>
      <c r="CO133" s="2" t="str">
        <f t="shared" si="8"/>
        <v>TADigital India Consulting | Cloud &amp; Engineering - L2 / B1-B3 | Associate Engineer</v>
      </c>
      <c r="CP133" s="1579">
        <v>265</v>
      </c>
      <c r="CQ133" s="1579">
        <v>137.5</v>
      </c>
      <c r="CR133" s="1579">
        <v>90</v>
      </c>
      <c r="CS133" s="1579">
        <f t="shared" si="9"/>
        <v>38.950000000000003</v>
      </c>
      <c r="CT133" s="1579">
        <v>47.5</v>
      </c>
      <c r="CU133" s="2">
        <f t="shared" si="10"/>
        <v>13</v>
      </c>
      <c r="CV133" s="2" t="str">
        <f t="shared" si="6"/>
        <v>Delivery Manager</v>
      </c>
      <c r="CW133" s="2" t="str">
        <f>_xlfn.XLOOKUP(CL133,'[1]Rates &amp; Drop Downs INT'!D$373:D$430,'[1]Rates &amp; Drop Downs INT'!C$373:C$430,"X",1)</f>
        <v>Cloud &amp; Engineering - 2 | Associate Engineer</v>
      </c>
      <c r="DF133" t="s">
        <v>1230</v>
      </c>
      <c r="DG133" t="s">
        <v>3519</v>
      </c>
      <c r="DH133" t="s">
        <v>1834</v>
      </c>
    </row>
    <row r="134" spans="2:112" ht="13.05" customHeight="1" x14ac:dyDescent="0.3">
      <c r="B134" s="346" t="s">
        <v>176</v>
      </c>
      <c r="C134" s="346" t="s">
        <v>428</v>
      </c>
      <c r="D134" s="346"/>
      <c r="E134" s="346"/>
      <c r="F134" s="346" t="s">
        <v>1743</v>
      </c>
      <c r="G134" s="347">
        <v>128</v>
      </c>
      <c r="H134" s="346" t="s">
        <v>119</v>
      </c>
      <c r="I134" s="348">
        <v>300</v>
      </c>
      <c r="J134" s="353">
        <v>4</v>
      </c>
      <c r="AT134" s="2" t="s">
        <v>297</v>
      </c>
      <c r="AU134" s="2" t="s">
        <v>1845</v>
      </c>
      <c r="AV134" s="2" t="s">
        <v>1875</v>
      </c>
      <c r="AW134" s="2" t="s">
        <v>1857</v>
      </c>
      <c r="AX134" s="2" t="s">
        <v>1779</v>
      </c>
      <c r="CG134" s="2" t="s">
        <v>297</v>
      </c>
      <c r="CH134" s="2" t="s">
        <v>1845</v>
      </c>
      <c r="CI134" s="2" t="s">
        <v>3327</v>
      </c>
      <c r="CJ134" s="2" t="s">
        <v>1861</v>
      </c>
      <c r="CK134" s="2" t="s">
        <v>540</v>
      </c>
      <c r="CL134" s="2" t="s">
        <v>538</v>
      </c>
      <c r="CM134" s="39">
        <v>5</v>
      </c>
      <c r="CN134" s="2" t="str">
        <f t="shared" si="7"/>
        <v>TADigital NA Digital - Sr. Technical Architect</v>
      </c>
      <c r="CO134" s="2" t="str">
        <f t="shared" si="8"/>
        <v>TADigital India Consulting | Cloud &amp; Engineering - L2 / B1-B3 | Associate Engineer</v>
      </c>
      <c r="CP134" s="1579">
        <v>275</v>
      </c>
      <c r="CQ134" s="1579">
        <v>155</v>
      </c>
      <c r="CR134" s="1579">
        <v>105</v>
      </c>
      <c r="CS134" s="1579">
        <f t="shared" si="9"/>
        <v>36.900000000000006</v>
      </c>
      <c r="CT134" s="1579">
        <v>45</v>
      </c>
      <c r="CU134" s="2">
        <f t="shared" si="10"/>
        <v>13</v>
      </c>
      <c r="CV134" s="2" t="str">
        <f t="shared" ref="CV134:CV197" si="12">_xlfn.XLOOKUP(CN134,$F$205:$F$287,TADNorthAmerica,"X",1)</f>
        <v>Sr. Technical Architect</v>
      </c>
      <c r="CW134" s="2" t="str">
        <f>_xlfn.XLOOKUP(CL134,'[1]Rates &amp; Drop Downs INT'!D$373:D$430,'[1]Rates &amp; Drop Downs INT'!C$373:C$430,"X",1)</f>
        <v>Cloud &amp; Engineering - 2 | Associate Engineer</v>
      </c>
      <c r="DF134" t="s">
        <v>318</v>
      </c>
      <c r="DG134" t="s">
        <v>3520</v>
      </c>
      <c r="DH134" t="s">
        <v>1826</v>
      </c>
    </row>
    <row r="135" spans="2:112" ht="13.05" customHeight="1" x14ac:dyDescent="0.3">
      <c r="B135" s="4" t="s">
        <v>176</v>
      </c>
      <c r="C135" s="4" t="s">
        <v>381</v>
      </c>
      <c r="D135" s="4"/>
      <c r="E135" s="4"/>
      <c r="F135" s="4" t="s">
        <v>382</v>
      </c>
      <c r="G135" s="343">
        <v>289</v>
      </c>
      <c r="H135" s="4" t="s">
        <v>119</v>
      </c>
      <c r="I135" s="344">
        <v>465</v>
      </c>
      <c r="J135" s="345">
        <v>7</v>
      </c>
      <c r="AT135" s="2" t="s">
        <v>297</v>
      </c>
      <c r="AU135" s="2" t="s">
        <v>1845</v>
      </c>
      <c r="AV135" s="2" t="s">
        <v>1875</v>
      </c>
      <c r="AW135" s="2" t="s">
        <v>1857</v>
      </c>
      <c r="AX135" s="2" t="s">
        <v>1780</v>
      </c>
      <c r="CG135" s="2" t="s">
        <v>297</v>
      </c>
      <c r="CH135" s="2" t="s">
        <v>1845</v>
      </c>
      <c r="CI135" s="2" t="s">
        <v>3327</v>
      </c>
      <c r="CJ135" s="2" t="s">
        <v>1861</v>
      </c>
      <c r="CK135" s="2" t="s">
        <v>538</v>
      </c>
      <c r="CL135" s="2" t="s">
        <v>538</v>
      </c>
      <c r="CM135" s="39">
        <v>4</v>
      </c>
      <c r="CN135" s="2" t="str">
        <f t="shared" ref="CN135:CN198" si="13">_xlfn.XLOOKUP(CP135,$I$205:$I$287,$F$205:$F$287,"X",1)</f>
        <v>TADigital NA Consulting - Sr. Project Manager</v>
      </c>
      <c r="CO135" s="2" t="str">
        <f t="shared" ref="CO135:CO136" si="14">_xlfn.XLOOKUP(CW135,$C$373:$C$430,$F$373:$F$430,"X",1)</f>
        <v>TADigital India Consulting | Cloud &amp; Engineering - L2 / B1-B3 | Associate Engineer</v>
      </c>
      <c r="CP135" s="1579">
        <v>235</v>
      </c>
      <c r="CQ135" s="1579">
        <v>132.5</v>
      </c>
      <c r="CR135" s="1579">
        <v>95</v>
      </c>
      <c r="CS135" s="1579">
        <f t="shared" ref="CS135:CS198" si="15">CT135*(1-0.18)</f>
        <v>32.800000000000004</v>
      </c>
      <c r="CT135" s="1579">
        <v>40</v>
      </c>
      <c r="CU135" s="2">
        <f t="shared" ref="CU135:CU198" si="16">_xlfn.XLOOKUP(CW135,$C$373:$C$430,$G$373:$G$430,"X",1)</f>
        <v>13</v>
      </c>
      <c r="CV135" s="2" t="str">
        <f t="shared" si="12"/>
        <v>Sr. Project Manager</v>
      </c>
      <c r="CW135" s="2" t="str">
        <f>_xlfn.XLOOKUP(CL135,'[1]Rates &amp; Drop Downs INT'!D$373:D$430,'[1]Rates &amp; Drop Downs INT'!C$373:C$430,"X",1)</f>
        <v>Cloud &amp; Engineering - 2 | Associate Engineer</v>
      </c>
      <c r="DF135" t="s">
        <v>318</v>
      </c>
      <c r="DG135" t="s">
        <v>3520</v>
      </c>
      <c r="DH135" t="s">
        <v>1827</v>
      </c>
    </row>
    <row r="136" spans="2:112" ht="13.05" customHeight="1" x14ac:dyDescent="0.3">
      <c r="B136" s="346" t="s">
        <v>176</v>
      </c>
      <c r="C136" s="4" t="s">
        <v>409</v>
      </c>
      <c r="D136" s="4"/>
      <c r="E136" s="4"/>
      <c r="F136" s="346" t="s">
        <v>379</v>
      </c>
      <c r="G136" s="347">
        <v>128</v>
      </c>
      <c r="H136" s="4" t="s">
        <v>119</v>
      </c>
      <c r="I136" s="348">
        <v>300</v>
      </c>
      <c r="J136" s="345">
        <v>4</v>
      </c>
      <c r="AT136" s="2" t="s">
        <v>297</v>
      </c>
      <c r="AU136" s="2" t="s">
        <v>1845</v>
      </c>
      <c r="AV136" s="2" t="s">
        <v>1875</v>
      </c>
      <c r="AW136" s="2" t="s">
        <v>1857</v>
      </c>
      <c r="AX136" s="2" t="s">
        <v>1749</v>
      </c>
      <c r="CG136" s="2" t="s">
        <v>297</v>
      </c>
      <c r="CH136" s="2" t="s">
        <v>1845</v>
      </c>
      <c r="CI136" s="2" t="s">
        <v>3327</v>
      </c>
      <c r="CJ136" s="2" t="s">
        <v>1861</v>
      </c>
      <c r="CK136" s="2" t="s">
        <v>536</v>
      </c>
      <c r="CL136" s="2" t="s">
        <v>536</v>
      </c>
      <c r="CM136" s="39">
        <v>3</v>
      </c>
      <c r="CN136" s="2" t="str">
        <f t="shared" si="13"/>
        <v>TADigital NA Digital - Technical Lead</v>
      </c>
      <c r="CO136" s="2" t="str">
        <f t="shared" si="14"/>
        <v>TADigital India Consulting | Cloud &amp; Engineering - L2 / B1-B3 | Associate Engineer</v>
      </c>
      <c r="CP136" s="1579">
        <v>185</v>
      </c>
      <c r="CQ136" s="1579">
        <v>90</v>
      </c>
      <c r="CR136" s="1579">
        <v>85</v>
      </c>
      <c r="CS136" s="1579">
        <f t="shared" si="15"/>
        <v>24.6</v>
      </c>
      <c r="CT136" s="1579">
        <v>30</v>
      </c>
      <c r="CU136" s="2">
        <f t="shared" si="16"/>
        <v>13</v>
      </c>
      <c r="CV136" s="2" t="str">
        <f t="shared" si="12"/>
        <v>Technical Lead</v>
      </c>
      <c r="CW136" s="2" t="str">
        <f>_xlfn.XLOOKUP(CL136,'[1]Rates &amp; Drop Downs INT'!D$373:D$430,'[1]Rates &amp; Drop Downs INT'!C$373:C$430,"X",1)</f>
        <v>Cloud &amp; Engineering - 2 | Associate Engineer</v>
      </c>
      <c r="DF136" t="s">
        <v>318</v>
      </c>
      <c r="DG136" t="s">
        <v>3520</v>
      </c>
      <c r="DH136" t="s">
        <v>1828</v>
      </c>
    </row>
    <row r="137" spans="2:112" ht="13.05" customHeight="1" x14ac:dyDescent="0.3">
      <c r="B137" s="346" t="s">
        <v>176</v>
      </c>
      <c r="C137" s="4" t="s">
        <v>409</v>
      </c>
      <c r="D137" s="4"/>
      <c r="E137" s="4"/>
      <c r="F137" s="4" t="s">
        <v>385</v>
      </c>
      <c r="G137" s="343">
        <v>172</v>
      </c>
      <c r="H137" s="4" t="s">
        <v>119</v>
      </c>
      <c r="I137" s="344">
        <v>350</v>
      </c>
      <c r="J137" s="345">
        <v>5</v>
      </c>
      <c r="AT137" s="2" t="s">
        <v>297</v>
      </c>
      <c r="AU137" s="2" t="s">
        <v>1845</v>
      </c>
      <c r="AV137" s="2" t="s">
        <v>1876</v>
      </c>
      <c r="AW137" s="2" t="s">
        <v>1856</v>
      </c>
      <c r="AX137" s="2" t="s">
        <v>326</v>
      </c>
      <c r="CG137" s="2" t="s">
        <v>255</v>
      </c>
      <c r="CH137" s="2" t="s">
        <v>255</v>
      </c>
      <c r="CI137" s="2" t="s">
        <v>3328</v>
      </c>
      <c r="CJ137" s="2" t="s">
        <v>1214</v>
      </c>
      <c r="CK137" s="2" t="s">
        <v>565</v>
      </c>
      <c r="CL137" s="2">
        <v>0</v>
      </c>
      <c r="CM137" s="39">
        <v>3</v>
      </c>
      <c r="CN137" s="2" t="str">
        <f t="shared" si="13"/>
        <v>TADigital NA Digital - BA Lead</v>
      </c>
      <c r="CO137" s="2" t="str">
        <f>_xlfn.XLOOKUP(CW137,$C$373:$C$430,$F$373:$F$430,"X",1)</f>
        <v>TADigital India Consulting | Cloud &amp; Engineering - L2 / B1-B3 | Associate Engineer</v>
      </c>
      <c r="CP137" s="1579">
        <v>195</v>
      </c>
      <c r="CQ137" s="1579">
        <v>107.5</v>
      </c>
      <c r="CR137" s="1579">
        <v>85</v>
      </c>
      <c r="CS137" s="1579">
        <f t="shared" si="15"/>
        <v>26.650000000000002</v>
      </c>
      <c r="CT137" s="1579">
        <v>32.5</v>
      </c>
      <c r="CU137" s="2">
        <f t="shared" si="16"/>
        <v>13</v>
      </c>
      <c r="CV137" s="2" t="str">
        <f t="shared" si="12"/>
        <v>BA Lead</v>
      </c>
      <c r="CW137" s="2" t="str">
        <f>_xlfn.XLOOKUP(CL137,'[1]Rates &amp; Drop Downs INT'!D$373:D$430,'[1]Rates &amp; Drop Downs INT'!C$373:C$430,"X",1)</f>
        <v>Cloud &amp; Engineering - 2 | Associate Engineer</v>
      </c>
      <c r="DF137" t="s">
        <v>318</v>
      </c>
      <c r="DG137" t="s">
        <v>3520</v>
      </c>
      <c r="DH137" t="s">
        <v>3467</v>
      </c>
    </row>
    <row r="138" spans="2:112" ht="13.05" customHeight="1" x14ac:dyDescent="0.3">
      <c r="B138" s="346" t="s">
        <v>176</v>
      </c>
      <c r="C138" s="4" t="s">
        <v>409</v>
      </c>
      <c r="D138" s="4"/>
      <c r="E138" s="4"/>
      <c r="F138" s="4" t="s">
        <v>420</v>
      </c>
      <c r="G138" s="343">
        <v>257</v>
      </c>
      <c r="H138" s="4" t="s">
        <v>119</v>
      </c>
      <c r="I138" s="344">
        <v>390</v>
      </c>
      <c r="J138" s="345">
        <v>6</v>
      </c>
      <c r="AT138" s="2" t="s">
        <v>297</v>
      </c>
      <c r="AU138" s="2" t="s">
        <v>1845</v>
      </c>
      <c r="AV138" s="2" t="s">
        <v>1876</v>
      </c>
      <c r="AW138" s="2" t="s">
        <v>1856</v>
      </c>
      <c r="AX138" s="2" t="s">
        <v>1748</v>
      </c>
      <c r="CG138" s="2" t="s">
        <v>255</v>
      </c>
      <c r="CH138" s="2" t="s">
        <v>255</v>
      </c>
      <c r="CI138" s="2" t="s">
        <v>3328</v>
      </c>
      <c r="CJ138" s="2" t="s">
        <v>1214</v>
      </c>
      <c r="CK138" s="2" t="s">
        <v>380</v>
      </c>
      <c r="CL138" s="2">
        <v>0</v>
      </c>
      <c r="CM138" s="39">
        <v>2</v>
      </c>
      <c r="CN138" s="2" t="str">
        <f t="shared" si="13"/>
        <v>TADigital NA Consulting | Content &amp; SEO - Associate Content Strategist</v>
      </c>
      <c r="CO138" s="2" t="str">
        <f t="shared" ref="CO138" si="17">_xlfn.XLOOKUP(CW138,$C$373:$C$430,$F$373:$F$430,"X",1)</f>
        <v>TADigital India Consulting | Cloud &amp; Engineering - L2 / B1-B3 | Associate Engineer</v>
      </c>
      <c r="CP138" s="1579">
        <v>160</v>
      </c>
      <c r="CQ138" s="1579">
        <v>97.5</v>
      </c>
      <c r="CR138" s="1579">
        <v>55</v>
      </c>
      <c r="CS138" s="1579">
        <f t="shared" si="15"/>
        <v>18.450000000000003</v>
      </c>
      <c r="CT138" s="1579">
        <v>22.5</v>
      </c>
      <c r="CU138" s="2">
        <f t="shared" si="16"/>
        <v>13</v>
      </c>
      <c r="CV138" s="2" t="str">
        <f t="shared" si="12"/>
        <v>Content &amp; SEO - Associate Content Strategist</v>
      </c>
      <c r="CW138" s="2" t="str">
        <f>_xlfn.XLOOKUP(CL138,'[1]Rates &amp; Drop Downs INT'!D$373:D$430,'[1]Rates &amp; Drop Downs INT'!C$373:C$430,"X",1)</f>
        <v>Cloud &amp; Engineering - 2 | Associate Engineer</v>
      </c>
      <c r="DF138" t="s">
        <v>318</v>
      </c>
      <c r="DG138" t="s">
        <v>3520</v>
      </c>
      <c r="DH138" t="s">
        <v>1830</v>
      </c>
    </row>
    <row r="139" spans="2:112" ht="13.05" customHeight="1" x14ac:dyDescent="0.3">
      <c r="B139" s="4" t="s">
        <v>176</v>
      </c>
      <c r="C139" s="4" t="s">
        <v>405</v>
      </c>
      <c r="D139" s="4"/>
      <c r="E139" s="4"/>
      <c r="F139" s="4" t="s">
        <v>271</v>
      </c>
      <c r="G139" s="343">
        <v>77</v>
      </c>
      <c r="H139" s="4" t="s">
        <v>119</v>
      </c>
      <c r="I139" s="344">
        <v>200</v>
      </c>
      <c r="J139" s="345">
        <v>2</v>
      </c>
      <c r="AT139" s="2" t="s">
        <v>297</v>
      </c>
      <c r="AU139" s="2" t="s">
        <v>1845</v>
      </c>
      <c r="AV139" s="2" t="s">
        <v>1876</v>
      </c>
      <c r="AW139" s="2" t="s">
        <v>1856</v>
      </c>
      <c r="AX139" s="2" t="s">
        <v>1855</v>
      </c>
      <c r="CG139" s="2" t="s">
        <v>255</v>
      </c>
      <c r="CH139" s="2" t="s">
        <v>255</v>
      </c>
      <c r="CI139" s="2" t="s">
        <v>3328</v>
      </c>
      <c r="CJ139" s="2" t="s">
        <v>1214</v>
      </c>
      <c r="CK139" s="2" t="s">
        <v>563</v>
      </c>
      <c r="CL139" s="2">
        <v>0</v>
      </c>
      <c r="CM139" s="39">
        <v>2</v>
      </c>
      <c r="CN139" s="2" t="str">
        <f t="shared" si="13"/>
        <v>TADigital NA Digital - Technical Lead</v>
      </c>
      <c r="CO139" s="2" t="str">
        <f>_xlfn.XLOOKUP(CW139,$C$373:$C$430,$F$373:$F$430,"X",1)</f>
        <v>TADigital India Consulting | Cloud &amp; Engineering - L2 / B1-B3 | Associate Engineer</v>
      </c>
      <c r="CP139" s="1579">
        <v>185</v>
      </c>
      <c r="CQ139" s="1579">
        <v>105</v>
      </c>
      <c r="CR139" s="1579">
        <v>65</v>
      </c>
      <c r="CS139" s="1579">
        <f t="shared" si="15"/>
        <v>24.6</v>
      </c>
      <c r="CT139" s="1579">
        <v>30</v>
      </c>
      <c r="CU139" s="2">
        <f t="shared" si="16"/>
        <v>13</v>
      </c>
      <c r="CV139" s="2" t="str">
        <f t="shared" si="12"/>
        <v>Technical Lead</v>
      </c>
      <c r="CW139" s="2" t="str">
        <f>_xlfn.XLOOKUP(CL139,'[1]Rates &amp; Drop Downs INT'!D$373:D$430,'[1]Rates &amp; Drop Downs INT'!C$373:C$430,"X",1)</f>
        <v>Cloud &amp; Engineering - 2 | Associate Engineer</v>
      </c>
      <c r="DF139" t="s">
        <v>318</v>
      </c>
      <c r="DG139" t="s">
        <v>3520</v>
      </c>
      <c r="DH139" t="s">
        <v>1831</v>
      </c>
    </row>
    <row r="140" spans="2:112" ht="13.05" customHeight="1" x14ac:dyDescent="0.3">
      <c r="B140" s="4" t="s">
        <v>176</v>
      </c>
      <c r="C140" s="4" t="s">
        <v>405</v>
      </c>
      <c r="D140" s="4"/>
      <c r="E140" s="4"/>
      <c r="F140" s="4" t="s">
        <v>259</v>
      </c>
      <c r="G140" s="343">
        <v>96</v>
      </c>
      <c r="H140" s="4" t="s">
        <v>119</v>
      </c>
      <c r="I140" s="344">
        <v>240</v>
      </c>
      <c r="J140" s="345">
        <v>3</v>
      </c>
      <c r="AT140" s="2" t="s">
        <v>297</v>
      </c>
      <c r="AU140" s="2" t="s">
        <v>1845</v>
      </c>
      <c r="AV140" s="2" t="s">
        <v>1876</v>
      </c>
      <c r="AW140" s="2" t="s">
        <v>1856</v>
      </c>
      <c r="AX140" s="2" t="s">
        <v>279</v>
      </c>
      <c r="CG140" s="2" t="s">
        <v>255</v>
      </c>
      <c r="CH140" s="2" t="s">
        <v>255</v>
      </c>
      <c r="CI140" s="2" t="s">
        <v>1218</v>
      </c>
      <c r="CJ140" s="2" t="s">
        <v>1797</v>
      </c>
      <c r="CK140" s="2" t="s">
        <v>3355</v>
      </c>
      <c r="CL140" s="2" t="s">
        <v>3547</v>
      </c>
      <c r="CM140" s="39">
        <v>2</v>
      </c>
      <c r="CN140" s="2" t="str">
        <f t="shared" si="13"/>
        <v>TADigital NA Consulting | Content &amp; SEO - Associate Web Content Analyst</v>
      </c>
      <c r="CO140" s="2" t="str">
        <f t="shared" ref="CO140:CO203" si="18">_xlfn.XLOOKUP(CW140,$C$373:$C$430,$F$373:$F$430,"X",1)</f>
        <v>TADigital India Consulting | Cloud &amp; Engineering - L2 / B1-B3 | Associate Engineer</v>
      </c>
      <c r="CP140" s="1579">
        <v>0</v>
      </c>
      <c r="CQ140" s="1579">
        <v>0</v>
      </c>
      <c r="CR140" s="1579">
        <v>35</v>
      </c>
      <c r="CS140" s="1579">
        <f t="shared" si="15"/>
        <v>10.66</v>
      </c>
      <c r="CT140" s="1579">
        <v>13</v>
      </c>
      <c r="CU140" s="2">
        <f t="shared" si="16"/>
        <v>13</v>
      </c>
      <c r="CV140" s="2" t="str">
        <f t="shared" si="12"/>
        <v>Content &amp; SEO - Associate Web Content Analyst</v>
      </c>
      <c r="CW140" s="2" t="str">
        <f>_xlfn.XLOOKUP(CL140,'[1]Rates &amp; Drop Downs INT'!D$373:D$430,'[1]Rates &amp; Drop Downs INT'!C$373:C$430,"X",1)</f>
        <v>Cloud &amp; Engineering - 2 | Associate Engineer</v>
      </c>
      <c r="DF140" t="s">
        <v>2728</v>
      </c>
      <c r="DG140" t="s">
        <v>3521</v>
      </c>
      <c r="DH140" t="s">
        <v>2728</v>
      </c>
    </row>
    <row r="141" spans="2:112" ht="13.05" customHeight="1" x14ac:dyDescent="0.3">
      <c r="B141" s="346" t="s">
        <v>176</v>
      </c>
      <c r="C141" s="346" t="s">
        <v>406</v>
      </c>
      <c r="D141" s="346"/>
      <c r="E141" s="346"/>
      <c r="F141" s="346" t="s">
        <v>379</v>
      </c>
      <c r="G141" s="347">
        <v>128</v>
      </c>
      <c r="H141" s="4" t="s">
        <v>119</v>
      </c>
      <c r="I141" s="348">
        <v>300</v>
      </c>
      <c r="J141" s="353">
        <v>4</v>
      </c>
      <c r="CG141" s="2" t="s">
        <v>255</v>
      </c>
      <c r="CH141" s="2" t="s">
        <v>255</v>
      </c>
      <c r="CI141" s="2" t="s">
        <v>1218</v>
      </c>
      <c r="CJ141" s="2" t="s">
        <v>1797</v>
      </c>
      <c r="CK141" s="2" t="s">
        <v>3356</v>
      </c>
      <c r="CL141" s="2" t="s">
        <v>3545</v>
      </c>
      <c r="CM141" s="39">
        <v>2</v>
      </c>
      <c r="CN141" s="2" t="str">
        <f t="shared" si="13"/>
        <v>TADigital NA Consulting | Content &amp; SEO - Associate Web Content Analyst</v>
      </c>
      <c r="CO141" s="2" t="str">
        <f t="shared" si="18"/>
        <v>TADigital India Consulting | Cloud &amp; Engineering - L2 / B1-B3 | Associate Engineer</v>
      </c>
      <c r="CP141" s="1579">
        <v>0</v>
      </c>
      <c r="CQ141" s="1579">
        <v>0</v>
      </c>
      <c r="CR141" s="1579">
        <v>35</v>
      </c>
      <c r="CS141" s="1579">
        <f t="shared" si="15"/>
        <v>10.66</v>
      </c>
      <c r="CT141" s="1579">
        <v>13</v>
      </c>
      <c r="CU141" s="2">
        <f t="shared" si="16"/>
        <v>13</v>
      </c>
      <c r="CV141" s="2" t="str">
        <f t="shared" si="12"/>
        <v>Content &amp; SEO - Associate Web Content Analyst</v>
      </c>
      <c r="CW141" s="2" t="str">
        <f>_xlfn.XLOOKUP(CL141,'[1]Rates &amp; Drop Downs INT'!D$373:D$430,'[1]Rates &amp; Drop Downs INT'!C$373:C$430,"X",1)</f>
        <v>Cloud &amp; Engineering - 2 | Associate Engineer</v>
      </c>
      <c r="DF141" t="s">
        <v>1236</v>
      </c>
      <c r="DG141" t="s">
        <v>3522</v>
      </c>
      <c r="DH141" t="s">
        <v>3468</v>
      </c>
    </row>
    <row r="142" spans="2:112" ht="13.05" customHeight="1" x14ac:dyDescent="0.3">
      <c r="B142" s="346" t="s">
        <v>176</v>
      </c>
      <c r="C142" s="346" t="s">
        <v>406</v>
      </c>
      <c r="D142" s="346"/>
      <c r="E142" s="346"/>
      <c r="F142" s="346" t="s">
        <v>385</v>
      </c>
      <c r="G142" s="347">
        <v>172</v>
      </c>
      <c r="H142" s="4" t="s">
        <v>119</v>
      </c>
      <c r="I142" s="348">
        <v>350</v>
      </c>
      <c r="J142" s="345">
        <v>5</v>
      </c>
      <c r="CG142" s="2" t="s">
        <v>255</v>
      </c>
      <c r="CH142" s="2" t="s">
        <v>255</v>
      </c>
      <c r="CI142" s="2" t="s">
        <v>1218</v>
      </c>
      <c r="CJ142" s="2" t="s">
        <v>1797</v>
      </c>
      <c r="CK142" s="2" t="s">
        <v>720</v>
      </c>
      <c r="CL142" s="2" t="s">
        <v>3546</v>
      </c>
      <c r="CM142" s="39">
        <v>5</v>
      </c>
      <c r="CN142" s="2" t="str">
        <f t="shared" si="13"/>
        <v>TADigital NA | Management - Associate Practice Director</v>
      </c>
      <c r="CO142" s="2" t="str">
        <f t="shared" si="18"/>
        <v>TADigital India Consulting | Cloud &amp; Engineering - L2 / B1-B3 | Associate Engineer</v>
      </c>
      <c r="CP142" s="1579">
        <v>290</v>
      </c>
      <c r="CQ142" s="1579">
        <v>140</v>
      </c>
      <c r="CR142" s="1579">
        <v>105</v>
      </c>
      <c r="CS142" s="1579">
        <f t="shared" si="15"/>
        <v>45.1</v>
      </c>
      <c r="CT142" s="1579">
        <v>55</v>
      </c>
      <c r="CU142" s="2">
        <f t="shared" si="16"/>
        <v>13</v>
      </c>
      <c r="CV142" s="2" t="str">
        <f t="shared" si="12"/>
        <v>Management - Associate Practice Director</v>
      </c>
      <c r="CW142" s="2" t="str">
        <f>_xlfn.XLOOKUP(CL142,'[1]Rates &amp; Drop Downs INT'!D$373:D$430,'[1]Rates &amp; Drop Downs INT'!C$373:C$430,"X",1)</f>
        <v>Cloud &amp; Engineering - 2 | Associate Engineer</v>
      </c>
      <c r="DF142" t="s">
        <v>1236</v>
      </c>
      <c r="DG142" t="s">
        <v>3522</v>
      </c>
      <c r="DH142" t="s">
        <v>3469</v>
      </c>
    </row>
    <row r="143" spans="2:112" ht="13.05" customHeight="1" x14ac:dyDescent="0.3">
      <c r="B143" s="346" t="s">
        <v>176</v>
      </c>
      <c r="C143" s="346" t="s">
        <v>406</v>
      </c>
      <c r="D143" s="346"/>
      <c r="E143" s="346"/>
      <c r="F143" s="4" t="s">
        <v>420</v>
      </c>
      <c r="G143" s="343">
        <v>257</v>
      </c>
      <c r="H143" s="4" t="s">
        <v>119</v>
      </c>
      <c r="I143" s="344">
        <v>390</v>
      </c>
      <c r="J143" s="345">
        <v>6</v>
      </c>
      <c r="CG143" s="2" t="s">
        <v>255</v>
      </c>
      <c r="CH143" s="2" t="s">
        <v>255</v>
      </c>
      <c r="CI143" s="2" t="s">
        <v>1218</v>
      </c>
      <c r="CJ143" s="2" t="s">
        <v>1797</v>
      </c>
      <c r="CK143" s="2" t="s">
        <v>367</v>
      </c>
      <c r="CL143" s="2" t="s">
        <v>536</v>
      </c>
      <c r="CM143" s="39">
        <v>2</v>
      </c>
      <c r="CN143" s="2" t="str">
        <f t="shared" si="13"/>
        <v>TADigital NA Consulting | Content &amp; SEO - Associate Content Strategist</v>
      </c>
      <c r="CO143" s="2" t="str">
        <f t="shared" si="18"/>
        <v>TADigital India Consulting | Cloud &amp; Engineering - L2 / B1-B3 | Associate Engineer</v>
      </c>
      <c r="CP143" s="1579">
        <v>160</v>
      </c>
      <c r="CQ143" s="1579">
        <v>85</v>
      </c>
      <c r="CR143" s="1579">
        <v>55</v>
      </c>
      <c r="CS143" s="1579">
        <f t="shared" si="15"/>
        <v>14.760000000000002</v>
      </c>
      <c r="CT143" s="1579">
        <v>18</v>
      </c>
      <c r="CU143" s="2">
        <f t="shared" si="16"/>
        <v>13</v>
      </c>
      <c r="CV143" s="2" t="str">
        <f t="shared" si="12"/>
        <v>Content &amp; SEO - Associate Content Strategist</v>
      </c>
      <c r="CW143" s="2" t="str">
        <f>_xlfn.XLOOKUP(CL143,'[1]Rates &amp; Drop Downs INT'!D$373:D$430,'[1]Rates &amp; Drop Downs INT'!C$373:C$430,"X",1)</f>
        <v>Cloud &amp; Engineering - 2 | Associate Engineer</v>
      </c>
      <c r="DF143" t="s">
        <v>1237</v>
      </c>
      <c r="DG143" t="s">
        <v>3523</v>
      </c>
      <c r="DH143" t="s">
        <v>1798</v>
      </c>
    </row>
    <row r="144" spans="2:112" ht="13.05" customHeight="1" x14ac:dyDescent="0.3">
      <c r="B144" s="346" t="s">
        <v>176</v>
      </c>
      <c r="C144" s="4" t="s">
        <v>407</v>
      </c>
      <c r="D144" s="4"/>
      <c r="E144" s="4"/>
      <c r="F144" s="346" t="s">
        <v>379</v>
      </c>
      <c r="G144" s="347">
        <v>128</v>
      </c>
      <c r="H144" s="4" t="s">
        <v>119</v>
      </c>
      <c r="I144" s="348">
        <v>300</v>
      </c>
      <c r="J144" s="345">
        <v>4</v>
      </c>
      <c r="CG144" s="2" t="s">
        <v>255</v>
      </c>
      <c r="CH144" s="2" t="s">
        <v>255</v>
      </c>
      <c r="CI144" s="2" t="s">
        <v>1218</v>
      </c>
      <c r="CJ144" s="2" t="s">
        <v>1797</v>
      </c>
      <c r="CK144" s="2" t="s">
        <v>348</v>
      </c>
      <c r="CL144" s="2" t="s">
        <v>538</v>
      </c>
      <c r="CM144" s="39">
        <v>4</v>
      </c>
      <c r="CN144" s="2" t="str">
        <f t="shared" si="13"/>
        <v>TADigital NA Consulting - Sr. Project Manager</v>
      </c>
      <c r="CO144" s="2" t="str">
        <f t="shared" si="18"/>
        <v>TADigital India Consulting | Cloud &amp; Engineering - L2 / B1-B3 | Associate Engineer</v>
      </c>
      <c r="CP144" s="1579">
        <v>235</v>
      </c>
      <c r="CQ144" s="1579">
        <v>115.5</v>
      </c>
      <c r="CR144" s="1579">
        <v>95</v>
      </c>
      <c r="CS144" s="1579">
        <f t="shared" si="15"/>
        <v>30.750000000000004</v>
      </c>
      <c r="CT144" s="1579">
        <v>37.5</v>
      </c>
      <c r="CU144" s="2">
        <f t="shared" si="16"/>
        <v>13</v>
      </c>
      <c r="CV144" s="2" t="str">
        <f t="shared" si="12"/>
        <v>Sr. Project Manager</v>
      </c>
      <c r="CW144" s="2" t="str">
        <f>_xlfn.XLOOKUP(CL144,'[1]Rates &amp; Drop Downs INT'!D$373:D$430,'[1]Rates &amp; Drop Downs INT'!C$373:C$430,"X",1)</f>
        <v>Cloud &amp; Engineering - 2 | Associate Engineer</v>
      </c>
      <c r="DF144" t="s">
        <v>1237</v>
      </c>
      <c r="DG144" t="s">
        <v>3523</v>
      </c>
      <c r="DH144" t="s">
        <v>1809</v>
      </c>
    </row>
    <row r="145" spans="2:112" ht="13.05" customHeight="1" x14ac:dyDescent="0.3">
      <c r="B145" s="346" t="s">
        <v>176</v>
      </c>
      <c r="C145" s="4" t="s">
        <v>407</v>
      </c>
      <c r="D145" s="4"/>
      <c r="E145" s="4"/>
      <c r="F145" s="4" t="s">
        <v>385</v>
      </c>
      <c r="G145" s="343">
        <v>172</v>
      </c>
      <c r="H145" s="4" t="s">
        <v>119</v>
      </c>
      <c r="I145" s="344">
        <v>350</v>
      </c>
      <c r="J145" s="345">
        <v>5</v>
      </c>
      <c r="CG145" s="2" t="s">
        <v>255</v>
      </c>
      <c r="CH145" s="2" t="s">
        <v>255</v>
      </c>
      <c r="CI145" s="2" t="s">
        <v>1218</v>
      </c>
      <c r="CJ145" s="2" t="s">
        <v>1797</v>
      </c>
      <c r="CK145" s="2" t="s">
        <v>315</v>
      </c>
      <c r="CL145" s="2" t="s">
        <v>3550</v>
      </c>
      <c r="CM145" s="39">
        <v>2</v>
      </c>
      <c r="CN145" s="2" t="str">
        <f t="shared" si="13"/>
        <v>TADigital NA Consulting | Content &amp; SEO - Associate Content Strategist</v>
      </c>
      <c r="CO145" s="2" t="str">
        <f t="shared" si="18"/>
        <v>TADigital India Consulting | Cloud &amp; Engineering - L2 / B1-B3 | Associate Engineer</v>
      </c>
      <c r="CP145" s="1579">
        <v>160</v>
      </c>
      <c r="CQ145" s="1579">
        <v>85</v>
      </c>
      <c r="CR145" s="1579">
        <v>55</v>
      </c>
      <c r="CS145" s="1579">
        <f t="shared" si="15"/>
        <v>14.760000000000002</v>
      </c>
      <c r="CT145" s="1579">
        <v>18</v>
      </c>
      <c r="CU145" s="2">
        <f t="shared" si="16"/>
        <v>13</v>
      </c>
      <c r="CV145" s="2" t="str">
        <f t="shared" si="12"/>
        <v>Content &amp; SEO - Associate Content Strategist</v>
      </c>
      <c r="CW145" s="2" t="str">
        <f>_xlfn.XLOOKUP(CL145,'[1]Rates &amp; Drop Downs INT'!D$373:D$430,'[1]Rates &amp; Drop Downs INT'!C$373:C$430,"X",1)</f>
        <v>Cloud &amp; Engineering - 2 | Associate Engineer</v>
      </c>
      <c r="DF145" t="s">
        <v>1237</v>
      </c>
      <c r="DG145" t="s">
        <v>3523</v>
      </c>
      <c r="DH145" t="s">
        <v>1810</v>
      </c>
    </row>
    <row r="146" spans="2:112" ht="13.05" customHeight="1" x14ac:dyDescent="0.3">
      <c r="B146" s="346" t="s">
        <v>176</v>
      </c>
      <c r="C146" s="4" t="s">
        <v>407</v>
      </c>
      <c r="D146" s="4"/>
      <c r="E146" s="4"/>
      <c r="F146" s="4" t="s">
        <v>420</v>
      </c>
      <c r="G146" s="343">
        <v>257</v>
      </c>
      <c r="H146" s="4" t="s">
        <v>119</v>
      </c>
      <c r="I146" s="344">
        <v>390</v>
      </c>
      <c r="J146" s="345">
        <v>6</v>
      </c>
      <c r="CG146" s="2" t="s">
        <v>255</v>
      </c>
      <c r="CH146" s="2" t="s">
        <v>255</v>
      </c>
      <c r="CI146" s="2" t="s">
        <v>1218</v>
      </c>
      <c r="CJ146" s="2" t="s">
        <v>1797</v>
      </c>
      <c r="CK146" s="2" t="s">
        <v>3357</v>
      </c>
      <c r="CL146" s="2" t="s">
        <v>536</v>
      </c>
      <c r="CM146" s="39">
        <v>3</v>
      </c>
      <c r="CN146" s="2" t="str">
        <f t="shared" si="13"/>
        <v>TADigital NA Consulting | Content &amp; SEO - Associate Manager</v>
      </c>
      <c r="CO146" s="2" t="str">
        <f t="shared" si="18"/>
        <v>TADigital India Consulting | Cloud &amp; Engineering - L2 / B1-B3 | Associate Engineer</v>
      </c>
      <c r="CP146" s="1579">
        <v>210</v>
      </c>
      <c r="CQ146" s="1579">
        <v>107.5</v>
      </c>
      <c r="CR146" s="1579">
        <v>85</v>
      </c>
      <c r="CS146" s="1579">
        <f t="shared" si="15"/>
        <v>28.700000000000003</v>
      </c>
      <c r="CT146" s="1579">
        <v>35</v>
      </c>
      <c r="CU146" s="2">
        <f t="shared" si="16"/>
        <v>13</v>
      </c>
      <c r="CV146" s="2" t="str">
        <f t="shared" si="12"/>
        <v>Content &amp; SEO - Associate Manager</v>
      </c>
      <c r="CW146" s="2" t="str">
        <f>_xlfn.XLOOKUP(CL146,'[1]Rates &amp; Drop Downs INT'!D$373:D$430,'[1]Rates &amp; Drop Downs INT'!C$373:C$430,"X",1)</f>
        <v>Cloud &amp; Engineering - 2 | Associate Engineer</v>
      </c>
      <c r="DF146" t="s">
        <v>1238</v>
      </c>
      <c r="DG146" t="s">
        <v>3524</v>
      </c>
      <c r="DH146" t="s">
        <v>3470</v>
      </c>
    </row>
    <row r="147" spans="2:112" ht="13.05" customHeight="1" x14ac:dyDescent="0.3">
      <c r="B147" s="4" t="s">
        <v>176</v>
      </c>
      <c r="C147" s="4" t="s">
        <v>372</v>
      </c>
      <c r="D147" s="4"/>
      <c r="E147" s="4"/>
      <c r="F147" s="346" t="s">
        <v>259</v>
      </c>
      <c r="G147" s="347">
        <v>96</v>
      </c>
      <c r="H147" s="4" t="s">
        <v>119</v>
      </c>
      <c r="I147" s="348">
        <v>240</v>
      </c>
      <c r="J147" s="345">
        <v>3</v>
      </c>
      <c r="CG147" s="2" t="s">
        <v>255</v>
      </c>
      <c r="CH147" s="2" t="s">
        <v>255</v>
      </c>
      <c r="CI147" s="2" t="s">
        <v>1218</v>
      </c>
      <c r="CJ147" s="2" t="s">
        <v>1797</v>
      </c>
      <c r="CK147" s="2" t="s">
        <v>370</v>
      </c>
      <c r="CL147" s="2" t="s">
        <v>3548</v>
      </c>
      <c r="CM147" s="39">
        <v>4</v>
      </c>
      <c r="CN147" s="2" t="str">
        <f t="shared" si="13"/>
        <v>TADigital NA Consulting - Sr. Project Manager</v>
      </c>
      <c r="CO147" s="2" t="str">
        <f t="shared" si="18"/>
        <v>TADigital India Consulting | Cloud &amp; Engineering - L2 / B1-B3 | Associate Engineer</v>
      </c>
      <c r="CP147" s="1579">
        <v>235</v>
      </c>
      <c r="CQ147" s="1579">
        <v>116</v>
      </c>
      <c r="CR147" s="1579">
        <v>95</v>
      </c>
      <c r="CS147" s="1579">
        <f t="shared" si="15"/>
        <v>31.160000000000004</v>
      </c>
      <c r="CT147" s="1579">
        <v>38</v>
      </c>
      <c r="CU147" s="2">
        <f t="shared" si="16"/>
        <v>13</v>
      </c>
      <c r="CV147" s="2" t="str">
        <f t="shared" si="12"/>
        <v>Sr. Project Manager</v>
      </c>
      <c r="CW147" s="2" t="str">
        <f>_xlfn.XLOOKUP(CL147,'[1]Rates &amp; Drop Downs INT'!D$373:D$430,'[1]Rates &amp; Drop Downs INT'!C$373:C$430,"X",1)</f>
        <v>Cloud &amp; Engineering - 2 | Associate Engineer</v>
      </c>
      <c r="DF147" t="s">
        <v>1238</v>
      </c>
      <c r="DG147" t="s">
        <v>3524</v>
      </c>
      <c r="DH147" t="s">
        <v>3471</v>
      </c>
    </row>
    <row r="148" spans="2:112" ht="13.05" customHeight="1" x14ac:dyDescent="0.3">
      <c r="B148" s="4" t="s">
        <v>176</v>
      </c>
      <c r="C148" s="4" t="s">
        <v>372</v>
      </c>
      <c r="D148" s="4"/>
      <c r="E148" s="4"/>
      <c r="F148" s="4" t="s">
        <v>353</v>
      </c>
      <c r="G148" s="343">
        <v>128</v>
      </c>
      <c r="H148" s="4" t="s">
        <v>119</v>
      </c>
      <c r="I148" s="344">
        <v>300</v>
      </c>
      <c r="J148" s="345">
        <v>4</v>
      </c>
      <c r="CG148" s="2" t="s">
        <v>255</v>
      </c>
      <c r="CH148" s="2" t="s">
        <v>255</v>
      </c>
      <c r="CI148" s="2" t="s">
        <v>1218</v>
      </c>
      <c r="CJ148" s="2" t="s">
        <v>1797</v>
      </c>
      <c r="CK148" s="2" t="s">
        <v>3358</v>
      </c>
      <c r="CL148" s="2" t="s">
        <v>538</v>
      </c>
      <c r="CM148" s="39">
        <v>3</v>
      </c>
      <c r="CN148" s="2" t="str">
        <f t="shared" si="13"/>
        <v>TADigital NA Consulting | Content &amp; SEO - Associate Manager</v>
      </c>
      <c r="CO148" s="2" t="str">
        <f t="shared" si="18"/>
        <v>TADigital India Consulting | Cloud &amp; Engineering - L2 / B1-B3 | Associate Engineer</v>
      </c>
      <c r="CP148" s="1579">
        <v>210</v>
      </c>
      <c r="CQ148" s="1579">
        <v>108</v>
      </c>
      <c r="CR148" s="1579">
        <v>85</v>
      </c>
      <c r="CS148" s="1579">
        <f t="shared" si="15"/>
        <v>28.700000000000003</v>
      </c>
      <c r="CT148" s="1579">
        <v>35</v>
      </c>
      <c r="CU148" s="2">
        <f t="shared" si="16"/>
        <v>13</v>
      </c>
      <c r="CV148" s="2" t="str">
        <f t="shared" si="12"/>
        <v>Content &amp; SEO - Associate Manager</v>
      </c>
      <c r="CW148" s="2" t="str">
        <f>_xlfn.XLOOKUP(CL148,'[1]Rates &amp; Drop Downs INT'!D$373:D$430,'[1]Rates &amp; Drop Downs INT'!C$373:C$430,"X",1)</f>
        <v>Cloud &amp; Engineering - 2 | Associate Engineer</v>
      </c>
      <c r="DF148" t="s">
        <v>1239</v>
      </c>
      <c r="DG148" t="s">
        <v>3525</v>
      </c>
      <c r="DH148" t="s">
        <v>3472</v>
      </c>
    </row>
    <row r="149" spans="2:112" ht="13.05" customHeight="1" x14ac:dyDescent="0.3">
      <c r="B149" s="346" t="s">
        <v>176</v>
      </c>
      <c r="C149" s="346" t="s">
        <v>373</v>
      </c>
      <c r="D149" s="346"/>
      <c r="E149" s="346"/>
      <c r="F149" s="346" t="s">
        <v>346</v>
      </c>
      <c r="G149" s="347">
        <v>172</v>
      </c>
      <c r="H149" s="346" t="s">
        <v>119</v>
      </c>
      <c r="I149" s="348">
        <v>350</v>
      </c>
      <c r="J149" s="353">
        <v>5</v>
      </c>
      <c r="CG149" s="2" t="s">
        <v>255</v>
      </c>
      <c r="CH149" s="2" t="s">
        <v>255</v>
      </c>
      <c r="CI149" s="2" t="s">
        <v>1218</v>
      </c>
      <c r="CJ149" s="2" t="s">
        <v>1797</v>
      </c>
      <c r="CK149" s="2" t="s">
        <v>3352</v>
      </c>
      <c r="CL149" s="2" t="s">
        <v>3549</v>
      </c>
      <c r="CM149" s="39">
        <v>5</v>
      </c>
      <c r="CN149" s="2" t="str">
        <f t="shared" si="13"/>
        <v>TADigital NA | Management - Practice Director / Delivery Director</v>
      </c>
      <c r="CO149" s="2" t="str">
        <f t="shared" si="18"/>
        <v>TADigital India Consulting | Cloud &amp; Engineering - L2 / B1-B3 | Associate Engineer</v>
      </c>
      <c r="CP149" s="1579">
        <v>315</v>
      </c>
      <c r="CQ149" s="1579">
        <v>165</v>
      </c>
      <c r="CR149" s="1579">
        <v>115</v>
      </c>
      <c r="CS149" s="1579">
        <f t="shared" si="15"/>
        <v>45.1</v>
      </c>
      <c r="CT149" s="1579">
        <v>55</v>
      </c>
      <c r="CU149" s="2">
        <f t="shared" si="16"/>
        <v>13</v>
      </c>
      <c r="CV149" s="2" t="str">
        <f t="shared" si="12"/>
        <v>Management - Practice Director / Delivery Director</v>
      </c>
      <c r="CW149" s="2" t="str">
        <f>_xlfn.XLOOKUP(CL149,'[1]Rates &amp; Drop Downs INT'!D$373:D$430,'[1]Rates &amp; Drop Downs INT'!C$373:C$430,"X",1)</f>
        <v>Cloud &amp; Engineering - 2 | Associate Engineer</v>
      </c>
      <c r="DF149" t="s">
        <v>1239</v>
      </c>
      <c r="DG149" t="s">
        <v>3525</v>
      </c>
      <c r="DH149" t="s">
        <v>3473</v>
      </c>
    </row>
    <row r="150" spans="2:112" ht="13.05" customHeight="1" x14ac:dyDescent="0.3">
      <c r="B150" s="4" t="s">
        <v>176</v>
      </c>
      <c r="C150" s="346" t="s">
        <v>383</v>
      </c>
      <c r="D150" s="346"/>
      <c r="E150" s="346"/>
      <c r="F150" s="346" t="s">
        <v>271</v>
      </c>
      <c r="G150" s="347">
        <v>77</v>
      </c>
      <c r="H150" s="4" t="s">
        <v>119</v>
      </c>
      <c r="I150" s="348">
        <v>200</v>
      </c>
      <c r="J150" s="345">
        <v>2</v>
      </c>
      <c r="CG150" s="2" t="s">
        <v>255</v>
      </c>
      <c r="CH150" s="2" t="s">
        <v>255</v>
      </c>
      <c r="CI150" s="2" t="s">
        <v>1218</v>
      </c>
      <c r="CJ150" s="2" t="s">
        <v>1797</v>
      </c>
      <c r="CK150" s="2" t="s">
        <v>3353</v>
      </c>
      <c r="CL150" s="2" t="s">
        <v>3549</v>
      </c>
      <c r="CM150" s="39">
        <v>6</v>
      </c>
      <c r="CN150" s="2" t="str">
        <f t="shared" si="13"/>
        <v>TADigital NA | Management - Practice VP / Delivery VP</v>
      </c>
      <c r="CO150" s="2" t="str">
        <f t="shared" si="18"/>
        <v>TADigital India Consulting | Cloud &amp; Engineering - L2 / B1-B3 | Associate Engineer</v>
      </c>
      <c r="CP150" s="1579">
        <v>370</v>
      </c>
      <c r="CQ150" s="1579">
        <v>172.5</v>
      </c>
      <c r="CR150" s="1579">
        <v>135</v>
      </c>
      <c r="CS150" s="1579">
        <f t="shared" si="15"/>
        <v>51.250000000000007</v>
      </c>
      <c r="CT150" s="1579">
        <v>62.5</v>
      </c>
      <c r="CU150" s="2">
        <f t="shared" si="16"/>
        <v>13</v>
      </c>
      <c r="CV150" s="2" t="str">
        <f t="shared" si="12"/>
        <v>Management - Practice VP / Delivery VP</v>
      </c>
      <c r="CW150" s="2" t="str">
        <f>_xlfn.XLOOKUP(CL150,'[1]Rates &amp; Drop Downs INT'!D$373:D$430,'[1]Rates &amp; Drop Downs INT'!C$373:C$430,"X",1)</f>
        <v>Cloud &amp; Engineering - 2 | Associate Engineer</v>
      </c>
      <c r="DF150" t="s">
        <v>1232</v>
      </c>
      <c r="DG150" t="s">
        <v>3526</v>
      </c>
      <c r="DH150" t="s">
        <v>1236</v>
      </c>
    </row>
    <row r="151" spans="2:112" ht="13.05" customHeight="1" x14ac:dyDescent="0.3">
      <c r="B151" s="4" t="s">
        <v>176</v>
      </c>
      <c r="C151" s="346" t="s">
        <v>383</v>
      </c>
      <c r="D151" s="346"/>
      <c r="E151" s="346"/>
      <c r="F151" s="346" t="s">
        <v>259</v>
      </c>
      <c r="G151" s="347">
        <v>96</v>
      </c>
      <c r="H151" s="4" t="s">
        <v>119</v>
      </c>
      <c r="I151" s="348">
        <v>240</v>
      </c>
      <c r="J151" s="349">
        <v>3</v>
      </c>
      <c r="CG151" s="2" t="s">
        <v>255</v>
      </c>
      <c r="CH151" s="2" t="s">
        <v>255</v>
      </c>
      <c r="CI151" s="2" t="s">
        <v>1218</v>
      </c>
      <c r="CJ151" s="2" t="s">
        <v>1797</v>
      </c>
      <c r="CK151" s="2" t="s">
        <v>3359</v>
      </c>
      <c r="CL151" s="2" t="s">
        <v>3550</v>
      </c>
      <c r="CM151" s="39">
        <v>2</v>
      </c>
      <c r="CN151" s="2" t="str">
        <f t="shared" si="13"/>
        <v>TADigital NA Consulting - Project Manager / Product Manager</v>
      </c>
      <c r="CO151" s="2" t="str">
        <f t="shared" si="18"/>
        <v>TADigital India Consulting | Cloud &amp; Engineering - L2 / B1-B3 | Associate Engineer</v>
      </c>
      <c r="CP151" s="1579">
        <v>190</v>
      </c>
      <c r="CQ151" s="1579">
        <v>105</v>
      </c>
      <c r="CR151" s="1579">
        <v>65</v>
      </c>
      <c r="CS151" s="1579">
        <f t="shared" si="15"/>
        <v>22.96</v>
      </c>
      <c r="CT151" s="1579">
        <v>28</v>
      </c>
      <c r="CU151" s="2">
        <f t="shared" si="16"/>
        <v>13</v>
      </c>
      <c r="CV151" s="2" t="str">
        <f t="shared" si="12"/>
        <v>Project Manager / Product Manager</v>
      </c>
      <c r="CW151" s="2" t="str">
        <f>_xlfn.XLOOKUP(CL151,'[1]Rates &amp; Drop Downs INT'!D$373:D$430,'[1]Rates &amp; Drop Downs INT'!C$373:C$430,"X",1)</f>
        <v>Cloud &amp; Engineering - 2 | Associate Engineer</v>
      </c>
      <c r="DF151" t="s">
        <v>1232</v>
      </c>
      <c r="DG151" t="s">
        <v>3526</v>
      </c>
      <c r="DH151" t="s">
        <v>1238</v>
      </c>
    </row>
    <row r="152" spans="2:112" ht="13.05" customHeight="1" x14ac:dyDescent="0.3">
      <c r="B152" s="4" t="s">
        <v>176</v>
      </c>
      <c r="C152" s="346" t="s">
        <v>383</v>
      </c>
      <c r="D152" s="346"/>
      <c r="E152" s="346"/>
      <c r="F152" s="346" t="s">
        <v>379</v>
      </c>
      <c r="G152" s="347">
        <v>128</v>
      </c>
      <c r="H152" s="4" t="s">
        <v>119</v>
      </c>
      <c r="I152" s="348">
        <v>300</v>
      </c>
      <c r="J152" s="351">
        <v>4</v>
      </c>
      <c r="CG152" s="2" t="s">
        <v>255</v>
      </c>
      <c r="CH152" s="2" t="s">
        <v>255</v>
      </c>
      <c r="CI152" s="2" t="s">
        <v>1218</v>
      </c>
      <c r="CJ152" s="2" t="s">
        <v>1797</v>
      </c>
      <c r="CK152" s="2" t="s">
        <v>3360</v>
      </c>
      <c r="CL152" s="2" t="s">
        <v>3546</v>
      </c>
      <c r="CM152" s="39">
        <v>5</v>
      </c>
      <c r="CN152" s="2" t="str">
        <f t="shared" si="13"/>
        <v>TADigital NA Digital - Sr. Technical Architect</v>
      </c>
      <c r="CO152" s="2" t="str">
        <f t="shared" si="18"/>
        <v>TADigital India Consulting | Cloud &amp; Engineering - L2 / B1-B3 | Associate Engineer</v>
      </c>
      <c r="CP152" s="1579">
        <v>275</v>
      </c>
      <c r="CQ152" s="1579">
        <v>162.5</v>
      </c>
      <c r="CR152" s="1579">
        <v>105</v>
      </c>
      <c r="CS152" s="1579">
        <f t="shared" si="15"/>
        <v>41</v>
      </c>
      <c r="CT152" s="1579">
        <v>50</v>
      </c>
      <c r="CU152" s="2">
        <f t="shared" si="16"/>
        <v>13</v>
      </c>
      <c r="CV152" s="2" t="str">
        <f t="shared" si="12"/>
        <v>Sr. Technical Architect</v>
      </c>
      <c r="CW152" s="2" t="str">
        <f>_xlfn.XLOOKUP(CL152,'[1]Rates &amp; Drop Downs INT'!D$373:D$430,'[1]Rates &amp; Drop Downs INT'!C$373:C$430,"X",1)</f>
        <v>Cloud &amp; Engineering - 2 | Associate Engineer</v>
      </c>
      <c r="DF152" t="s">
        <v>1232</v>
      </c>
      <c r="DG152" t="s">
        <v>3526</v>
      </c>
      <c r="DH152" t="s">
        <v>1239</v>
      </c>
    </row>
    <row r="153" spans="2:112" ht="13.05" customHeight="1" x14ac:dyDescent="0.3">
      <c r="B153" s="346" t="s">
        <v>176</v>
      </c>
      <c r="C153" s="346" t="s">
        <v>390</v>
      </c>
      <c r="D153" s="346"/>
      <c r="E153" s="346"/>
      <c r="F153" s="346" t="s">
        <v>271</v>
      </c>
      <c r="G153" s="347">
        <v>77</v>
      </c>
      <c r="H153" s="346" t="s">
        <v>119</v>
      </c>
      <c r="I153" s="348">
        <v>200</v>
      </c>
      <c r="J153" s="353">
        <v>2</v>
      </c>
      <c r="CG153" s="2" t="s">
        <v>255</v>
      </c>
      <c r="CH153" s="2" t="s">
        <v>255</v>
      </c>
      <c r="CI153" s="2" t="s">
        <v>1218</v>
      </c>
      <c r="CJ153" s="2" t="s">
        <v>1797</v>
      </c>
      <c r="CK153" s="2" t="s">
        <v>3361</v>
      </c>
      <c r="CL153" s="2" t="s">
        <v>3547</v>
      </c>
      <c r="CM153" s="39">
        <v>2</v>
      </c>
      <c r="CN153" s="2" t="str">
        <f t="shared" si="13"/>
        <v>TADigital NA Consulting - Project Manager / Product Manager</v>
      </c>
      <c r="CO153" s="2" t="str">
        <f t="shared" si="18"/>
        <v>TADigital India Consulting | Cloud &amp; Engineering - L2 / B1-B3 | Associate Engineer</v>
      </c>
      <c r="CP153" s="1579">
        <v>190</v>
      </c>
      <c r="CQ153" s="1579">
        <v>105</v>
      </c>
      <c r="CR153" s="1579">
        <v>65</v>
      </c>
      <c r="CS153" s="1579">
        <f t="shared" si="15"/>
        <v>22.55</v>
      </c>
      <c r="CT153" s="1579">
        <v>27.5</v>
      </c>
      <c r="CU153" s="2">
        <f t="shared" si="16"/>
        <v>13</v>
      </c>
      <c r="CV153" s="2" t="str">
        <f t="shared" si="12"/>
        <v>Project Manager / Product Manager</v>
      </c>
      <c r="CW153" s="2" t="str">
        <f>_xlfn.XLOOKUP(CL153,'[1]Rates &amp; Drop Downs INT'!D$373:D$430,'[1]Rates &amp; Drop Downs INT'!C$373:C$430,"X",1)</f>
        <v>Cloud &amp; Engineering - 2 | Associate Engineer</v>
      </c>
      <c r="DF153" t="s">
        <v>1232</v>
      </c>
      <c r="DG153" t="s">
        <v>3526</v>
      </c>
      <c r="DH153" t="s">
        <v>1240</v>
      </c>
    </row>
    <row r="154" spans="2:112" ht="13.05" customHeight="1" x14ac:dyDescent="0.3">
      <c r="B154" s="346" t="s">
        <v>176</v>
      </c>
      <c r="C154" s="346" t="s">
        <v>390</v>
      </c>
      <c r="D154" s="346"/>
      <c r="E154" s="346"/>
      <c r="F154" s="346" t="s">
        <v>259</v>
      </c>
      <c r="G154" s="347">
        <v>96</v>
      </c>
      <c r="H154" s="346" t="s">
        <v>119</v>
      </c>
      <c r="I154" s="348">
        <v>240</v>
      </c>
      <c r="J154" s="345">
        <v>3</v>
      </c>
      <c r="CG154" s="2" t="s">
        <v>255</v>
      </c>
      <c r="CH154" s="2" t="s">
        <v>255</v>
      </c>
      <c r="CI154" s="2" t="s">
        <v>1218</v>
      </c>
      <c r="CJ154" s="2" t="s">
        <v>1797</v>
      </c>
      <c r="CK154" s="2" t="s">
        <v>3362</v>
      </c>
      <c r="CL154" s="2" t="s">
        <v>3546</v>
      </c>
      <c r="CM154" s="39">
        <v>5</v>
      </c>
      <c r="CN154" s="2" t="str">
        <f t="shared" si="13"/>
        <v>TADigital NA Digital - Sr. Technical Architect</v>
      </c>
      <c r="CO154" s="2" t="str">
        <f t="shared" si="18"/>
        <v>TADigital India Consulting | Cloud &amp; Engineering - L2 / B1-B3 | Associate Engineer</v>
      </c>
      <c r="CP154" s="1579">
        <v>275</v>
      </c>
      <c r="CQ154" s="1579">
        <v>162.5</v>
      </c>
      <c r="CR154" s="1579">
        <v>105</v>
      </c>
      <c r="CS154" s="1579">
        <f t="shared" si="15"/>
        <v>41</v>
      </c>
      <c r="CT154" s="1579">
        <v>50</v>
      </c>
      <c r="CU154" s="2">
        <f t="shared" si="16"/>
        <v>13</v>
      </c>
      <c r="CV154" s="2" t="str">
        <f t="shared" si="12"/>
        <v>Sr. Technical Architect</v>
      </c>
      <c r="CW154" s="2" t="str">
        <f>_xlfn.XLOOKUP(CL154,'[1]Rates &amp; Drop Downs INT'!D$373:D$430,'[1]Rates &amp; Drop Downs INT'!C$373:C$430,"X",1)</f>
        <v>Cloud &amp; Engineering - 2 | Associate Engineer</v>
      </c>
      <c r="DF154" t="s">
        <v>1233</v>
      </c>
      <c r="DG154" t="s">
        <v>3527</v>
      </c>
      <c r="DH154" t="s">
        <v>1777</v>
      </c>
    </row>
    <row r="155" spans="2:112" ht="13.05" customHeight="1" x14ac:dyDescent="0.3">
      <c r="B155" s="4" t="s">
        <v>176</v>
      </c>
      <c r="C155" s="4" t="s">
        <v>384</v>
      </c>
      <c r="D155" s="4"/>
      <c r="E155" s="4"/>
      <c r="F155" s="346" t="s">
        <v>379</v>
      </c>
      <c r="G155" s="347">
        <v>128</v>
      </c>
      <c r="H155" s="4" t="s">
        <v>119</v>
      </c>
      <c r="I155" s="348">
        <v>300</v>
      </c>
      <c r="J155" s="351">
        <v>4</v>
      </c>
      <c r="CG155" s="2" t="s">
        <v>255</v>
      </c>
      <c r="CH155" s="2" t="s">
        <v>255</v>
      </c>
      <c r="CI155" s="2" t="s">
        <v>1218</v>
      </c>
      <c r="CJ155" s="2" t="s">
        <v>1797</v>
      </c>
      <c r="CK155" s="2" t="s">
        <v>3354</v>
      </c>
      <c r="CL155" s="2" t="s">
        <v>3549</v>
      </c>
      <c r="CM155" s="39">
        <v>5</v>
      </c>
      <c r="CN155" s="2" t="str">
        <f t="shared" si="13"/>
        <v>TADigital NA | Management - Sr. Practice Director / Sr. Delivery Director</v>
      </c>
      <c r="CO155" s="2" t="str">
        <f t="shared" si="18"/>
        <v>TADigital India Consulting | Cloud &amp; Engineering - L2 / B1-B3 | Associate Engineer</v>
      </c>
      <c r="CP155" s="1579">
        <v>340</v>
      </c>
      <c r="CQ155" s="1579">
        <v>170</v>
      </c>
      <c r="CR155" s="1579">
        <v>125</v>
      </c>
      <c r="CS155" s="1579">
        <f t="shared" si="15"/>
        <v>49.2</v>
      </c>
      <c r="CT155" s="1579">
        <v>60</v>
      </c>
      <c r="CU155" s="2">
        <f t="shared" si="16"/>
        <v>13</v>
      </c>
      <c r="CV155" s="2" t="str">
        <f t="shared" si="12"/>
        <v>Management - Sr. Practice Director / Sr. Delivery Director</v>
      </c>
      <c r="CW155" s="2" t="str">
        <f>_xlfn.XLOOKUP(CL155,'[1]Rates &amp; Drop Downs INT'!D$373:D$430,'[1]Rates &amp; Drop Downs INT'!C$373:C$430,"X",1)</f>
        <v>Cloud &amp; Engineering - 2 | Associate Engineer</v>
      </c>
      <c r="DF155" t="s">
        <v>1233</v>
      </c>
      <c r="DG155" t="s">
        <v>3527</v>
      </c>
      <c r="DH155" t="s">
        <v>1779</v>
      </c>
    </row>
    <row r="156" spans="2:112" ht="13.05" customHeight="1" x14ac:dyDescent="0.3">
      <c r="B156" s="4" t="s">
        <v>176</v>
      </c>
      <c r="C156" s="4" t="s">
        <v>384</v>
      </c>
      <c r="D156" s="4"/>
      <c r="E156" s="4"/>
      <c r="F156" s="4" t="s">
        <v>385</v>
      </c>
      <c r="G156" s="343">
        <v>172</v>
      </c>
      <c r="H156" s="4" t="s">
        <v>119</v>
      </c>
      <c r="I156" s="344">
        <v>350</v>
      </c>
      <c r="J156" s="345">
        <v>5</v>
      </c>
      <c r="CG156" s="2" t="s">
        <v>255</v>
      </c>
      <c r="CH156" s="2" t="s">
        <v>255</v>
      </c>
      <c r="CI156" s="2" t="s">
        <v>2512</v>
      </c>
      <c r="CJ156" s="2" t="s">
        <v>1802</v>
      </c>
      <c r="CK156" s="2" t="s">
        <v>3363</v>
      </c>
      <c r="CL156" s="2">
        <v>0</v>
      </c>
      <c r="CM156" s="39">
        <v>2</v>
      </c>
      <c r="CN156" s="2" t="str">
        <f t="shared" si="13"/>
        <v>TADigital NA Consulting | Content &amp; SEO - Associate Web Content Analyst</v>
      </c>
      <c r="CO156" s="2" t="str">
        <f t="shared" si="18"/>
        <v>TADigital India Consulting | Cloud &amp; Engineering - L2 / B1-B3 | Associate Engineer</v>
      </c>
      <c r="CP156" s="1579">
        <v>0</v>
      </c>
      <c r="CQ156" s="1579">
        <v>0</v>
      </c>
      <c r="CR156" s="1579">
        <v>35</v>
      </c>
      <c r="CS156" s="1579">
        <f t="shared" si="15"/>
        <v>10.66</v>
      </c>
      <c r="CT156" s="1579">
        <v>13</v>
      </c>
      <c r="CU156" s="2">
        <f t="shared" si="16"/>
        <v>13</v>
      </c>
      <c r="CV156" s="2" t="str">
        <f t="shared" si="12"/>
        <v>Content &amp; SEO - Associate Web Content Analyst</v>
      </c>
      <c r="CW156" s="2" t="str">
        <f>_xlfn.XLOOKUP(CL156,'[1]Rates &amp; Drop Downs INT'!D$373:D$430,'[1]Rates &amp; Drop Downs INT'!C$373:C$430,"X",1)</f>
        <v>Cloud &amp; Engineering - 2 | Associate Engineer</v>
      </c>
      <c r="DF156" t="s">
        <v>1233</v>
      </c>
      <c r="DG156" t="s">
        <v>3527</v>
      </c>
      <c r="DH156" t="s">
        <v>1780</v>
      </c>
    </row>
    <row r="157" spans="2:112" ht="13.05" customHeight="1" x14ac:dyDescent="0.3">
      <c r="B157" s="4" t="s">
        <v>176</v>
      </c>
      <c r="C157" s="4" t="s">
        <v>384</v>
      </c>
      <c r="D157" s="4"/>
      <c r="E157" s="4"/>
      <c r="F157" s="4" t="s">
        <v>420</v>
      </c>
      <c r="G157" s="343">
        <v>257</v>
      </c>
      <c r="H157" s="4" t="s">
        <v>119</v>
      </c>
      <c r="I157" s="344">
        <v>390</v>
      </c>
      <c r="J157" s="345">
        <v>6</v>
      </c>
      <c r="CG157" s="2" t="s">
        <v>255</v>
      </c>
      <c r="CH157" s="2" t="s">
        <v>255</v>
      </c>
      <c r="CI157" s="2" t="s">
        <v>2512</v>
      </c>
      <c r="CJ157" s="2" t="s">
        <v>1802</v>
      </c>
      <c r="CK157" s="2" t="s">
        <v>720</v>
      </c>
      <c r="CL157" s="2" t="s">
        <v>3546</v>
      </c>
      <c r="CM157" s="39">
        <v>5</v>
      </c>
      <c r="CN157" s="2" t="str">
        <f t="shared" si="13"/>
        <v>TADigital NA | Management - Associate Practice Director</v>
      </c>
      <c r="CO157" s="2" t="str">
        <f t="shared" si="18"/>
        <v>TADigital India Consulting | Cloud &amp; Engineering - L2 / B1-B3 | Associate Engineer</v>
      </c>
      <c r="CP157" s="1579">
        <v>290</v>
      </c>
      <c r="CQ157" s="1579">
        <v>140</v>
      </c>
      <c r="CR157" s="1579">
        <v>105</v>
      </c>
      <c r="CS157" s="1579">
        <f t="shared" si="15"/>
        <v>45.1</v>
      </c>
      <c r="CT157" s="1579">
        <v>55</v>
      </c>
      <c r="CU157" s="2">
        <f t="shared" si="16"/>
        <v>13</v>
      </c>
      <c r="CV157" s="2" t="str">
        <f t="shared" si="12"/>
        <v>Management - Associate Practice Director</v>
      </c>
      <c r="CW157" s="2" t="str">
        <f>_xlfn.XLOOKUP(CL157,'[1]Rates &amp; Drop Downs INT'!D$373:D$430,'[1]Rates &amp; Drop Downs INT'!C$373:C$430,"X",1)</f>
        <v>Cloud &amp; Engineering - 2 | Associate Engineer</v>
      </c>
      <c r="DF157" t="s">
        <v>1233</v>
      </c>
      <c r="DG157" t="s">
        <v>3527</v>
      </c>
      <c r="DH157" t="s">
        <v>3429</v>
      </c>
    </row>
    <row r="158" spans="2:112" ht="13.05" customHeight="1" x14ac:dyDescent="0.3">
      <c r="B158" s="346" t="s">
        <v>176</v>
      </c>
      <c r="C158" s="4" t="s">
        <v>363</v>
      </c>
      <c r="D158" s="4"/>
      <c r="E158" s="4"/>
      <c r="F158" s="346" t="s">
        <v>353</v>
      </c>
      <c r="G158" s="347">
        <v>128</v>
      </c>
      <c r="H158" s="346" t="s">
        <v>119</v>
      </c>
      <c r="I158" s="348">
        <v>300</v>
      </c>
      <c r="J158" s="345">
        <v>4</v>
      </c>
      <c r="CG158" s="2" t="s">
        <v>255</v>
      </c>
      <c r="CH158" s="2" t="s">
        <v>255</v>
      </c>
      <c r="CI158" s="2" t="s">
        <v>2512</v>
      </c>
      <c r="CJ158" s="2" t="s">
        <v>1802</v>
      </c>
      <c r="CK158" s="2" t="s">
        <v>580</v>
      </c>
      <c r="CL158" s="2" t="s">
        <v>3551</v>
      </c>
      <c r="CM158" s="39">
        <v>4</v>
      </c>
      <c r="CN158" s="2" t="str">
        <f t="shared" si="13"/>
        <v>TADigital NA Consulting - Sr. Project Manager</v>
      </c>
      <c r="CO158" s="2" t="str">
        <f t="shared" si="18"/>
        <v>TADigital India Consulting | Cloud &amp; Engineering - L2 / B1-B3 | Associate Engineer</v>
      </c>
      <c r="CP158" s="1579">
        <v>235</v>
      </c>
      <c r="CQ158" s="1579">
        <v>120</v>
      </c>
      <c r="CR158" s="1579">
        <v>90</v>
      </c>
      <c r="CS158" s="1579">
        <f t="shared" si="15"/>
        <v>36.900000000000006</v>
      </c>
      <c r="CT158" s="1579">
        <v>45</v>
      </c>
      <c r="CU158" s="2">
        <f t="shared" si="16"/>
        <v>13</v>
      </c>
      <c r="CV158" s="2" t="str">
        <f t="shared" si="12"/>
        <v>Sr. Project Manager</v>
      </c>
      <c r="CW158" s="2" t="str">
        <f>_xlfn.XLOOKUP(CL158,'[1]Rates &amp; Drop Downs INT'!D$373:D$430,'[1]Rates &amp; Drop Downs INT'!C$373:C$430,"X",1)</f>
        <v>Cloud &amp; Engineering - 2 | Associate Engineer</v>
      </c>
      <c r="DF158" t="s">
        <v>3150</v>
      </c>
      <c r="DG158" t="s">
        <v>3528</v>
      </c>
      <c r="DH158" t="s">
        <v>1773</v>
      </c>
    </row>
    <row r="159" spans="2:112" ht="13.05" customHeight="1" x14ac:dyDescent="0.3">
      <c r="B159" s="346" t="s">
        <v>176</v>
      </c>
      <c r="C159" s="4" t="s">
        <v>363</v>
      </c>
      <c r="D159" s="4"/>
      <c r="E159" s="4"/>
      <c r="F159" s="4" t="s">
        <v>346</v>
      </c>
      <c r="G159" s="343">
        <v>172</v>
      </c>
      <c r="H159" s="4" t="s">
        <v>119</v>
      </c>
      <c r="I159" s="344">
        <v>350</v>
      </c>
      <c r="J159" s="345">
        <v>5</v>
      </c>
      <c r="CG159" s="2" t="s">
        <v>255</v>
      </c>
      <c r="CH159" s="2" t="s">
        <v>255</v>
      </c>
      <c r="CI159" s="2" t="s">
        <v>2512</v>
      </c>
      <c r="CJ159" s="2" t="s">
        <v>1802</v>
      </c>
      <c r="CK159" s="2" t="s">
        <v>329</v>
      </c>
      <c r="CL159" s="2" t="s">
        <v>3552</v>
      </c>
      <c r="CM159" s="39">
        <v>2</v>
      </c>
      <c r="CN159" s="2" t="str">
        <f t="shared" si="13"/>
        <v>TADigital NA Digital - DevOps Engineer</v>
      </c>
      <c r="CO159" s="2" t="str">
        <f t="shared" si="18"/>
        <v>TADigital India Consulting | Cloud &amp; Engineering - L2 / B1-B3 | Associate Engineer</v>
      </c>
      <c r="CP159" s="1579">
        <v>130</v>
      </c>
      <c r="CQ159" s="1579">
        <v>70</v>
      </c>
      <c r="CR159" s="1579">
        <v>55</v>
      </c>
      <c r="CS159" s="1579">
        <f t="shared" si="15"/>
        <v>14.760000000000002</v>
      </c>
      <c r="CT159" s="1579">
        <v>18</v>
      </c>
      <c r="CU159" s="2">
        <f t="shared" si="16"/>
        <v>13</v>
      </c>
      <c r="CV159" s="2" t="str">
        <f t="shared" si="12"/>
        <v>DevOps Engineer</v>
      </c>
      <c r="CW159" s="2" t="str">
        <f>_xlfn.XLOOKUP(CL159,'[1]Rates &amp; Drop Downs INT'!D$373:D$430,'[1]Rates &amp; Drop Downs INT'!C$373:C$430,"X",1)</f>
        <v>Cloud &amp; Engineering - 2 | Associate Engineer</v>
      </c>
      <c r="DF159" t="s">
        <v>3150</v>
      </c>
      <c r="DG159" t="s">
        <v>3528</v>
      </c>
      <c r="DH159" t="s">
        <v>1774</v>
      </c>
    </row>
    <row r="160" spans="2:112" ht="13.05" customHeight="1" x14ac:dyDescent="0.3">
      <c r="B160" s="346" t="s">
        <v>176</v>
      </c>
      <c r="C160" s="4" t="s">
        <v>363</v>
      </c>
      <c r="D160" s="4"/>
      <c r="E160" s="4"/>
      <c r="F160" s="4" t="s">
        <v>420</v>
      </c>
      <c r="G160" s="343">
        <v>257</v>
      </c>
      <c r="H160" s="4" t="s">
        <v>119</v>
      </c>
      <c r="I160" s="344">
        <v>390</v>
      </c>
      <c r="J160" s="345">
        <v>6</v>
      </c>
      <c r="CG160" s="2" t="s">
        <v>255</v>
      </c>
      <c r="CH160" s="2" t="s">
        <v>255</v>
      </c>
      <c r="CI160" s="2" t="s">
        <v>2512</v>
      </c>
      <c r="CJ160" s="2" t="s">
        <v>1802</v>
      </c>
      <c r="CK160" s="2" t="s">
        <v>578</v>
      </c>
      <c r="CL160" s="2" t="s">
        <v>3553</v>
      </c>
      <c r="CM160" s="39">
        <v>3</v>
      </c>
      <c r="CN160" s="2" t="str">
        <f t="shared" si="13"/>
        <v>TADigital NA Digital - Technical Lead</v>
      </c>
      <c r="CO160" s="2" t="str">
        <f t="shared" si="18"/>
        <v>TADigital India Consulting | Cloud &amp; Engineering - L2 / B1-B3 | Associate Engineer</v>
      </c>
      <c r="CP160" s="1579">
        <v>185</v>
      </c>
      <c r="CQ160" s="1579">
        <v>105</v>
      </c>
      <c r="CR160" s="1579">
        <v>80</v>
      </c>
      <c r="CS160" s="1579">
        <f t="shared" si="15"/>
        <v>22.55</v>
      </c>
      <c r="CT160" s="1579">
        <v>27.5</v>
      </c>
      <c r="CU160" s="2">
        <f t="shared" si="16"/>
        <v>13</v>
      </c>
      <c r="CV160" s="2" t="str">
        <f t="shared" si="12"/>
        <v>Technical Lead</v>
      </c>
      <c r="CW160" s="2" t="str">
        <f>_xlfn.XLOOKUP(CL160,'[1]Rates &amp; Drop Downs INT'!D$373:D$430,'[1]Rates &amp; Drop Downs INT'!C$373:C$430,"X",1)</f>
        <v>Cloud &amp; Engineering - 2 | Associate Engineer</v>
      </c>
      <c r="DF160" t="s">
        <v>3150</v>
      </c>
      <c r="DG160" t="s">
        <v>3528</v>
      </c>
      <c r="DH160" t="s">
        <v>3430</v>
      </c>
    </row>
    <row r="161" spans="2:112" ht="13.05" customHeight="1" x14ac:dyDescent="0.3">
      <c r="B161" s="346" t="s">
        <v>176</v>
      </c>
      <c r="C161" s="346" t="s">
        <v>377</v>
      </c>
      <c r="D161" s="346"/>
      <c r="E161" s="346"/>
      <c r="F161" s="346" t="s">
        <v>346</v>
      </c>
      <c r="G161" s="347">
        <v>172</v>
      </c>
      <c r="H161" s="346" t="s">
        <v>119</v>
      </c>
      <c r="I161" s="348">
        <v>350</v>
      </c>
      <c r="J161" s="353">
        <v>5</v>
      </c>
      <c r="CG161" s="2" t="s">
        <v>255</v>
      </c>
      <c r="CH161" s="2" t="s">
        <v>255</v>
      </c>
      <c r="CI161" s="2" t="s">
        <v>2512</v>
      </c>
      <c r="CJ161" s="2" t="s">
        <v>1802</v>
      </c>
      <c r="CK161" s="2" t="s">
        <v>582</v>
      </c>
      <c r="CL161" s="2">
        <v>0</v>
      </c>
      <c r="CM161" s="39">
        <v>5</v>
      </c>
      <c r="CN161" s="2" t="str">
        <f t="shared" si="13"/>
        <v>TADigital NA Consulting - Delivery Manager</v>
      </c>
      <c r="CO161" s="2" t="str">
        <f t="shared" si="18"/>
        <v>TADigital India Consulting | Cloud &amp; Engineering - L2 / B1-B3 | Associate Engineer</v>
      </c>
      <c r="CP161" s="1579">
        <v>265</v>
      </c>
      <c r="CQ161" s="1579">
        <v>132.5</v>
      </c>
      <c r="CR161" s="1579">
        <v>105</v>
      </c>
      <c r="CS161" s="1579">
        <f t="shared" si="15"/>
        <v>41</v>
      </c>
      <c r="CT161" s="1579">
        <v>50</v>
      </c>
      <c r="CU161" s="2">
        <f t="shared" si="16"/>
        <v>13</v>
      </c>
      <c r="CV161" s="2" t="str">
        <f t="shared" si="12"/>
        <v>Delivery Manager</v>
      </c>
      <c r="CW161" s="2" t="str">
        <f>_xlfn.XLOOKUP(CL161,'[1]Rates &amp; Drop Downs INT'!D$373:D$430,'[1]Rates &amp; Drop Downs INT'!C$373:C$430,"X",1)</f>
        <v>Cloud &amp; Engineering - 2 | Associate Engineer</v>
      </c>
      <c r="DF161" t="s">
        <v>3150</v>
      </c>
      <c r="DG161" t="s">
        <v>3528</v>
      </c>
      <c r="DH161" t="s">
        <v>3431</v>
      </c>
    </row>
    <row r="162" spans="2:112" ht="13.05" customHeight="1" x14ac:dyDescent="0.3">
      <c r="B162" s="346" t="s">
        <v>176</v>
      </c>
      <c r="C162" s="346" t="s">
        <v>377</v>
      </c>
      <c r="D162" s="346"/>
      <c r="E162" s="346"/>
      <c r="F162" s="4" t="s">
        <v>420</v>
      </c>
      <c r="G162" s="343">
        <v>257</v>
      </c>
      <c r="H162" s="4" t="s">
        <v>119</v>
      </c>
      <c r="I162" s="344">
        <v>390</v>
      </c>
      <c r="J162" s="345">
        <v>6</v>
      </c>
      <c r="CG162" s="2" t="s">
        <v>255</v>
      </c>
      <c r="CH162" s="2" t="s">
        <v>255</v>
      </c>
      <c r="CI162" s="2" t="s">
        <v>2512</v>
      </c>
      <c r="CJ162" s="2" t="s">
        <v>1802</v>
      </c>
      <c r="CK162" s="2" t="s">
        <v>3352</v>
      </c>
      <c r="CL162" s="2" t="s">
        <v>3549</v>
      </c>
      <c r="CM162" s="39">
        <v>5</v>
      </c>
      <c r="CN162" s="2" t="str">
        <f t="shared" si="13"/>
        <v>TADigital NA | Management - Practice Director / Delivery Director</v>
      </c>
      <c r="CO162" s="2" t="str">
        <f t="shared" si="18"/>
        <v>TADigital India Consulting | Cloud &amp; Engineering - L2 / B1-B3 | Associate Engineer</v>
      </c>
      <c r="CP162" s="1579">
        <v>315</v>
      </c>
      <c r="CQ162" s="1579">
        <v>165</v>
      </c>
      <c r="CR162" s="1579">
        <v>115</v>
      </c>
      <c r="CS162" s="1579">
        <f t="shared" si="15"/>
        <v>45.1</v>
      </c>
      <c r="CT162" s="1579">
        <v>55</v>
      </c>
      <c r="CU162" s="2">
        <f t="shared" si="16"/>
        <v>13</v>
      </c>
      <c r="CV162" s="2" t="str">
        <f t="shared" si="12"/>
        <v>Management - Practice Director / Delivery Director</v>
      </c>
      <c r="CW162" s="2" t="str">
        <f>_xlfn.XLOOKUP(CL162,'[1]Rates &amp; Drop Downs INT'!D$373:D$430,'[1]Rates &amp; Drop Downs INT'!C$373:C$430,"X",1)</f>
        <v>Cloud &amp; Engineering - 2 | Associate Engineer</v>
      </c>
      <c r="DF162" t="s">
        <v>1235</v>
      </c>
      <c r="DG162" t="s">
        <v>3529</v>
      </c>
      <c r="DH162" t="s">
        <v>3474</v>
      </c>
    </row>
    <row r="163" spans="2:112" ht="13.05" customHeight="1" x14ac:dyDescent="0.3">
      <c r="B163" s="4" t="s">
        <v>176</v>
      </c>
      <c r="C163" s="346" t="s">
        <v>386</v>
      </c>
      <c r="D163" s="346"/>
      <c r="E163" s="346"/>
      <c r="F163" s="346" t="s">
        <v>379</v>
      </c>
      <c r="G163" s="347">
        <v>128</v>
      </c>
      <c r="H163" s="346" t="s">
        <v>119</v>
      </c>
      <c r="I163" s="348">
        <v>300</v>
      </c>
      <c r="J163" s="353">
        <v>4</v>
      </c>
      <c r="CG163" s="2" t="s">
        <v>255</v>
      </c>
      <c r="CH163" s="2" t="s">
        <v>255</v>
      </c>
      <c r="CI163" s="2" t="s">
        <v>2512</v>
      </c>
      <c r="CJ163" s="2" t="s">
        <v>1802</v>
      </c>
      <c r="CK163" s="2" t="s">
        <v>446</v>
      </c>
      <c r="CL163" s="2" t="s">
        <v>3546</v>
      </c>
      <c r="CM163" s="39">
        <v>4</v>
      </c>
      <c r="CN163" s="2" t="str">
        <f t="shared" si="13"/>
        <v>TADigital NA Consulting - Sr. Project Manager</v>
      </c>
      <c r="CO163" s="2" t="str">
        <f t="shared" si="18"/>
        <v>TADigital India Consulting | Cloud &amp; Engineering - L2 / B1-B3 | Associate Engineer</v>
      </c>
      <c r="CP163" s="1579">
        <v>235</v>
      </c>
      <c r="CQ163" s="1579">
        <v>130</v>
      </c>
      <c r="CR163" s="1579">
        <v>80</v>
      </c>
      <c r="CS163" s="1579">
        <f t="shared" si="15"/>
        <v>38.950000000000003</v>
      </c>
      <c r="CT163" s="1579">
        <v>47.5</v>
      </c>
      <c r="CU163" s="2">
        <f t="shared" si="16"/>
        <v>13</v>
      </c>
      <c r="CV163" s="2" t="str">
        <f t="shared" si="12"/>
        <v>Sr. Project Manager</v>
      </c>
      <c r="CW163" s="2" t="str">
        <f>_xlfn.XLOOKUP(CL163,'[1]Rates &amp; Drop Downs INT'!D$373:D$430,'[1]Rates &amp; Drop Downs INT'!C$373:C$430,"X",1)</f>
        <v>Cloud &amp; Engineering - 2 | Associate Engineer</v>
      </c>
      <c r="DF163" t="s">
        <v>1235</v>
      </c>
      <c r="DG163" t="s">
        <v>3529</v>
      </c>
      <c r="DH163" t="s">
        <v>1173</v>
      </c>
    </row>
    <row r="164" spans="2:112" ht="13.05" customHeight="1" x14ac:dyDescent="0.3">
      <c r="B164" s="4" t="s">
        <v>176</v>
      </c>
      <c r="C164" s="346" t="s">
        <v>386</v>
      </c>
      <c r="D164" s="346"/>
      <c r="E164" s="346"/>
      <c r="F164" s="4" t="s">
        <v>385</v>
      </c>
      <c r="G164" s="343">
        <v>172</v>
      </c>
      <c r="H164" s="346" t="s">
        <v>119</v>
      </c>
      <c r="I164" s="344">
        <v>350</v>
      </c>
      <c r="J164" s="345">
        <v>5</v>
      </c>
      <c r="CG164" s="2" t="s">
        <v>255</v>
      </c>
      <c r="CH164" s="2" t="s">
        <v>255</v>
      </c>
      <c r="CI164" s="2" t="s">
        <v>2512</v>
      </c>
      <c r="CJ164" s="2" t="s">
        <v>1802</v>
      </c>
      <c r="CK164" s="2" t="s">
        <v>3353</v>
      </c>
      <c r="CL164" s="2" t="s">
        <v>3549</v>
      </c>
      <c r="CM164" s="39">
        <v>6</v>
      </c>
      <c r="CN164" s="2" t="str">
        <f t="shared" si="13"/>
        <v>TADigital NA | Management - Practice VP / Delivery VP</v>
      </c>
      <c r="CO164" s="2" t="str">
        <f t="shared" si="18"/>
        <v>TADigital India Consulting | Cloud &amp; Engineering - L2 / B1-B3 | Associate Engineer</v>
      </c>
      <c r="CP164" s="1579">
        <v>370</v>
      </c>
      <c r="CQ164" s="1579">
        <v>172.5</v>
      </c>
      <c r="CR164" s="1579">
        <v>135</v>
      </c>
      <c r="CS164" s="1579">
        <f t="shared" si="15"/>
        <v>51.250000000000007</v>
      </c>
      <c r="CT164" s="1579">
        <v>62.5</v>
      </c>
      <c r="CU164" s="2">
        <f t="shared" si="16"/>
        <v>13</v>
      </c>
      <c r="CV164" s="2" t="str">
        <f t="shared" si="12"/>
        <v>Management - Practice VP / Delivery VP</v>
      </c>
      <c r="CW164" s="2" t="str">
        <f>_xlfn.XLOOKUP(CL164,'[1]Rates &amp; Drop Downs INT'!D$373:D$430,'[1]Rates &amp; Drop Downs INT'!C$373:C$430,"X",1)</f>
        <v>Cloud &amp; Engineering - 2 | Associate Engineer</v>
      </c>
      <c r="DF164" t="s">
        <v>1240</v>
      </c>
      <c r="DG164" t="s">
        <v>3530</v>
      </c>
      <c r="DH164" t="s">
        <v>3475</v>
      </c>
    </row>
    <row r="165" spans="2:112" ht="13.05" customHeight="1" x14ac:dyDescent="0.3">
      <c r="B165" s="4" t="s">
        <v>176</v>
      </c>
      <c r="C165" s="346" t="s">
        <v>386</v>
      </c>
      <c r="D165" s="346"/>
      <c r="E165" s="346"/>
      <c r="F165" s="4" t="s">
        <v>420</v>
      </c>
      <c r="G165" s="343">
        <v>257</v>
      </c>
      <c r="H165" s="346" t="s">
        <v>119</v>
      </c>
      <c r="I165" s="344">
        <v>390</v>
      </c>
      <c r="J165" s="345">
        <v>6</v>
      </c>
      <c r="CG165" s="2" t="s">
        <v>255</v>
      </c>
      <c r="CH165" s="2" t="s">
        <v>255</v>
      </c>
      <c r="CI165" s="2" t="s">
        <v>2512</v>
      </c>
      <c r="CJ165" s="2" t="s">
        <v>1802</v>
      </c>
      <c r="CK165" s="2" t="s">
        <v>576</v>
      </c>
      <c r="CL165" s="2" t="s">
        <v>3554</v>
      </c>
      <c r="CM165" s="39">
        <v>2</v>
      </c>
      <c r="CN165" s="2" t="str">
        <f t="shared" si="13"/>
        <v>TADigital NA Consulting | Content &amp; SEO - Associate Content Strategist</v>
      </c>
      <c r="CO165" s="2" t="str">
        <f t="shared" si="18"/>
        <v>TADigital India Consulting | Cloud &amp; Engineering - L2 / B1-B3 | Associate Engineer</v>
      </c>
      <c r="CP165" s="1579">
        <v>160</v>
      </c>
      <c r="CQ165" s="1579">
        <v>80</v>
      </c>
      <c r="CR165" s="1579">
        <v>65</v>
      </c>
      <c r="CS165" s="1579">
        <f t="shared" si="15"/>
        <v>16.400000000000002</v>
      </c>
      <c r="CT165" s="1579">
        <v>20</v>
      </c>
      <c r="CU165" s="2">
        <f t="shared" si="16"/>
        <v>13</v>
      </c>
      <c r="CV165" s="2" t="str">
        <f t="shared" si="12"/>
        <v>Content &amp; SEO - Associate Content Strategist</v>
      </c>
      <c r="CW165" s="2" t="str">
        <f>_xlfn.XLOOKUP(CL165,'[1]Rates &amp; Drop Downs INT'!D$373:D$430,'[1]Rates &amp; Drop Downs INT'!C$373:C$430,"X",1)</f>
        <v>Cloud &amp; Engineering - 2 | Associate Engineer</v>
      </c>
      <c r="DF165" t="s">
        <v>1240</v>
      </c>
      <c r="DG165" t="s">
        <v>3530</v>
      </c>
      <c r="DH165" t="s">
        <v>3476</v>
      </c>
    </row>
    <row r="166" spans="2:112" ht="13.05" customHeight="1" x14ac:dyDescent="0.3">
      <c r="B166" s="4" t="s">
        <v>176</v>
      </c>
      <c r="C166" s="346" t="s">
        <v>361</v>
      </c>
      <c r="D166" s="346"/>
      <c r="E166" s="346"/>
      <c r="F166" s="346" t="s">
        <v>259</v>
      </c>
      <c r="G166" s="347">
        <v>96</v>
      </c>
      <c r="H166" s="4" t="s">
        <v>119</v>
      </c>
      <c r="I166" s="348">
        <v>240</v>
      </c>
      <c r="J166" s="345">
        <v>3</v>
      </c>
      <c r="CG166" s="2" t="s">
        <v>255</v>
      </c>
      <c r="CH166" s="2" t="s">
        <v>255</v>
      </c>
      <c r="CI166" s="2" t="s">
        <v>2512</v>
      </c>
      <c r="CJ166" s="2" t="s">
        <v>1802</v>
      </c>
      <c r="CK166" s="2" t="s">
        <v>3354</v>
      </c>
      <c r="CL166" s="2" t="s">
        <v>3549</v>
      </c>
      <c r="CM166" s="39">
        <v>5</v>
      </c>
      <c r="CN166" s="2" t="str">
        <f t="shared" si="13"/>
        <v>TADigital NA | Management - Sr. Practice Director / Sr. Delivery Director</v>
      </c>
      <c r="CO166" s="2" t="str">
        <f t="shared" si="18"/>
        <v>TADigital India Consulting | Cloud &amp; Engineering - L2 / B1-B3 | Associate Engineer</v>
      </c>
      <c r="CP166" s="1579">
        <v>340</v>
      </c>
      <c r="CQ166" s="1579">
        <v>170</v>
      </c>
      <c r="CR166" s="1579">
        <v>125</v>
      </c>
      <c r="CS166" s="1579">
        <f t="shared" si="15"/>
        <v>49.2</v>
      </c>
      <c r="CT166" s="1579">
        <v>60</v>
      </c>
      <c r="CU166" s="2">
        <f t="shared" si="16"/>
        <v>13</v>
      </c>
      <c r="CV166" s="2" t="str">
        <f t="shared" si="12"/>
        <v>Management - Sr. Practice Director / Sr. Delivery Director</v>
      </c>
      <c r="CW166" s="2" t="str">
        <f>_xlfn.XLOOKUP(CL166,'[1]Rates &amp; Drop Downs INT'!D$373:D$430,'[1]Rates &amp; Drop Downs INT'!C$373:C$430,"X",1)</f>
        <v>Cloud &amp; Engineering - 2 | Associate Engineer</v>
      </c>
      <c r="DF166" t="s">
        <v>1180</v>
      </c>
      <c r="DG166" t="s">
        <v>3531</v>
      </c>
      <c r="DH166" t="s">
        <v>1180</v>
      </c>
    </row>
    <row r="167" spans="2:112" ht="13.05" customHeight="1" x14ac:dyDescent="0.3">
      <c r="B167" s="346" t="s">
        <v>176</v>
      </c>
      <c r="C167" s="346" t="s">
        <v>361</v>
      </c>
      <c r="D167" s="346"/>
      <c r="E167" s="346"/>
      <c r="F167" s="346" t="s">
        <v>353</v>
      </c>
      <c r="G167" s="347">
        <v>128</v>
      </c>
      <c r="H167" s="346" t="s">
        <v>119</v>
      </c>
      <c r="I167" s="348">
        <v>300</v>
      </c>
      <c r="J167" s="353">
        <v>4</v>
      </c>
      <c r="CG167" s="2" t="s">
        <v>255</v>
      </c>
      <c r="CH167" s="2" t="s">
        <v>255</v>
      </c>
      <c r="CI167" s="2" t="s">
        <v>2512</v>
      </c>
      <c r="CJ167" s="2" t="s">
        <v>1802</v>
      </c>
      <c r="CK167" s="2" t="s">
        <v>448</v>
      </c>
      <c r="CL167" s="2" t="s">
        <v>3546</v>
      </c>
      <c r="CM167" s="39">
        <v>5</v>
      </c>
      <c r="CN167" s="2" t="str">
        <f t="shared" si="13"/>
        <v>TADigital NA Consulting - Delivery Manager</v>
      </c>
      <c r="CO167" s="2" t="str">
        <f t="shared" si="18"/>
        <v>TADigital India Consulting | Cloud &amp; Engineering - L2 / B1-B3 | Associate Engineer</v>
      </c>
      <c r="CP167" s="1579">
        <v>265</v>
      </c>
      <c r="CQ167" s="1579">
        <v>137.5</v>
      </c>
      <c r="CR167" s="1579">
        <v>90</v>
      </c>
      <c r="CS167" s="1579">
        <f t="shared" si="15"/>
        <v>38.950000000000003</v>
      </c>
      <c r="CT167" s="1579">
        <v>47.5</v>
      </c>
      <c r="CU167" s="2">
        <f t="shared" si="16"/>
        <v>13</v>
      </c>
      <c r="CV167" s="2" t="str">
        <f t="shared" si="12"/>
        <v>Delivery Manager</v>
      </c>
      <c r="CW167" s="2" t="str">
        <f>_xlfn.XLOOKUP(CL167,'[1]Rates &amp; Drop Downs INT'!D$373:D$430,'[1]Rates &amp; Drop Downs INT'!C$373:C$430,"X",1)</f>
        <v>Cloud &amp; Engineering - 2 | Associate Engineer</v>
      </c>
      <c r="DF167" t="s">
        <v>3166</v>
      </c>
      <c r="DG167" t="s">
        <v>3532</v>
      </c>
      <c r="DH167" t="s">
        <v>1909</v>
      </c>
    </row>
    <row r="168" spans="2:112" ht="13.05" customHeight="1" x14ac:dyDescent="0.3">
      <c r="B168" s="346" t="s">
        <v>176</v>
      </c>
      <c r="C168" s="4" t="s">
        <v>378</v>
      </c>
      <c r="D168" s="4"/>
      <c r="E168" s="4"/>
      <c r="F168" s="4" t="s">
        <v>379</v>
      </c>
      <c r="G168" s="343">
        <v>128</v>
      </c>
      <c r="H168" s="4" t="s">
        <v>119</v>
      </c>
      <c r="I168" s="344">
        <v>300</v>
      </c>
      <c r="J168" s="345">
        <v>4</v>
      </c>
      <c r="CG168" s="2" t="s">
        <v>255</v>
      </c>
      <c r="CH168" s="2" t="s">
        <v>255</v>
      </c>
      <c r="CI168" s="2" t="s">
        <v>1216</v>
      </c>
      <c r="CJ168" s="2" t="s">
        <v>1801</v>
      </c>
      <c r="CK168" s="2" t="s">
        <v>720</v>
      </c>
      <c r="CL168" s="2" t="s">
        <v>3546</v>
      </c>
      <c r="CM168" s="39">
        <v>5</v>
      </c>
      <c r="CN168" s="2" t="str">
        <f t="shared" si="13"/>
        <v>TADigital NA | Management - Associate Practice Director</v>
      </c>
      <c r="CO168" s="2" t="str">
        <f t="shared" si="18"/>
        <v>TADigital India Consulting | Cloud &amp; Engineering - L2 / B1-B3 | Associate Engineer</v>
      </c>
      <c r="CP168" s="1579">
        <v>290</v>
      </c>
      <c r="CQ168" s="1579">
        <v>140</v>
      </c>
      <c r="CR168" s="1579">
        <v>105</v>
      </c>
      <c r="CS168" s="1579">
        <f t="shared" si="15"/>
        <v>45.1</v>
      </c>
      <c r="CT168" s="1579">
        <v>55</v>
      </c>
      <c r="CU168" s="2">
        <f t="shared" si="16"/>
        <v>13</v>
      </c>
      <c r="CV168" s="2" t="str">
        <f t="shared" si="12"/>
        <v>Management - Associate Practice Director</v>
      </c>
      <c r="CW168" s="2" t="str">
        <f>_xlfn.XLOOKUP(CL168,'[1]Rates &amp; Drop Downs INT'!D$373:D$430,'[1]Rates &amp; Drop Downs INT'!C$373:C$430,"X",1)</f>
        <v>Cloud &amp; Engineering - 2 | Associate Engineer</v>
      </c>
      <c r="DF168" t="s">
        <v>3166</v>
      </c>
      <c r="DG168" t="s">
        <v>3532</v>
      </c>
      <c r="DH168" t="s">
        <v>1182</v>
      </c>
    </row>
    <row r="169" spans="2:112" ht="13.05" customHeight="1" x14ac:dyDescent="0.3">
      <c r="B169" s="346" t="s">
        <v>176</v>
      </c>
      <c r="C169" s="4" t="s">
        <v>378</v>
      </c>
      <c r="D169" s="4"/>
      <c r="E169" s="4"/>
      <c r="F169" s="346" t="s">
        <v>346</v>
      </c>
      <c r="G169" s="347">
        <v>172</v>
      </c>
      <c r="H169" s="346" t="s">
        <v>119</v>
      </c>
      <c r="I169" s="348">
        <v>350</v>
      </c>
      <c r="J169" s="345">
        <v>5</v>
      </c>
      <c r="CG169" s="2" t="s">
        <v>255</v>
      </c>
      <c r="CH169" s="2" t="s">
        <v>255</v>
      </c>
      <c r="CI169" s="2" t="s">
        <v>1216</v>
      </c>
      <c r="CJ169" s="2" t="s">
        <v>1801</v>
      </c>
      <c r="CK169" s="2" t="s">
        <v>3364</v>
      </c>
      <c r="CL169" s="2" t="s">
        <v>3545</v>
      </c>
      <c r="CM169" s="39">
        <v>2</v>
      </c>
      <c r="CN169" s="2" t="str">
        <f t="shared" si="13"/>
        <v>TADigital NA Consulting | Content &amp; SEO - Associate Web Content Analyst</v>
      </c>
      <c r="CO169" s="2" t="str">
        <f t="shared" si="18"/>
        <v>TADigital India Consulting | Cloud &amp; Engineering - L2 / B1-B3 | Associate Engineer</v>
      </c>
      <c r="CP169" s="1579">
        <v>0</v>
      </c>
      <c r="CQ169" s="1579">
        <v>0</v>
      </c>
      <c r="CR169" s="1579">
        <v>30</v>
      </c>
      <c r="CS169" s="1579">
        <f t="shared" si="15"/>
        <v>10.66</v>
      </c>
      <c r="CT169" s="1579">
        <v>13</v>
      </c>
      <c r="CU169" s="2">
        <f t="shared" si="16"/>
        <v>13</v>
      </c>
      <c r="CV169" s="2" t="str">
        <f t="shared" si="12"/>
        <v>Content &amp; SEO - Associate Web Content Analyst</v>
      </c>
      <c r="CW169" s="2" t="str">
        <f>_xlfn.XLOOKUP(CL169,'[1]Rates &amp; Drop Downs INT'!D$373:D$430,'[1]Rates &amp; Drop Downs INT'!C$373:C$430,"X",1)</f>
        <v>Cloud &amp; Engineering - 2 | Associate Engineer</v>
      </c>
      <c r="DF169" t="s">
        <v>1184</v>
      </c>
      <c r="DG169" t="s">
        <v>3533</v>
      </c>
      <c r="DH169" t="s">
        <v>3477</v>
      </c>
    </row>
    <row r="170" spans="2:112" ht="13.05" customHeight="1" x14ac:dyDescent="0.3">
      <c r="B170" s="346" t="s">
        <v>176</v>
      </c>
      <c r="C170" s="346" t="s">
        <v>398</v>
      </c>
      <c r="D170" s="346"/>
      <c r="E170" s="346"/>
      <c r="F170" s="346" t="s">
        <v>379</v>
      </c>
      <c r="G170" s="347">
        <v>128</v>
      </c>
      <c r="H170" s="4" t="s">
        <v>119</v>
      </c>
      <c r="I170" s="348">
        <v>300</v>
      </c>
      <c r="J170" s="353">
        <v>4</v>
      </c>
      <c r="CG170" s="2" t="s">
        <v>255</v>
      </c>
      <c r="CH170" s="2" t="s">
        <v>255</v>
      </c>
      <c r="CI170" s="2" t="s">
        <v>1216</v>
      </c>
      <c r="CJ170" s="2" t="s">
        <v>1801</v>
      </c>
      <c r="CK170" s="2" t="s">
        <v>3352</v>
      </c>
      <c r="CL170" s="2" t="s">
        <v>3549</v>
      </c>
      <c r="CM170" s="39">
        <v>5</v>
      </c>
      <c r="CN170" s="2" t="str">
        <f t="shared" si="13"/>
        <v>TADigital NA | Management - Practice Director / Delivery Director</v>
      </c>
      <c r="CO170" s="2" t="str">
        <f t="shared" si="18"/>
        <v>TADigital India Consulting | Cloud &amp; Engineering - L2 / B1-B3 | Associate Engineer</v>
      </c>
      <c r="CP170" s="1579">
        <v>315</v>
      </c>
      <c r="CQ170" s="1579">
        <v>165</v>
      </c>
      <c r="CR170" s="1579">
        <v>115</v>
      </c>
      <c r="CS170" s="1579">
        <f t="shared" si="15"/>
        <v>45.1</v>
      </c>
      <c r="CT170" s="1579">
        <v>55</v>
      </c>
      <c r="CU170" s="2">
        <f t="shared" si="16"/>
        <v>13</v>
      </c>
      <c r="CV170" s="2" t="str">
        <f t="shared" si="12"/>
        <v>Management - Practice Director / Delivery Director</v>
      </c>
      <c r="CW170" s="2" t="str">
        <f>_xlfn.XLOOKUP(CL170,'[1]Rates &amp; Drop Downs INT'!D$373:D$430,'[1]Rates &amp; Drop Downs INT'!C$373:C$430,"X",1)</f>
        <v>Cloud &amp; Engineering - 2 | Associate Engineer</v>
      </c>
      <c r="DF170" t="s">
        <v>1184</v>
      </c>
      <c r="DG170" t="s">
        <v>3533</v>
      </c>
      <c r="DH170" t="s">
        <v>3478</v>
      </c>
    </row>
    <row r="171" spans="2:112" ht="13.05" customHeight="1" x14ac:dyDescent="0.3">
      <c r="B171" s="346" t="s">
        <v>176</v>
      </c>
      <c r="C171" s="346" t="s">
        <v>398</v>
      </c>
      <c r="D171" s="346"/>
      <c r="E171" s="346"/>
      <c r="F171" s="4" t="s">
        <v>385</v>
      </c>
      <c r="G171" s="343">
        <v>172</v>
      </c>
      <c r="H171" s="4" t="s">
        <v>119</v>
      </c>
      <c r="I171" s="344">
        <v>350</v>
      </c>
      <c r="J171" s="345">
        <v>5</v>
      </c>
      <c r="CG171" s="2" t="s">
        <v>255</v>
      </c>
      <c r="CH171" s="2" t="s">
        <v>255</v>
      </c>
      <c r="CI171" s="2" t="s">
        <v>1216</v>
      </c>
      <c r="CJ171" s="2" t="s">
        <v>1801</v>
      </c>
      <c r="CK171" s="2" t="s">
        <v>3353</v>
      </c>
      <c r="CL171" s="2" t="s">
        <v>3549</v>
      </c>
      <c r="CM171" s="39">
        <v>6</v>
      </c>
      <c r="CN171" s="2" t="str">
        <f t="shared" si="13"/>
        <v>TADigital NA | Management - Practice VP / Delivery VP</v>
      </c>
      <c r="CO171" s="2" t="str">
        <f t="shared" si="18"/>
        <v>TADigital India Consulting | Cloud &amp; Engineering - L2 / B1-B3 | Associate Engineer</v>
      </c>
      <c r="CP171" s="1579">
        <v>370</v>
      </c>
      <c r="CQ171" s="1579">
        <v>172.5</v>
      </c>
      <c r="CR171" s="1579">
        <v>135</v>
      </c>
      <c r="CS171" s="1579">
        <f t="shared" si="15"/>
        <v>51.250000000000007</v>
      </c>
      <c r="CT171" s="1579">
        <v>62.5</v>
      </c>
      <c r="CU171" s="2">
        <f t="shared" si="16"/>
        <v>13</v>
      </c>
      <c r="CV171" s="2" t="str">
        <f t="shared" si="12"/>
        <v>Management - Practice VP / Delivery VP</v>
      </c>
      <c r="CW171" s="2" t="str">
        <f>_xlfn.XLOOKUP(CL171,'[1]Rates &amp; Drop Downs INT'!D$373:D$430,'[1]Rates &amp; Drop Downs INT'!C$373:C$430,"X",1)</f>
        <v>Cloud &amp; Engineering - 2 | Associate Engineer</v>
      </c>
      <c r="DF171" t="s">
        <v>3332</v>
      </c>
      <c r="DG171" t="s">
        <v>3534</v>
      </c>
      <c r="DH171" t="s">
        <v>3479</v>
      </c>
    </row>
    <row r="172" spans="2:112" ht="13.05" customHeight="1" x14ac:dyDescent="0.3">
      <c r="B172" s="346" t="s">
        <v>176</v>
      </c>
      <c r="C172" s="346" t="s">
        <v>410</v>
      </c>
      <c r="D172" s="346"/>
      <c r="E172" s="346"/>
      <c r="F172" s="4" t="s">
        <v>271</v>
      </c>
      <c r="G172" s="343">
        <v>77</v>
      </c>
      <c r="H172" s="4" t="s">
        <v>119</v>
      </c>
      <c r="I172" s="344">
        <v>200</v>
      </c>
      <c r="J172" s="345">
        <v>2</v>
      </c>
      <c r="CG172" s="2" t="s">
        <v>255</v>
      </c>
      <c r="CH172" s="2" t="s">
        <v>255</v>
      </c>
      <c r="CI172" s="2" t="s">
        <v>1216</v>
      </c>
      <c r="CJ172" s="2" t="s">
        <v>1801</v>
      </c>
      <c r="CK172" s="2" t="s">
        <v>567</v>
      </c>
      <c r="CL172" s="2" t="s">
        <v>3555</v>
      </c>
      <c r="CM172" s="39">
        <v>2</v>
      </c>
      <c r="CN172" s="2" t="str">
        <f t="shared" si="13"/>
        <v>TADigital NA Consulting | Content &amp; SEO - Content Analyst</v>
      </c>
      <c r="CO172" s="2" t="str">
        <f t="shared" si="18"/>
        <v>TADigital India Consulting | Cloud &amp; Engineering - L2 / B1-B3 | Associate Engineer</v>
      </c>
      <c r="CP172" s="1579">
        <v>125</v>
      </c>
      <c r="CQ172" s="1579">
        <v>75</v>
      </c>
      <c r="CR172" s="1579">
        <v>40</v>
      </c>
      <c r="CS172" s="1579">
        <f t="shared" si="15"/>
        <v>14.760000000000002</v>
      </c>
      <c r="CT172" s="1579">
        <v>18</v>
      </c>
      <c r="CU172" s="2">
        <f t="shared" si="16"/>
        <v>13</v>
      </c>
      <c r="CV172" s="2" t="str">
        <f t="shared" si="12"/>
        <v>Content &amp; SEO - Content Analyst</v>
      </c>
      <c r="CW172" s="2" t="str">
        <f>_xlfn.XLOOKUP(CL172,'[1]Rates &amp; Drop Downs INT'!D$373:D$430,'[1]Rates &amp; Drop Downs INT'!C$373:C$430,"X",1)</f>
        <v>Cloud &amp; Engineering - 2 | Associate Engineer</v>
      </c>
      <c r="DF172" t="s">
        <v>3332</v>
      </c>
      <c r="DG172" t="s">
        <v>3534</v>
      </c>
      <c r="DH172" t="s">
        <v>3480</v>
      </c>
    </row>
    <row r="173" spans="2:112" ht="13.05" customHeight="1" x14ac:dyDescent="0.3">
      <c r="B173" s="346" t="s">
        <v>176</v>
      </c>
      <c r="C173" s="346" t="s">
        <v>410</v>
      </c>
      <c r="D173" s="346"/>
      <c r="E173" s="346"/>
      <c r="F173" s="346" t="s">
        <v>259</v>
      </c>
      <c r="G173" s="347">
        <v>96</v>
      </c>
      <c r="H173" s="346" t="s">
        <v>119</v>
      </c>
      <c r="I173" s="348">
        <v>240</v>
      </c>
      <c r="J173" s="349">
        <v>3</v>
      </c>
      <c r="CG173" s="2" t="s">
        <v>255</v>
      </c>
      <c r="CH173" s="2" t="s">
        <v>255</v>
      </c>
      <c r="CI173" s="2" t="s">
        <v>1216</v>
      </c>
      <c r="CJ173" s="2" t="s">
        <v>1801</v>
      </c>
      <c r="CK173" s="2" t="s">
        <v>571</v>
      </c>
      <c r="CL173" s="2" t="s">
        <v>3556</v>
      </c>
      <c r="CM173" s="39">
        <v>3</v>
      </c>
      <c r="CN173" s="2" t="str">
        <f t="shared" si="13"/>
        <v>TADigital NA Consulting | Content &amp; SEO - Content Strategist</v>
      </c>
      <c r="CO173" s="2" t="str">
        <f t="shared" si="18"/>
        <v>TADigital India Consulting | Cloud &amp; Engineering - L2 / B1-B3 | Associate Engineer</v>
      </c>
      <c r="CP173" s="1579">
        <v>170</v>
      </c>
      <c r="CQ173" s="1579">
        <v>82.5</v>
      </c>
      <c r="CR173" s="1579">
        <v>70</v>
      </c>
      <c r="CS173" s="1579">
        <f t="shared" si="15"/>
        <v>20.5</v>
      </c>
      <c r="CT173" s="1579">
        <v>25</v>
      </c>
      <c r="CU173" s="2">
        <f t="shared" si="16"/>
        <v>13</v>
      </c>
      <c r="CV173" s="2" t="str">
        <f t="shared" si="12"/>
        <v>Content &amp; SEO - Content Strategist</v>
      </c>
      <c r="CW173" s="2" t="str">
        <f>_xlfn.XLOOKUP(CL173,'[1]Rates &amp; Drop Downs INT'!D$373:D$430,'[1]Rates &amp; Drop Downs INT'!C$373:C$430,"X",1)</f>
        <v>Cloud &amp; Engineering - 2 | Associate Engineer</v>
      </c>
      <c r="DF173" t="s">
        <v>1188</v>
      </c>
      <c r="DG173" t="s">
        <v>3535</v>
      </c>
      <c r="DH173" t="s">
        <v>1188</v>
      </c>
    </row>
    <row r="174" spans="2:112" ht="13.05" customHeight="1" x14ac:dyDescent="0.25">
      <c r="B174" s="346" t="s">
        <v>176</v>
      </c>
      <c r="C174" s="346" t="s">
        <v>410</v>
      </c>
      <c r="D174" s="346"/>
      <c r="E174" s="346"/>
      <c r="F174" s="346" t="s">
        <v>379</v>
      </c>
      <c r="G174" s="347">
        <v>128</v>
      </c>
      <c r="H174" s="346" t="s">
        <v>119</v>
      </c>
      <c r="I174" s="348">
        <v>300</v>
      </c>
      <c r="J174" s="351">
        <v>4</v>
      </c>
      <c r="CG174" s="2" t="s">
        <v>255</v>
      </c>
      <c r="CH174" s="2" t="s">
        <v>255</v>
      </c>
      <c r="CI174" s="2" t="s">
        <v>1216</v>
      </c>
      <c r="CJ174" s="2" t="s">
        <v>1801</v>
      </c>
      <c r="CK174" s="2" t="s">
        <v>573</v>
      </c>
      <c r="CL174" s="2" t="s">
        <v>3557</v>
      </c>
      <c r="CM174" s="39">
        <v>4</v>
      </c>
      <c r="CN174" s="2" t="str">
        <f t="shared" si="13"/>
        <v>TADigital NA Consulting - Project Manager / Product Manager</v>
      </c>
      <c r="CO174" s="2" t="str">
        <f t="shared" si="18"/>
        <v>TADigital India Consulting | Cloud &amp; Engineering - L2 / B1-B3 | Associate Engineer</v>
      </c>
      <c r="CP174" s="1579">
        <v>190</v>
      </c>
      <c r="CQ174" s="1579">
        <v>85</v>
      </c>
      <c r="CR174" s="1579">
        <v>80</v>
      </c>
      <c r="CS174" s="1579">
        <f t="shared" si="15"/>
        <v>26.650000000000002</v>
      </c>
      <c r="CT174" s="1579">
        <v>32.5</v>
      </c>
      <c r="CU174" s="2">
        <f t="shared" si="16"/>
        <v>13</v>
      </c>
      <c r="CV174" s="2" t="str">
        <f t="shared" si="12"/>
        <v>Project Manager / Product Manager</v>
      </c>
      <c r="CW174" s="2" t="str">
        <f>_xlfn.XLOOKUP(CL174,'[1]Rates &amp; Drop Downs INT'!D$373:D$430,'[1]Rates &amp; Drop Downs INT'!C$373:C$430,"X",1)</f>
        <v>Cloud &amp; Engineering - 2 | Associate Engineer</v>
      </c>
    </row>
    <row r="175" spans="2:112" ht="13.05" customHeight="1" x14ac:dyDescent="0.25">
      <c r="B175" s="4" t="s">
        <v>176</v>
      </c>
      <c r="C175" s="4" t="s">
        <v>429</v>
      </c>
      <c r="D175" s="4"/>
      <c r="E175" s="4"/>
      <c r="F175" s="4" t="s">
        <v>259</v>
      </c>
      <c r="G175" s="343">
        <v>96</v>
      </c>
      <c r="H175" s="4" t="s">
        <v>119</v>
      </c>
      <c r="I175" s="344">
        <v>240</v>
      </c>
      <c r="J175" s="352">
        <v>3</v>
      </c>
      <c r="CG175" s="2" t="s">
        <v>255</v>
      </c>
      <c r="CH175" s="2" t="s">
        <v>255</v>
      </c>
      <c r="CI175" s="2" t="s">
        <v>1216</v>
      </c>
      <c r="CJ175" s="2" t="s">
        <v>1801</v>
      </c>
      <c r="CK175" s="2" t="s">
        <v>3354</v>
      </c>
      <c r="CL175" s="2" t="s">
        <v>3549</v>
      </c>
      <c r="CM175" s="39">
        <v>5</v>
      </c>
      <c r="CN175" s="2" t="str">
        <f t="shared" si="13"/>
        <v>TADigital NA | Management - Sr. Practice Director / Sr. Delivery Director</v>
      </c>
      <c r="CO175" s="2" t="str">
        <f t="shared" si="18"/>
        <v>TADigital India Consulting | Cloud &amp; Engineering - L2 / B1-B3 | Associate Engineer</v>
      </c>
      <c r="CP175" s="1579">
        <v>340</v>
      </c>
      <c r="CQ175" s="1579">
        <v>170</v>
      </c>
      <c r="CR175" s="1579">
        <v>125</v>
      </c>
      <c r="CS175" s="1579">
        <f t="shared" si="15"/>
        <v>49.2</v>
      </c>
      <c r="CT175" s="1579">
        <v>60</v>
      </c>
      <c r="CU175" s="2">
        <f t="shared" si="16"/>
        <v>13</v>
      </c>
      <c r="CV175" s="2" t="str">
        <f t="shared" si="12"/>
        <v>Management - Sr. Practice Director / Sr. Delivery Director</v>
      </c>
      <c r="CW175" s="2" t="str">
        <f>_xlfn.XLOOKUP(CL175,'[1]Rates &amp; Drop Downs INT'!D$373:D$430,'[1]Rates &amp; Drop Downs INT'!C$373:C$430,"X",1)</f>
        <v>Cloud &amp; Engineering - 2 | Associate Engineer</v>
      </c>
    </row>
    <row r="176" spans="2:112" ht="13.05" customHeight="1" x14ac:dyDescent="0.25">
      <c r="B176" s="346" t="s">
        <v>176</v>
      </c>
      <c r="C176" s="4" t="s">
        <v>374</v>
      </c>
      <c r="D176" s="4"/>
      <c r="E176" s="4"/>
      <c r="F176" s="346" t="s">
        <v>259</v>
      </c>
      <c r="G176" s="347">
        <v>96</v>
      </c>
      <c r="H176" s="4" t="s">
        <v>119</v>
      </c>
      <c r="I176" s="348">
        <v>240</v>
      </c>
      <c r="J176" s="345">
        <v>3</v>
      </c>
      <c r="CG176" s="2" t="s">
        <v>255</v>
      </c>
      <c r="CH176" s="2" t="s">
        <v>255</v>
      </c>
      <c r="CI176" s="2" t="s">
        <v>1216</v>
      </c>
      <c r="CJ176" s="2" t="s">
        <v>1801</v>
      </c>
      <c r="CK176" s="2" t="s">
        <v>569</v>
      </c>
      <c r="CL176" s="2" t="s">
        <v>3550</v>
      </c>
      <c r="CM176" s="39">
        <v>2</v>
      </c>
      <c r="CN176" s="2" t="str">
        <f t="shared" si="13"/>
        <v>TADigital NA Consulting | Content &amp; SEO - Content Strategist</v>
      </c>
      <c r="CO176" s="2" t="str">
        <f t="shared" si="18"/>
        <v>TADigital India Consulting | Cloud &amp; Engineering - L2 / B1-B3 | Associate Engineer</v>
      </c>
      <c r="CP176" s="1579">
        <v>165</v>
      </c>
      <c r="CQ176" s="1579">
        <v>80</v>
      </c>
      <c r="CR176" s="1579">
        <v>60</v>
      </c>
      <c r="CS176" s="1579">
        <f t="shared" si="15"/>
        <v>16.400000000000002</v>
      </c>
      <c r="CT176" s="1579">
        <v>20</v>
      </c>
      <c r="CU176" s="2">
        <f t="shared" si="16"/>
        <v>13</v>
      </c>
      <c r="CV176" s="2" t="str">
        <f t="shared" si="12"/>
        <v>Content &amp; SEO - Content Strategist</v>
      </c>
      <c r="CW176" s="2" t="str">
        <f>_xlfn.XLOOKUP(CL176,'[1]Rates &amp; Drop Downs INT'!D$373:D$430,'[1]Rates &amp; Drop Downs INT'!C$373:C$430,"X",1)</f>
        <v>Cloud &amp; Engineering - 2 | Associate Engineer</v>
      </c>
    </row>
    <row r="177" spans="1:101" ht="13.05" customHeight="1" x14ac:dyDescent="0.25">
      <c r="B177" s="346" t="s">
        <v>176</v>
      </c>
      <c r="C177" s="4" t="s">
        <v>374</v>
      </c>
      <c r="D177" s="4"/>
      <c r="E177" s="4"/>
      <c r="F177" s="4" t="s">
        <v>353</v>
      </c>
      <c r="G177" s="343">
        <v>128</v>
      </c>
      <c r="H177" s="4" t="s">
        <v>119</v>
      </c>
      <c r="I177" s="344">
        <v>300</v>
      </c>
      <c r="J177" s="345">
        <v>4</v>
      </c>
      <c r="CG177" s="2" t="s">
        <v>255</v>
      </c>
      <c r="CH177" s="2" t="s">
        <v>255</v>
      </c>
      <c r="CI177" s="2" t="s">
        <v>1217</v>
      </c>
      <c r="CJ177" s="2" t="s">
        <v>1800</v>
      </c>
      <c r="CK177" s="2" t="s">
        <v>3351</v>
      </c>
      <c r="CL177" s="2" t="s">
        <v>3545</v>
      </c>
      <c r="CM177" s="39">
        <v>2</v>
      </c>
      <c r="CN177" s="2" t="str">
        <f t="shared" si="13"/>
        <v>TADigital NA Consulting | Content &amp; SEO - Associate Web Content Analyst</v>
      </c>
      <c r="CO177" s="2" t="str">
        <f t="shared" si="18"/>
        <v>TADigital India Consulting | Cloud &amp; Engineering - L2 / B1-B3 | Associate Engineer</v>
      </c>
      <c r="CP177" s="1579">
        <v>0</v>
      </c>
      <c r="CQ177" s="1579">
        <v>0</v>
      </c>
      <c r="CR177" s="1579">
        <v>35</v>
      </c>
      <c r="CS177" s="1579">
        <f t="shared" si="15"/>
        <v>10.66</v>
      </c>
      <c r="CT177" s="1579">
        <v>13</v>
      </c>
      <c r="CU177" s="2">
        <f t="shared" si="16"/>
        <v>13</v>
      </c>
      <c r="CV177" s="2" t="str">
        <f t="shared" si="12"/>
        <v>Content &amp; SEO - Associate Web Content Analyst</v>
      </c>
      <c r="CW177" s="2" t="str">
        <f>_xlfn.XLOOKUP(CL177,'[1]Rates &amp; Drop Downs INT'!D$373:D$430,'[1]Rates &amp; Drop Downs INT'!C$373:C$430,"X",1)</f>
        <v>Cloud &amp; Engineering - 2 | Associate Engineer</v>
      </c>
    </row>
    <row r="178" spans="1:101" ht="13.05" customHeight="1" x14ac:dyDescent="0.25">
      <c r="A178" s="2" t="s">
        <v>594</v>
      </c>
      <c r="B178" s="4" t="s">
        <v>176</v>
      </c>
      <c r="C178" s="346" t="s">
        <v>357</v>
      </c>
      <c r="D178" s="346"/>
      <c r="E178" s="346"/>
      <c r="F178" s="4" t="s">
        <v>353</v>
      </c>
      <c r="G178" s="343">
        <v>128</v>
      </c>
      <c r="H178" s="4" t="s">
        <v>119</v>
      </c>
      <c r="I178" s="344">
        <v>300</v>
      </c>
      <c r="J178" s="345">
        <v>4</v>
      </c>
      <c r="CG178" s="2" t="s">
        <v>255</v>
      </c>
      <c r="CH178" s="2" t="s">
        <v>255</v>
      </c>
      <c r="CI178" s="2" t="s">
        <v>1217</v>
      </c>
      <c r="CJ178" s="2" t="s">
        <v>1800</v>
      </c>
      <c r="CK178" s="2" t="s">
        <v>720</v>
      </c>
      <c r="CL178" s="2" t="s">
        <v>3546</v>
      </c>
      <c r="CM178" s="39">
        <v>5</v>
      </c>
      <c r="CN178" s="2" t="str">
        <f t="shared" si="13"/>
        <v>TADigital NA | Management - Associate Practice Director</v>
      </c>
      <c r="CO178" s="2" t="str">
        <f t="shared" si="18"/>
        <v>TADigital India Consulting | Cloud &amp; Engineering - L2 / B1-B3 | Associate Engineer</v>
      </c>
      <c r="CP178" s="1579">
        <v>290</v>
      </c>
      <c r="CQ178" s="1579">
        <v>140</v>
      </c>
      <c r="CR178" s="1579">
        <v>105</v>
      </c>
      <c r="CS178" s="1579">
        <f t="shared" si="15"/>
        <v>45.1</v>
      </c>
      <c r="CT178" s="1579">
        <v>55</v>
      </c>
      <c r="CU178" s="2">
        <f t="shared" si="16"/>
        <v>13</v>
      </c>
      <c r="CV178" s="2" t="str">
        <f t="shared" si="12"/>
        <v>Management - Associate Practice Director</v>
      </c>
      <c r="CW178" s="2" t="str">
        <f>_xlfn.XLOOKUP(CL178,'[1]Rates &amp; Drop Downs INT'!D$373:D$430,'[1]Rates &amp; Drop Downs INT'!C$373:C$430,"X",1)</f>
        <v>Cloud &amp; Engineering - 2 | Associate Engineer</v>
      </c>
    </row>
    <row r="179" spans="1:101" ht="13.05" customHeight="1" x14ac:dyDescent="0.25">
      <c r="B179" s="4" t="s">
        <v>176</v>
      </c>
      <c r="C179" s="346" t="s">
        <v>357</v>
      </c>
      <c r="D179" s="346"/>
      <c r="E179" s="346"/>
      <c r="F179" s="346" t="s">
        <v>346</v>
      </c>
      <c r="G179" s="347">
        <v>172</v>
      </c>
      <c r="H179" s="346" t="s">
        <v>119</v>
      </c>
      <c r="I179" s="348">
        <v>350</v>
      </c>
      <c r="J179" s="353">
        <v>5</v>
      </c>
      <c r="CG179" s="2" t="s">
        <v>255</v>
      </c>
      <c r="CH179" s="2" t="s">
        <v>255</v>
      </c>
      <c r="CI179" s="2" t="s">
        <v>1217</v>
      </c>
      <c r="CJ179" s="2" t="s">
        <v>1800</v>
      </c>
      <c r="CK179" s="2" t="s">
        <v>532</v>
      </c>
      <c r="CL179" s="2" t="s">
        <v>3547</v>
      </c>
      <c r="CM179" s="39">
        <v>2</v>
      </c>
      <c r="CN179" s="2" t="str">
        <f t="shared" si="13"/>
        <v>TADigital NA Consulting | Content &amp; SEO - Associate Content Strategist</v>
      </c>
      <c r="CO179" s="2" t="str">
        <f t="shared" si="18"/>
        <v>TADigital India Consulting | Cloud &amp; Engineering - L2 / B1-B3 | Associate Engineer</v>
      </c>
      <c r="CP179" s="1579">
        <v>160</v>
      </c>
      <c r="CQ179" s="1579">
        <v>80</v>
      </c>
      <c r="CR179" s="1579">
        <v>55</v>
      </c>
      <c r="CS179" s="1579">
        <f t="shared" si="15"/>
        <v>14.760000000000002</v>
      </c>
      <c r="CT179" s="1579">
        <v>18</v>
      </c>
      <c r="CU179" s="2">
        <f t="shared" si="16"/>
        <v>13</v>
      </c>
      <c r="CV179" s="2" t="str">
        <f t="shared" si="12"/>
        <v>Content &amp; SEO - Associate Content Strategist</v>
      </c>
      <c r="CW179" s="2" t="str">
        <f>_xlfn.XLOOKUP(CL179,'[1]Rates &amp; Drop Downs INT'!D$373:D$430,'[1]Rates &amp; Drop Downs INT'!C$373:C$430,"X",1)</f>
        <v>Cloud &amp; Engineering - 2 | Associate Engineer</v>
      </c>
    </row>
    <row r="180" spans="1:101" ht="13.05" customHeight="1" x14ac:dyDescent="0.25">
      <c r="B180" s="4" t="s">
        <v>176</v>
      </c>
      <c r="C180" s="346" t="s">
        <v>357</v>
      </c>
      <c r="D180" s="346"/>
      <c r="E180" s="346"/>
      <c r="F180" s="4" t="s">
        <v>420</v>
      </c>
      <c r="G180" s="343">
        <v>257</v>
      </c>
      <c r="H180" s="4" t="s">
        <v>119</v>
      </c>
      <c r="I180" s="344">
        <v>390</v>
      </c>
      <c r="J180" s="345">
        <v>6</v>
      </c>
      <c r="CG180" s="2" t="s">
        <v>255</v>
      </c>
      <c r="CH180" s="2" t="s">
        <v>255</v>
      </c>
      <c r="CI180" s="2" t="s">
        <v>1217</v>
      </c>
      <c r="CJ180" s="2" t="s">
        <v>1800</v>
      </c>
      <c r="CK180" s="2" t="s">
        <v>542</v>
      </c>
      <c r="CL180" s="2" t="s">
        <v>3548</v>
      </c>
      <c r="CM180" s="39">
        <v>5</v>
      </c>
      <c r="CN180" s="2" t="str">
        <f t="shared" si="13"/>
        <v>TADigital NA | Management - Associate Practice Director</v>
      </c>
      <c r="CO180" s="2" t="str">
        <f t="shared" si="18"/>
        <v>TADigital India Consulting | Cloud &amp; Engineering - L2 / B1-B3 | Associate Engineer</v>
      </c>
      <c r="CP180" s="1579">
        <v>290</v>
      </c>
      <c r="CQ180" s="1579">
        <v>167.5</v>
      </c>
      <c r="CR180" s="1579">
        <v>125</v>
      </c>
      <c r="CS180" s="1579">
        <f t="shared" si="15"/>
        <v>51.250000000000007</v>
      </c>
      <c r="CT180" s="1579">
        <v>62.5</v>
      </c>
      <c r="CU180" s="2">
        <f t="shared" si="16"/>
        <v>13</v>
      </c>
      <c r="CV180" s="2" t="str">
        <f t="shared" si="12"/>
        <v>Management - Associate Practice Director</v>
      </c>
      <c r="CW180" s="2" t="str">
        <f>_xlfn.XLOOKUP(CL180,'[1]Rates &amp; Drop Downs INT'!D$373:D$430,'[1]Rates &amp; Drop Downs INT'!C$373:C$430,"X",1)</f>
        <v>Cloud &amp; Engineering - 2 | Associate Engineer</v>
      </c>
    </row>
    <row r="181" spans="1:101" ht="13.05" customHeight="1" x14ac:dyDescent="0.25">
      <c r="B181" s="4" t="s">
        <v>176</v>
      </c>
      <c r="C181" s="346" t="s">
        <v>343</v>
      </c>
      <c r="D181" s="346"/>
      <c r="E181" s="346"/>
      <c r="F181" s="4" t="s">
        <v>271</v>
      </c>
      <c r="G181" s="343">
        <v>77</v>
      </c>
      <c r="H181" s="4" t="s">
        <v>119</v>
      </c>
      <c r="I181" s="344">
        <v>200</v>
      </c>
      <c r="J181" s="351">
        <v>2</v>
      </c>
      <c r="CG181" s="2" t="s">
        <v>255</v>
      </c>
      <c r="CH181" s="2" t="s">
        <v>255</v>
      </c>
      <c r="CI181" s="2" t="s">
        <v>1217</v>
      </c>
      <c r="CJ181" s="2" t="s">
        <v>1800</v>
      </c>
      <c r="CK181" s="2" t="s">
        <v>3352</v>
      </c>
      <c r="CL181" s="2" t="s">
        <v>3549</v>
      </c>
      <c r="CM181" s="39">
        <v>5</v>
      </c>
      <c r="CN181" s="2" t="str">
        <f t="shared" si="13"/>
        <v>TADigital NA | Management - Practice Director / Delivery Director</v>
      </c>
      <c r="CO181" s="2" t="str">
        <f t="shared" si="18"/>
        <v>TADigital India Consulting | Cloud &amp; Engineering - L2 / B1-B3 | Associate Engineer</v>
      </c>
      <c r="CP181" s="1579">
        <v>315</v>
      </c>
      <c r="CQ181" s="1579">
        <v>165</v>
      </c>
      <c r="CR181" s="1579">
        <v>115</v>
      </c>
      <c r="CS181" s="1579">
        <f t="shared" si="15"/>
        <v>45.1</v>
      </c>
      <c r="CT181" s="1579">
        <v>55</v>
      </c>
      <c r="CU181" s="2">
        <f t="shared" si="16"/>
        <v>13</v>
      </c>
      <c r="CV181" s="2" t="str">
        <f t="shared" si="12"/>
        <v>Management - Practice Director / Delivery Director</v>
      </c>
      <c r="CW181" s="2" t="str">
        <f>_xlfn.XLOOKUP(CL181,'[1]Rates &amp; Drop Downs INT'!D$373:D$430,'[1]Rates &amp; Drop Downs INT'!C$373:C$430,"X",1)</f>
        <v>Cloud &amp; Engineering - 2 | Associate Engineer</v>
      </c>
    </row>
    <row r="182" spans="1:101" ht="13.05" customHeight="1" x14ac:dyDescent="0.25">
      <c r="B182" s="4" t="s">
        <v>176</v>
      </c>
      <c r="C182" s="346" t="s">
        <v>343</v>
      </c>
      <c r="D182" s="346"/>
      <c r="E182" s="346"/>
      <c r="F182" s="346" t="s">
        <v>259</v>
      </c>
      <c r="G182" s="347">
        <v>96</v>
      </c>
      <c r="H182" s="346" t="s">
        <v>119</v>
      </c>
      <c r="I182" s="348">
        <v>240</v>
      </c>
      <c r="J182" s="349">
        <v>3</v>
      </c>
      <c r="CG182" s="2" t="s">
        <v>255</v>
      </c>
      <c r="CH182" s="2" t="s">
        <v>255</v>
      </c>
      <c r="CI182" s="2" t="s">
        <v>1217</v>
      </c>
      <c r="CJ182" s="2" t="s">
        <v>1800</v>
      </c>
      <c r="CK182" s="2" t="s">
        <v>446</v>
      </c>
      <c r="CL182" s="2" t="s">
        <v>3546</v>
      </c>
      <c r="CM182" s="39">
        <v>4</v>
      </c>
      <c r="CN182" s="2" t="str">
        <f t="shared" si="13"/>
        <v>TADigital NA Consulting - Sr. Project Manager</v>
      </c>
      <c r="CO182" s="2" t="str">
        <f t="shared" si="18"/>
        <v>TADigital India Consulting | Cloud &amp; Engineering - L2 / B1-B3 | Associate Engineer</v>
      </c>
      <c r="CP182" s="1579">
        <v>235</v>
      </c>
      <c r="CQ182" s="1579">
        <v>130</v>
      </c>
      <c r="CR182" s="1579">
        <v>80</v>
      </c>
      <c r="CS182" s="1579">
        <f t="shared" si="15"/>
        <v>38.950000000000003</v>
      </c>
      <c r="CT182" s="1579">
        <v>47.5</v>
      </c>
      <c r="CU182" s="2">
        <f t="shared" si="16"/>
        <v>13</v>
      </c>
      <c r="CV182" s="2" t="str">
        <f t="shared" si="12"/>
        <v>Sr. Project Manager</v>
      </c>
      <c r="CW182" s="2" t="str">
        <f>_xlfn.XLOOKUP(CL182,'[1]Rates &amp; Drop Downs INT'!D$373:D$430,'[1]Rates &amp; Drop Downs INT'!C$373:C$430,"X",1)</f>
        <v>Cloud &amp; Engineering - 2 | Associate Engineer</v>
      </c>
    </row>
    <row r="183" spans="1:101" ht="13.05" customHeight="1" x14ac:dyDescent="0.25">
      <c r="B183" s="346" t="s">
        <v>176</v>
      </c>
      <c r="C183" s="346" t="s">
        <v>375</v>
      </c>
      <c r="D183" s="346"/>
      <c r="E183" s="346"/>
      <c r="F183" s="4" t="s">
        <v>353</v>
      </c>
      <c r="G183" s="343">
        <v>128</v>
      </c>
      <c r="H183" s="4" t="s">
        <v>119</v>
      </c>
      <c r="I183" s="344">
        <v>300</v>
      </c>
      <c r="J183" s="345">
        <v>4</v>
      </c>
      <c r="CG183" s="2" t="s">
        <v>255</v>
      </c>
      <c r="CH183" s="2" t="s">
        <v>255</v>
      </c>
      <c r="CI183" s="2" t="s">
        <v>1217</v>
      </c>
      <c r="CJ183" s="2" t="s">
        <v>1800</v>
      </c>
      <c r="CK183" s="2" t="s">
        <v>3353</v>
      </c>
      <c r="CL183" s="2" t="s">
        <v>3549</v>
      </c>
      <c r="CM183" s="39">
        <v>6</v>
      </c>
      <c r="CN183" s="2" t="str">
        <f t="shared" si="13"/>
        <v>TADigital NA | Management - Practice VP / Delivery VP</v>
      </c>
      <c r="CO183" s="2" t="str">
        <f t="shared" si="18"/>
        <v>TADigital India Consulting | Cloud &amp; Engineering - L2 / B1-B3 | Associate Engineer</v>
      </c>
      <c r="CP183" s="1579">
        <v>370</v>
      </c>
      <c r="CQ183" s="1579">
        <v>172.5</v>
      </c>
      <c r="CR183" s="1579">
        <v>135</v>
      </c>
      <c r="CS183" s="1579">
        <f t="shared" si="15"/>
        <v>51.250000000000007</v>
      </c>
      <c r="CT183" s="1579">
        <v>62.5</v>
      </c>
      <c r="CU183" s="2">
        <f t="shared" si="16"/>
        <v>13</v>
      </c>
      <c r="CV183" s="2" t="str">
        <f t="shared" si="12"/>
        <v>Management - Practice VP / Delivery VP</v>
      </c>
      <c r="CW183" s="2" t="str">
        <f>_xlfn.XLOOKUP(CL183,'[1]Rates &amp; Drop Downs INT'!D$373:D$430,'[1]Rates &amp; Drop Downs INT'!C$373:C$430,"X",1)</f>
        <v>Cloud &amp; Engineering - 2 | Associate Engineer</v>
      </c>
    </row>
    <row r="184" spans="1:101" ht="13.05" customHeight="1" x14ac:dyDescent="0.25">
      <c r="B184" s="346" t="s">
        <v>176</v>
      </c>
      <c r="C184" s="346" t="s">
        <v>375</v>
      </c>
      <c r="D184" s="346"/>
      <c r="E184" s="346"/>
      <c r="F184" s="346" t="s">
        <v>346</v>
      </c>
      <c r="G184" s="347">
        <v>172</v>
      </c>
      <c r="H184" s="4" t="s">
        <v>119</v>
      </c>
      <c r="I184" s="348">
        <v>350</v>
      </c>
      <c r="J184" s="353">
        <v>5</v>
      </c>
      <c r="CG184" s="2" t="s">
        <v>255</v>
      </c>
      <c r="CH184" s="2" t="s">
        <v>255</v>
      </c>
      <c r="CI184" s="2" t="s">
        <v>1217</v>
      </c>
      <c r="CJ184" s="2" t="s">
        <v>1800</v>
      </c>
      <c r="CK184" s="2" t="s">
        <v>534</v>
      </c>
      <c r="CL184" s="2" t="s">
        <v>3550</v>
      </c>
      <c r="CM184" s="39">
        <v>2</v>
      </c>
      <c r="CN184" s="2" t="str">
        <f t="shared" si="13"/>
        <v>TADigital NA Consulting | Content &amp; SEO - Content Strategist</v>
      </c>
      <c r="CO184" s="2" t="str">
        <f t="shared" si="18"/>
        <v>TADigital India Consulting | Cloud &amp; Engineering - L2 / B1-B3 | Associate Engineer</v>
      </c>
      <c r="CP184" s="1579">
        <v>170</v>
      </c>
      <c r="CQ184" s="1579">
        <v>82.5</v>
      </c>
      <c r="CR184" s="1579">
        <v>65</v>
      </c>
      <c r="CS184" s="1579">
        <f t="shared" si="15"/>
        <v>18.450000000000003</v>
      </c>
      <c r="CT184" s="1579">
        <v>22.5</v>
      </c>
      <c r="CU184" s="2">
        <f t="shared" si="16"/>
        <v>13</v>
      </c>
      <c r="CV184" s="2" t="str">
        <f t="shared" si="12"/>
        <v>Content &amp; SEO - Content Strategist</v>
      </c>
      <c r="CW184" s="2" t="str">
        <f>_xlfn.XLOOKUP(CL184,'[1]Rates &amp; Drop Downs INT'!D$373:D$430,'[1]Rates &amp; Drop Downs INT'!C$373:C$430,"X",1)</f>
        <v>Cloud &amp; Engineering - 2 | Associate Engineer</v>
      </c>
    </row>
    <row r="185" spans="1:101" ht="13.05" customHeight="1" x14ac:dyDescent="0.25">
      <c r="B185" s="346" t="s">
        <v>176</v>
      </c>
      <c r="C185" s="346" t="s">
        <v>375</v>
      </c>
      <c r="D185" s="346"/>
      <c r="E185" s="346"/>
      <c r="F185" s="4" t="s">
        <v>420</v>
      </c>
      <c r="G185" s="343">
        <v>257</v>
      </c>
      <c r="H185" s="4" t="s">
        <v>119</v>
      </c>
      <c r="I185" s="344">
        <v>390</v>
      </c>
      <c r="J185" s="345">
        <v>6</v>
      </c>
      <c r="CG185" s="2" t="s">
        <v>255</v>
      </c>
      <c r="CH185" s="2" t="s">
        <v>255</v>
      </c>
      <c r="CI185" s="2" t="s">
        <v>1217</v>
      </c>
      <c r="CJ185" s="2" t="s">
        <v>1800</v>
      </c>
      <c r="CK185" s="2" t="s">
        <v>3354</v>
      </c>
      <c r="CL185" s="2" t="s">
        <v>3549</v>
      </c>
      <c r="CM185" s="39">
        <v>5</v>
      </c>
      <c r="CN185" s="2" t="str">
        <f t="shared" si="13"/>
        <v>TADigital NA | Management - Sr. Practice Director / Sr. Delivery Director</v>
      </c>
      <c r="CO185" s="2" t="str">
        <f t="shared" si="18"/>
        <v>TADigital India Consulting | Cloud &amp; Engineering - L2 / B1-B3 | Associate Engineer</v>
      </c>
      <c r="CP185" s="1579">
        <v>340</v>
      </c>
      <c r="CQ185" s="1579">
        <v>170</v>
      </c>
      <c r="CR185" s="1579">
        <v>125</v>
      </c>
      <c r="CS185" s="1579">
        <f t="shared" si="15"/>
        <v>49.2</v>
      </c>
      <c r="CT185" s="1579">
        <v>60</v>
      </c>
      <c r="CU185" s="2">
        <f t="shared" si="16"/>
        <v>13</v>
      </c>
      <c r="CV185" s="2" t="str">
        <f t="shared" si="12"/>
        <v>Management - Sr. Practice Director / Sr. Delivery Director</v>
      </c>
      <c r="CW185" s="2" t="str">
        <f>_xlfn.XLOOKUP(CL185,'[1]Rates &amp; Drop Downs INT'!D$373:D$430,'[1]Rates &amp; Drop Downs INT'!C$373:C$430,"X",1)</f>
        <v>Cloud &amp; Engineering - 2 | Associate Engineer</v>
      </c>
    </row>
    <row r="186" spans="1:101" ht="13.05" customHeight="1" x14ac:dyDescent="0.25">
      <c r="B186" s="346" t="s">
        <v>176</v>
      </c>
      <c r="C186" s="346" t="s">
        <v>402</v>
      </c>
      <c r="D186" s="346"/>
      <c r="E186" s="346"/>
      <c r="F186" s="346" t="s">
        <v>259</v>
      </c>
      <c r="G186" s="347">
        <v>96</v>
      </c>
      <c r="H186" s="4" t="s">
        <v>119</v>
      </c>
      <c r="I186" s="348">
        <v>240</v>
      </c>
      <c r="J186" s="345">
        <v>3</v>
      </c>
      <c r="CG186" s="2" t="s">
        <v>255</v>
      </c>
      <c r="CH186" s="2" t="s">
        <v>255</v>
      </c>
      <c r="CI186" s="2" t="s">
        <v>1217</v>
      </c>
      <c r="CJ186" s="2" t="s">
        <v>1800</v>
      </c>
      <c r="CK186" s="2" t="s">
        <v>448</v>
      </c>
      <c r="CL186" s="2" t="s">
        <v>3546</v>
      </c>
      <c r="CM186" s="39">
        <v>5</v>
      </c>
      <c r="CN186" s="2" t="str">
        <f t="shared" si="13"/>
        <v>TADigital NA Consulting - Delivery Manager</v>
      </c>
      <c r="CO186" s="2" t="str">
        <f t="shared" si="18"/>
        <v>TADigital India Consulting | Cloud &amp; Engineering - L2 / B1-B3 | Associate Engineer</v>
      </c>
      <c r="CP186" s="1579">
        <v>265</v>
      </c>
      <c r="CQ186" s="1579">
        <v>137.5</v>
      </c>
      <c r="CR186" s="1579">
        <v>90</v>
      </c>
      <c r="CS186" s="1579">
        <f t="shared" si="15"/>
        <v>38.950000000000003</v>
      </c>
      <c r="CT186" s="1579">
        <v>47.5</v>
      </c>
      <c r="CU186" s="2">
        <f t="shared" si="16"/>
        <v>13</v>
      </c>
      <c r="CV186" s="2" t="str">
        <f t="shared" si="12"/>
        <v>Delivery Manager</v>
      </c>
      <c r="CW186" s="2" t="str">
        <f>_xlfn.XLOOKUP(CL186,'[1]Rates &amp; Drop Downs INT'!D$373:D$430,'[1]Rates &amp; Drop Downs INT'!C$373:C$430,"X",1)</f>
        <v>Cloud &amp; Engineering - 2 | Associate Engineer</v>
      </c>
    </row>
    <row r="187" spans="1:101" ht="13.05" customHeight="1" x14ac:dyDescent="0.25">
      <c r="B187" s="346" t="s">
        <v>176</v>
      </c>
      <c r="C187" s="346" t="s">
        <v>402</v>
      </c>
      <c r="D187" s="346"/>
      <c r="E187" s="346"/>
      <c r="F187" s="346" t="s">
        <v>379</v>
      </c>
      <c r="G187" s="347">
        <v>128</v>
      </c>
      <c r="H187" s="4" t="s">
        <v>119</v>
      </c>
      <c r="I187" s="348">
        <v>300</v>
      </c>
      <c r="J187" s="353">
        <v>4</v>
      </c>
      <c r="CG187" s="2" t="s">
        <v>255</v>
      </c>
      <c r="CH187" s="2" t="s">
        <v>255</v>
      </c>
      <c r="CI187" s="2" t="s">
        <v>1217</v>
      </c>
      <c r="CJ187" s="2" t="s">
        <v>1800</v>
      </c>
      <c r="CK187" s="2" t="s">
        <v>540</v>
      </c>
      <c r="CL187" s="2" t="s">
        <v>538</v>
      </c>
      <c r="CM187" s="39">
        <v>5</v>
      </c>
      <c r="CN187" s="2" t="str">
        <f t="shared" si="13"/>
        <v>TADigital NA Digital - Sr. Technical Architect</v>
      </c>
      <c r="CO187" s="2" t="str">
        <f t="shared" si="18"/>
        <v>TADigital India Consulting | Cloud &amp; Engineering - L2 / B1-B3 | Associate Engineer</v>
      </c>
      <c r="CP187" s="1579">
        <v>275</v>
      </c>
      <c r="CQ187" s="1579">
        <v>155</v>
      </c>
      <c r="CR187" s="1579">
        <v>105</v>
      </c>
      <c r="CS187" s="1579">
        <f t="shared" si="15"/>
        <v>36.900000000000006</v>
      </c>
      <c r="CT187" s="1579">
        <v>45</v>
      </c>
      <c r="CU187" s="2">
        <f t="shared" si="16"/>
        <v>13</v>
      </c>
      <c r="CV187" s="2" t="str">
        <f t="shared" si="12"/>
        <v>Sr. Technical Architect</v>
      </c>
      <c r="CW187" s="2" t="str">
        <f>_xlfn.XLOOKUP(CL187,'[1]Rates &amp; Drop Downs INT'!D$373:D$430,'[1]Rates &amp; Drop Downs INT'!C$373:C$430,"X",1)</f>
        <v>Cloud &amp; Engineering - 2 | Associate Engineer</v>
      </c>
    </row>
    <row r="188" spans="1:101" ht="13.05" customHeight="1" x14ac:dyDescent="0.25">
      <c r="B188" s="4" t="s">
        <v>176</v>
      </c>
      <c r="C188" s="4" t="s">
        <v>359</v>
      </c>
      <c r="D188" s="4"/>
      <c r="E188" s="4"/>
      <c r="F188" s="4" t="s">
        <v>353</v>
      </c>
      <c r="G188" s="343">
        <v>128</v>
      </c>
      <c r="H188" s="4" t="s">
        <v>119</v>
      </c>
      <c r="I188" s="344">
        <v>300</v>
      </c>
      <c r="J188" s="345">
        <v>4</v>
      </c>
      <c r="CG188" s="2" t="s">
        <v>255</v>
      </c>
      <c r="CH188" s="2" t="s">
        <v>255</v>
      </c>
      <c r="CI188" s="2" t="s">
        <v>1217</v>
      </c>
      <c r="CJ188" s="2" t="s">
        <v>1800</v>
      </c>
      <c r="CK188" s="2" t="s">
        <v>538</v>
      </c>
      <c r="CL188" s="2" t="s">
        <v>538</v>
      </c>
      <c r="CM188" s="39">
        <v>4</v>
      </c>
      <c r="CN188" s="2" t="str">
        <f t="shared" si="13"/>
        <v>TADigital NA Consulting - Sr. Project Manager</v>
      </c>
      <c r="CO188" s="2" t="str">
        <f t="shared" si="18"/>
        <v>TADigital India Consulting | Cloud &amp; Engineering - L2 / B1-B3 | Associate Engineer</v>
      </c>
      <c r="CP188" s="1579">
        <v>235</v>
      </c>
      <c r="CQ188" s="1579">
        <v>132.5</v>
      </c>
      <c r="CR188" s="1579">
        <v>95</v>
      </c>
      <c r="CS188" s="1579">
        <f t="shared" si="15"/>
        <v>32.800000000000004</v>
      </c>
      <c r="CT188" s="1579">
        <v>40</v>
      </c>
      <c r="CU188" s="2">
        <f t="shared" si="16"/>
        <v>13</v>
      </c>
      <c r="CV188" s="2" t="str">
        <f t="shared" si="12"/>
        <v>Sr. Project Manager</v>
      </c>
      <c r="CW188" s="2" t="str">
        <f>_xlfn.XLOOKUP(CL188,'[1]Rates &amp; Drop Downs INT'!D$373:D$430,'[1]Rates &amp; Drop Downs INT'!C$373:C$430,"X",1)</f>
        <v>Cloud &amp; Engineering - 2 | Associate Engineer</v>
      </c>
    </row>
    <row r="189" spans="1:101" ht="13.05" customHeight="1" x14ac:dyDescent="0.25">
      <c r="B189" s="4" t="s">
        <v>176</v>
      </c>
      <c r="C189" s="4" t="s">
        <v>359</v>
      </c>
      <c r="D189" s="4"/>
      <c r="E189" s="4"/>
      <c r="F189" s="4" t="s">
        <v>346</v>
      </c>
      <c r="G189" s="343">
        <v>172</v>
      </c>
      <c r="H189" s="4" t="s">
        <v>119</v>
      </c>
      <c r="I189" s="344">
        <v>350</v>
      </c>
      <c r="J189" s="345">
        <v>5</v>
      </c>
      <c r="CG189" s="2" t="s">
        <v>255</v>
      </c>
      <c r="CH189" s="2" t="s">
        <v>255</v>
      </c>
      <c r="CI189" s="2" t="s">
        <v>1217</v>
      </c>
      <c r="CJ189" s="2" t="s">
        <v>1800</v>
      </c>
      <c r="CK189" s="2" t="s">
        <v>536</v>
      </c>
      <c r="CL189" s="2" t="s">
        <v>536</v>
      </c>
      <c r="CM189" s="39">
        <v>3</v>
      </c>
      <c r="CN189" s="2" t="str">
        <f t="shared" si="13"/>
        <v>TADigital NA Digital - Technical Lead</v>
      </c>
      <c r="CO189" s="2" t="str">
        <f t="shared" si="18"/>
        <v>TADigital India Consulting | Cloud &amp; Engineering - L2 / B1-B3 | Associate Engineer</v>
      </c>
      <c r="CP189" s="1579">
        <v>185</v>
      </c>
      <c r="CQ189" s="1579">
        <v>90</v>
      </c>
      <c r="CR189" s="1579">
        <v>85</v>
      </c>
      <c r="CS189" s="1579">
        <f t="shared" si="15"/>
        <v>24.6</v>
      </c>
      <c r="CT189" s="1579">
        <v>30</v>
      </c>
      <c r="CU189" s="2">
        <f t="shared" si="16"/>
        <v>13</v>
      </c>
      <c r="CV189" s="2" t="str">
        <f t="shared" si="12"/>
        <v>Technical Lead</v>
      </c>
      <c r="CW189" s="2" t="str">
        <f>_xlfn.XLOOKUP(CL189,'[1]Rates &amp; Drop Downs INT'!D$373:D$430,'[1]Rates &amp; Drop Downs INT'!C$373:C$430,"X",1)</f>
        <v>Cloud &amp; Engineering - 2 | Associate Engineer</v>
      </c>
    </row>
    <row r="190" spans="1:101" ht="13.05" customHeight="1" x14ac:dyDescent="0.25">
      <c r="B190" s="346" t="s">
        <v>176</v>
      </c>
      <c r="C190" s="4" t="s">
        <v>411</v>
      </c>
      <c r="D190" s="4"/>
      <c r="E190" s="4"/>
      <c r="F190" s="346" t="s">
        <v>379</v>
      </c>
      <c r="G190" s="347">
        <v>128</v>
      </c>
      <c r="H190" s="346" t="s">
        <v>119</v>
      </c>
      <c r="I190" s="348">
        <v>300</v>
      </c>
      <c r="J190" s="351">
        <v>4</v>
      </c>
      <c r="CG190" s="2" t="s">
        <v>255</v>
      </c>
      <c r="CH190" s="2" t="s">
        <v>255</v>
      </c>
      <c r="CI190" s="2" t="s">
        <v>290</v>
      </c>
      <c r="CJ190" s="2" t="s">
        <v>1795</v>
      </c>
      <c r="CK190" s="2" t="s">
        <v>3351</v>
      </c>
      <c r="CL190" s="2" t="s">
        <v>3545</v>
      </c>
      <c r="CM190" s="39">
        <v>2</v>
      </c>
      <c r="CN190" s="2" t="str">
        <f t="shared" si="13"/>
        <v>TADigital NA Consulting | Content &amp; SEO - Associate Web Content Analyst</v>
      </c>
      <c r="CO190" s="2" t="str">
        <f t="shared" si="18"/>
        <v>TADigital India Consulting | Cloud &amp; Engineering - L2 / B1-B3 | Associate Engineer</v>
      </c>
      <c r="CP190" s="1579">
        <v>0</v>
      </c>
      <c r="CQ190" s="1579">
        <v>0</v>
      </c>
      <c r="CR190" s="1579">
        <v>35</v>
      </c>
      <c r="CS190" s="1579">
        <f t="shared" si="15"/>
        <v>10.66</v>
      </c>
      <c r="CT190" s="1579">
        <v>13</v>
      </c>
      <c r="CU190" s="2">
        <f t="shared" si="16"/>
        <v>13</v>
      </c>
      <c r="CV190" s="2" t="str">
        <f t="shared" si="12"/>
        <v>Content &amp; SEO - Associate Web Content Analyst</v>
      </c>
      <c r="CW190" s="2" t="str">
        <f>_xlfn.XLOOKUP(CL190,'[1]Rates &amp; Drop Downs INT'!D$373:D$430,'[1]Rates &amp; Drop Downs INT'!C$373:C$430,"X",1)</f>
        <v>Cloud &amp; Engineering - 2 | Associate Engineer</v>
      </c>
    </row>
    <row r="191" spans="1:101" ht="13.05" customHeight="1" x14ac:dyDescent="0.25">
      <c r="B191" s="346" t="s">
        <v>176</v>
      </c>
      <c r="C191" s="4" t="s">
        <v>411</v>
      </c>
      <c r="D191" s="4"/>
      <c r="E191" s="4"/>
      <c r="F191" s="4" t="s">
        <v>385</v>
      </c>
      <c r="G191" s="343">
        <v>172</v>
      </c>
      <c r="H191" s="4" t="s">
        <v>119</v>
      </c>
      <c r="I191" s="344">
        <v>350</v>
      </c>
      <c r="J191" s="345">
        <v>5</v>
      </c>
      <c r="CG191" s="2" t="s">
        <v>255</v>
      </c>
      <c r="CH191" s="2" t="s">
        <v>255</v>
      </c>
      <c r="CI191" s="2" t="s">
        <v>290</v>
      </c>
      <c r="CJ191" s="2" t="s">
        <v>1795</v>
      </c>
      <c r="CK191" s="2" t="s">
        <v>720</v>
      </c>
      <c r="CL191" s="2" t="s">
        <v>3546</v>
      </c>
      <c r="CM191" s="39">
        <v>5</v>
      </c>
      <c r="CN191" s="2" t="str">
        <f t="shared" si="13"/>
        <v>TADigital NA | Management - Associate Practice Director</v>
      </c>
      <c r="CO191" s="2" t="str">
        <f t="shared" si="18"/>
        <v>TADigital India Consulting | Cloud &amp; Engineering - L2 / B1-B3 | Associate Engineer</v>
      </c>
      <c r="CP191" s="1579">
        <v>290</v>
      </c>
      <c r="CQ191" s="1579">
        <v>140</v>
      </c>
      <c r="CR191" s="1579">
        <v>105</v>
      </c>
      <c r="CS191" s="1579">
        <f t="shared" si="15"/>
        <v>45.1</v>
      </c>
      <c r="CT191" s="1579">
        <v>55</v>
      </c>
      <c r="CU191" s="2">
        <f t="shared" si="16"/>
        <v>13</v>
      </c>
      <c r="CV191" s="2" t="str">
        <f t="shared" si="12"/>
        <v>Management - Associate Practice Director</v>
      </c>
      <c r="CW191" s="2" t="str">
        <f>_xlfn.XLOOKUP(CL191,'[1]Rates &amp; Drop Downs INT'!D$373:D$430,'[1]Rates &amp; Drop Downs INT'!C$373:C$430,"X",1)</f>
        <v>Cloud &amp; Engineering - 2 | Associate Engineer</v>
      </c>
    </row>
    <row r="192" spans="1:101" ht="13.05" customHeight="1" x14ac:dyDescent="0.25">
      <c r="B192" s="346" t="s">
        <v>176</v>
      </c>
      <c r="C192" s="4" t="s">
        <v>411</v>
      </c>
      <c r="D192" s="4"/>
      <c r="E192" s="4"/>
      <c r="F192" s="4" t="s">
        <v>420</v>
      </c>
      <c r="G192" s="343">
        <v>257</v>
      </c>
      <c r="H192" s="4" t="s">
        <v>119</v>
      </c>
      <c r="I192" s="344">
        <v>390</v>
      </c>
      <c r="J192" s="345">
        <v>6</v>
      </c>
      <c r="CG192" s="2" t="s">
        <v>255</v>
      </c>
      <c r="CH192" s="2" t="s">
        <v>255</v>
      </c>
      <c r="CI192" s="2" t="s">
        <v>290</v>
      </c>
      <c r="CJ192" s="2" t="s">
        <v>1795</v>
      </c>
      <c r="CK192" s="2" t="s">
        <v>532</v>
      </c>
      <c r="CL192" s="2" t="s">
        <v>3547</v>
      </c>
      <c r="CM192" s="39">
        <v>2</v>
      </c>
      <c r="CN192" s="2" t="str">
        <f t="shared" si="13"/>
        <v>TADigital NA Consulting | Content &amp; SEO - Associate Content Strategist</v>
      </c>
      <c r="CO192" s="2" t="str">
        <f t="shared" si="18"/>
        <v>TADigital India Consulting | Cloud &amp; Engineering - L2 / B1-B3 | Associate Engineer</v>
      </c>
      <c r="CP192" s="1579">
        <v>160</v>
      </c>
      <c r="CQ192" s="1579">
        <v>80</v>
      </c>
      <c r="CR192" s="1579">
        <v>55</v>
      </c>
      <c r="CS192" s="1579">
        <f t="shared" si="15"/>
        <v>14.760000000000002</v>
      </c>
      <c r="CT192" s="1579">
        <v>18</v>
      </c>
      <c r="CU192" s="2">
        <f t="shared" si="16"/>
        <v>13</v>
      </c>
      <c r="CV192" s="2" t="str">
        <f t="shared" si="12"/>
        <v>Content &amp; SEO - Associate Content Strategist</v>
      </c>
      <c r="CW192" s="2" t="str">
        <f>_xlfn.XLOOKUP(CL192,'[1]Rates &amp; Drop Downs INT'!D$373:D$430,'[1]Rates &amp; Drop Downs INT'!C$373:C$430,"X",1)</f>
        <v>Cloud &amp; Engineering - 2 | Associate Engineer</v>
      </c>
    </row>
    <row r="193" spans="2:101" ht="13.05" customHeight="1" x14ac:dyDescent="0.25">
      <c r="B193" s="346" t="s">
        <v>176</v>
      </c>
      <c r="C193" s="4" t="s">
        <v>376</v>
      </c>
      <c r="D193" s="4"/>
      <c r="E193" s="4"/>
      <c r="F193" s="4" t="s">
        <v>353</v>
      </c>
      <c r="G193" s="343">
        <v>128</v>
      </c>
      <c r="H193" s="4" t="s">
        <v>119</v>
      </c>
      <c r="I193" s="344">
        <v>300</v>
      </c>
      <c r="J193" s="345">
        <v>4</v>
      </c>
      <c r="CG193" s="2" t="s">
        <v>255</v>
      </c>
      <c r="CH193" s="2" t="s">
        <v>255</v>
      </c>
      <c r="CI193" s="2" t="s">
        <v>290</v>
      </c>
      <c r="CJ193" s="2" t="s">
        <v>1795</v>
      </c>
      <c r="CK193" s="2" t="s">
        <v>542</v>
      </c>
      <c r="CL193" s="2" t="s">
        <v>3548</v>
      </c>
      <c r="CM193" s="39">
        <v>5</v>
      </c>
      <c r="CN193" s="2" t="str">
        <f t="shared" si="13"/>
        <v>TADigital NA | Management - Associate Practice Director</v>
      </c>
      <c r="CO193" s="2" t="str">
        <f t="shared" si="18"/>
        <v>TADigital India Consulting | Cloud &amp; Engineering - L2 / B1-B3 | Associate Engineer</v>
      </c>
      <c r="CP193" s="1579">
        <v>290</v>
      </c>
      <c r="CQ193" s="1579">
        <v>167.5</v>
      </c>
      <c r="CR193" s="1579">
        <v>125</v>
      </c>
      <c r="CS193" s="1579">
        <f t="shared" si="15"/>
        <v>51.250000000000007</v>
      </c>
      <c r="CT193" s="1579">
        <v>62.5</v>
      </c>
      <c r="CU193" s="2">
        <f t="shared" si="16"/>
        <v>13</v>
      </c>
      <c r="CV193" s="2" t="str">
        <f t="shared" si="12"/>
        <v>Management - Associate Practice Director</v>
      </c>
      <c r="CW193" s="2" t="str">
        <f>_xlfn.XLOOKUP(CL193,'[1]Rates &amp; Drop Downs INT'!D$373:D$430,'[1]Rates &amp; Drop Downs INT'!C$373:C$430,"X",1)</f>
        <v>Cloud &amp; Engineering - 2 | Associate Engineer</v>
      </c>
    </row>
    <row r="194" spans="2:101" ht="13.05" customHeight="1" x14ac:dyDescent="0.25">
      <c r="B194" s="346" t="s">
        <v>176</v>
      </c>
      <c r="C194" s="4" t="s">
        <v>376</v>
      </c>
      <c r="D194" s="4"/>
      <c r="E194" s="4"/>
      <c r="F194" s="4" t="s">
        <v>346</v>
      </c>
      <c r="G194" s="343">
        <v>172</v>
      </c>
      <c r="H194" s="4" t="s">
        <v>119</v>
      </c>
      <c r="I194" s="344">
        <v>350</v>
      </c>
      <c r="J194" s="345">
        <v>5</v>
      </c>
      <c r="CG194" s="2" t="s">
        <v>255</v>
      </c>
      <c r="CH194" s="2" t="s">
        <v>255</v>
      </c>
      <c r="CI194" s="2" t="s">
        <v>290</v>
      </c>
      <c r="CJ194" s="2" t="s">
        <v>1795</v>
      </c>
      <c r="CK194" s="2" t="s">
        <v>3352</v>
      </c>
      <c r="CL194" s="2" t="s">
        <v>3549</v>
      </c>
      <c r="CM194" s="39">
        <v>5</v>
      </c>
      <c r="CN194" s="2" t="str">
        <f t="shared" si="13"/>
        <v>TADigital NA | Management - Practice Director / Delivery Director</v>
      </c>
      <c r="CO194" s="2" t="str">
        <f t="shared" si="18"/>
        <v>TADigital India Consulting | Cloud &amp; Engineering - L2 / B1-B3 | Associate Engineer</v>
      </c>
      <c r="CP194" s="1579">
        <v>315</v>
      </c>
      <c r="CQ194" s="1579">
        <v>165</v>
      </c>
      <c r="CR194" s="1579">
        <v>115</v>
      </c>
      <c r="CS194" s="1579">
        <f t="shared" si="15"/>
        <v>45.1</v>
      </c>
      <c r="CT194" s="1579">
        <v>55</v>
      </c>
      <c r="CU194" s="2">
        <f t="shared" si="16"/>
        <v>13</v>
      </c>
      <c r="CV194" s="2" t="str">
        <f t="shared" si="12"/>
        <v>Management - Practice Director / Delivery Director</v>
      </c>
      <c r="CW194" s="2" t="str">
        <f>_xlfn.XLOOKUP(CL194,'[1]Rates &amp; Drop Downs INT'!D$373:D$430,'[1]Rates &amp; Drop Downs INT'!C$373:C$430,"X",1)</f>
        <v>Cloud &amp; Engineering - 2 | Associate Engineer</v>
      </c>
    </row>
    <row r="195" spans="2:101" ht="13.05" customHeight="1" x14ac:dyDescent="0.25">
      <c r="B195" s="346" t="s">
        <v>176</v>
      </c>
      <c r="C195" s="4" t="s">
        <v>376</v>
      </c>
      <c r="D195" s="4"/>
      <c r="E195" s="4"/>
      <c r="F195" s="4" t="s">
        <v>420</v>
      </c>
      <c r="G195" s="343">
        <v>257</v>
      </c>
      <c r="H195" s="4" t="s">
        <v>119</v>
      </c>
      <c r="I195" s="344">
        <v>390</v>
      </c>
      <c r="J195" s="345">
        <v>6</v>
      </c>
      <c r="CG195" s="2" t="s">
        <v>255</v>
      </c>
      <c r="CH195" s="2" t="s">
        <v>255</v>
      </c>
      <c r="CI195" s="2" t="s">
        <v>290</v>
      </c>
      <c r="CJ195" s="2" t="s">
        <v>1795</v>
      </c>
      <c r="CK195" s="2" t="s">
        <v>446</v>
      </c>
      <c r="CL195" s="2" t="s">
        <v>3546</v>
      </c>
      <c r="CM195" s="39">
        <v>4</v>
      </c>
      <c r="CN195" s="2" t="str">
        <f t="shared" si="13"/>
        <v>TADigital NA Consulting - Sr. Project Manager</v>
      </c>
      <c r="CO195" s="2" t="str">
        <f t="shared" si="18"/>
        <v>TADigital India Consulting | Cloud &amp; Engineering - L2 / B1-B3 | Associate Engineer</v>
      </c>
      <c r="CP195" s="1579">
        <v>235</v>
      </c>
      <c r="CQ195" s="1579">
        <v>130</v>
      </c>
      <c r="CR195" s="1579">
        <v>80</v>
      </c>
      <c r="CS195" s="1579">
        <f t="shared" si="15"/>
        <v>38.950000000000003</v>
      </c>
      <c r="CT195" s="1579">
        <v>47.5</v>
      </c>
      <c r="CU195" s="2">
        <f t="shared" si="16"/>
        <v>13</v>
      </c>
      <c r="CV195" s="2" t="str">
        <f t="shared" si="12"/>
        <v>Sr. Project Manager</v>
      </c>
      <c r="CW195" s="2" t="str">
        <f>_xlfn.XLOOKUP(CL195,'[1]Rates &amp; Drop Downs INT'!D$373:D$430,'[1]Rates &amp; Drop Downs INT'!C$373:C$430,"X",1)</f>
        <v>Cloud &amp; Engineering - 2 | Associate Engineer</v>
      </c>
    </row>
    <row r="196" spans="2:101" ht="13.05" customHeight="1" x14ac:dyDescent="0.25">
      <c r="B196" s="4" t="s">
        <v>176</v>
      </c>
      <c r="C196" s="4" t="s">
        <v>422</v>
      </c>
      <c r="D196" s="4"/>
      <c r="E196" s="4"/>
      <c r="F196" s="4" t="s">
        <v>423</v>
      </c>
      <c r="G196" s="343">
        <v>257</v>
      </c>
      <c r="H196" s="4" t="s">
        <v>119</v>
      </c>
      <c r="I196" s="343">
        <v>390</v>
      </c>
      <c r="J196" s="345">
        <v>6</v>
      </c>
      <c r="CG196" s="2" t="s">
        <v>255</v>
      </c>
      <c r="CH196" s="2" t="s">
        <v>255</v>
      </c>
      <c r="CI196" s="2" t="s">
        <v>290</v>
      </c>
      <c r="CJ196" s="2" t="s">
        <v>1795</v>
      </c>
      <c r="CK196" s="2" t="s">
        <v>3353</v>
      </c>
      <c r="CL196" s="2" t="s">
        <v>3549</v>
      </c>
      <c r="CM196" s="39">
        <v>6</v>
      </c>
      <c r="CN196" s="2" t="str">
        <f t="shared" si="13"/>
        <v>TADigital NA | Management - Practice VP / Delivery VP</v>
      </c>
      <c r="CO196" s="2" t="str">
        <f t="shared" si="18"/>
        <v>TADigital India Consulting | Cloud &amp; Engineering - L2 / B1-B3 | Associate Engineer</v>
      </c>
      <c r="CP196" s="1579">
        <v>370</v>
      </c>
      <c r="CQ196" s="1579">
        <v>172.5</v>
      </c>
      <c r="CR196" s="1579">
        <v>135</v>
      </c>
      <c r="CS196" s="1579">
        <f t="shared" si="15"/>
        <v>51.250000000000007</v>
      </c>
      <c r="CT196" s="1579">
        <v>62.5</v>
      </c>
      <c r="CU196" s="2">
        <f t="shared" si="16"/>
        <v>13</v>
      </c>
      <c r="CV196" s="2" t="str">
        <f t="shared" si="12"/>
        <v>Management - Practice VP / Delivery VP</v>
      </c>
      <c r="CW196" s="2" t="str">
        <f>_xlfn.XLOOKUP(CL196,'[1]Rates &amp; Drop Downs INT'!D$373:D$430,'[1]Rates &amp; Drop Downs INT'!C$373:C$430,"X",1)</f>
        <v>Cloud &amp; Engineering - 2 | Associate Engineer</v>
      </c>
    </row>
    <row r="197" spans="2:101" ht="13.05" customHeight="1" x14ac:dyDescent="0.25">
      <c r="B197" s="4" t="s">
        <v>176</v>
      </c>
      <c r="C197" s="4" t="s">
        <v>391</v>
      </c>
      <c r="D197" s="4"/>
      <c r="E197" s="4"/>
      <c r="F197" s="4" t="s">
        <v>271</v>
      </c>
      <c r="G197" s="343">
        <v>77</v>
      </c>
      <c r="H197" s="4" t="s">
        <v>119</v>
      </c>
      <c r="I197" s="344">
        <v>200</v>
      </c>
      <c r="J197" s="345">
        <v>2</v>
      </c>
      <c r="CG197" s="2" t="s">
        <v>255</v>
      </c>
      <c r="CH197" s="2" t="s">
        <v>255</v>
      </c>
      <c r="CI197" s="2" t="s">
        <v>290</v>
      </c>
      <c r="CJ197" s="2" t="s">
        <v>1795</v>
      </c>
      <c r="CK197" s="2" t="s">
        <v>534</v>
      </c>
      <c r="CL197" s="2" t="s">
        <v>3550</v>
      </c>
      <c r="CM197" s="39">
        <v>2</v>
      </c>
      <c r="CN197" s="2" t="str">
        <f t="shared" si="13"/>
        <v>TADigital NA Consulting | Content &amp; SEO - Content Strategist</v>
      </c>
      <c r="CO197" s="2" t="str">
        <f t="shared" si="18"/>
        <v>TADigital India Consulting | Cloud &amp; Engineering - L2 / B1-B3 | Associate Engineer</v>
      </c>
      <c r="CP197" s="1579">
        <v>170</v>
      </c>
      <c r="CQ197" s="1579">
        <v>82.5</v>
      </c>
      <c r="CR197" s="1579">
        <v>65</v>
      </c>
      <c r="CS197" s="1579">
        <f t="shared" si="15"/>
        <v>18.450000000000003</v>
      </c>
      <c r="CT197" s="1579">
        <v>22.5</v>
      </c>
      <c r="CU197" s="2">
        <f t="shared" si="16"/>
        <v>13</v>
      </c>
      <c r="CV197" s="2" t="str">
        <f t="shared" si="12"/>
        <v>Content &amp; SEO - Content Strategist</v>
      </c>
      <c r="CW197" s="2" t="str">
        <f>_xlfn.XLOOKUP(CL197,'[1]Rates &amp; Drop Downs INT'!D$373:D$430,'[1]Rates &amp; Drop Downs INT'!C$373:C$430,"X",1)</f>
        <v>Cloud &amp; Engineering - 2 | Associate Engineer</v>
      </c>
    </row>
    <row r="198" spans="2:101" ht="13.05" customHeight="1" x14ac:dyDescent="0.25">
      <c r="B198" s="346" t="s">
        <v>176</v>
      </c>
      <c r="C198" s="346" t="s">
        <v>400</v>
      </c>
      <c r="D198" s="346"/>
      <c r="E198" s="346"/>
      <c r="F198" s="346" t="s">
        <v>271</v>
      </c>
      <c r="G198" s="347">
        <v>77</v>
      </c>
      <c r="H198" s="4" t="s">
        <v>119</v>
      </c>
      <c r="I198" s="348">
        <v>200</v>
      </c>
      <c r="J198" s="353">
        <v>2</v>
      </c>
      <c r="CG198" s="2" t="s">
        <v>255</v>
      </c>
      <c r="CH198" s="2" t="s">
        <v>255</v>
      </c>
      <c r="CI198" s="2" t="s">
        <v>290</v>
      </c>
      <c r="CJ198" s="2" t="s">
        <v>1795</v>
      </c>
      <c r="CK198" s="2" t="s">
        <v>3354</v>
      </c>
      <c r="CL198" s="2" t="s">
        <v>3549</v>
      </c>
      <c r="CM198" s="39">
        <v>5</v>
      </c>
      <c r="CN198" s="2" t="str">
        <f t="shared" si="13"/>
        <v>TADigital NA | Management - Sr. Practice Director / Sr. Delivery Director</v>
      </c>
      <c r="CO198" s="2" t="str">
        <f t="shared" si="18"/>
        <v>TADigital India Consulting | Cloud &amp; Engineering - L2 / B1-B3 | Associate Engineer</v>
      </c>
      <c r="CP198" s="1579">
        <v>340</v>
      </c>
      <c r="CQ198" s="1579">
        <v>170</v>
      </c>
      <c r="CR198" s="1579">
        <v>125</v>
      </c>
      <c r="CS198" s="1579">
        <f t="shared" si="15"/>
        <v>49.2</v>
      </c>
      <c r="CT198" s="1579">
        <v>60</v>
      </c>
      <c r="CU198" s="2">
        <f t="shared" si="16"/>
        <v>13</v>
      </c>
      <c r="CV198" s="2" t="str">
        <f t="shared" ref="CV198:CV261" si="19">_xlfn.XLOOKUP(CN198,$F$205:$F$287,TADNorthAmerica,"X",1)</f>
        <v>Management - Sr. Practice Director / Sr. Delivery Director</v>
      </c>
      <c r="CW198" s="2" t="str">
        <f>_xlfn.XLOOKUP(CL198,'[1]Rates &amp; Drop Downs INT'!D$373:D$430,'[1]Rates &amp; Drop Downs INT'!C$373:C$430,"X",1)</f>
        <v>Cloud &amp; Engineering - 2 | Associate Engineer</v>
      </c>
    </row>
    <row r="199" spans="2:101" ht="13.05" customHeight="1" x14ac:dyDescent="0.25">
      <c r="B199" s="346" t="s">
        <v>176</v>
      </c>
      <c r="C199" s="346" t="s">
        <v>400</v>
      </c>
      <c r="D199" s="346"/>
      <c r="E199" s="346"/>
      <c r="F199" s="346" t="s">
        <v>259</v>
      </c>
      <c r="G199" s="347">
        <v>96</v>
      </c>
      <c r="H199" s="4" t="s">
        <v>119</v>
      </c>
      <c r="I199" s="348">
        <v>240</v>
      </c>
      <c r="J199" s="345">
        <v>3</v>
      </c>
      <c r="CG199" s="2" t="s">
        <v>255</v>
      </c>
      <c r="CH199" s="2" t="s">
        <v>255</v>
      </c>
      <c r="CI199" s="2" t="s">
        <v>290</v>
      </c>
      <c r="CJ199" s="2" t="s">
        <v>1795</v>
      </c>
      <c r="CK199" s="2" t="s">
        <v>448</v>
      </c>
      <c r="CL199" s="2" t="s">
        <v>3546</v>
      </c>
      <c r="CM199" s="39">
        <v>5</v>
      </c>
      <c r="CN199" s="2" t="str">
        <f t="shared" ref="CN199:CN262" si="20">_xlfn.XLOOKUP(CP199,$I$205:$I$287,$F$205:$F$287,"X",1)</f>
        <v>TADigital NA Consulting - Delivery Manager</v>
      </c>
      <c r="CO199" s="2" t="str">
        <f t="shared" si="18"/>
        <v>TADigital India Consulting | Cloud &amp; Engineering - L2 / B1-B3 | Associate Engineer</v>
      </c>
      <c r="CP199" s="1579">
        <v>265</v>
      </c>
      <c r="CQ199" s="1579">
        <v>137.5</v>
      </c>
      <c r="CR199" s="1579">
        <v>90</v>
      </c>
      <c r="CS199" s="1579">
        <f t="shared" ref="CS199:CS262" si="21">CT199*(1-0.18)</f>
        <v>38.950000000000003</v>
      </c>
      <c r="CT199" s="1579">
        <v>47.5</v>
      </c>
      <c r="CU199" s="2">
        <f t="shared" ref="CU199:CU262" si="22">_xlfn.XLOOKUP(CW199,$C$373:$C$430,$G$373:$G$430,"X",1)</f>
        <v>13</v>
      </c>
      <c r="CV199" s="2" t="str">
        <f t="shared" si="19"/>
        <v>Delivery Manager</v>
      </c>
      <c r="CW199" s="2" t="str">
        <f>_xlfn.XLOOKUP(CL199,'[1]Rates &amp; Drop Downs INT'!D$373:D$430,'[1]Rates &amp; Drop Downs INT'!C$373:C$430,"X",1)</f>
        <v>Cloud &amp; Engineering - 2 | Associate Engineer</v>
      </c>
    </row>
    <row r="200" spans="2:101" ht="13.05" customHeight="1" x14ac:dyDescent="0.25">
      <c r="B200" s="346" t="s">
        <v>176</v>
      </c>
      <c r="C200" s="346" t="s">
        <v>392</v>
      </c>
      <c r="D200" s="346"/>
      <c r="E200" s="346"/>
      <c r="F200" s="346" t="s">
        <v>259</v>
      </c>
      <c r="G200" s="347">
        <v>96</v>
      </c>
      <c r="H200" s="346" t="s">
        <v>119</v>
      </c>
      <c r="I200" s="348">
        <v>240</v>
      </c>
      <c r="J200" s="349">
        <v>3</v>
      </c>
      <c r="CG200" s="2" t="s">
        <v>255</v>
      </c>
      <c r="CH200" s="2" t="s">
        <v>255</v>
      </c>
      <c r="CI200" s="2" t="s">
        <v>290</v>
      </c>
      <c r="CJ200" s="2" t="s">
        <v>1795</v>
      </c>
      <c r="CK200" s="2" t="s">
        <v>540</v>
      </c>
      <c r="CL200" s="2" t="s">
        <v>538</v>
      </c>
      <c r="CM200" s="39">
        <v>5</v>
      </c>
      <c r="CN200" s="2" t="str">
        <f t="shared" si="20"/>
        <v>TADigital NA Digital - Sr. Technical Architect</v>
      </c>
      <c r="CO200" s="2" t="str">
        <f t="shared" si="18"/>
        <v>TADigital India Consulting | Cloud &amp; Engineering - L2 / B1-B3 | Associate Engineer</v>
      </c>
      <c r="CP200" s="1579">
        <v>275</v>
      </c>
      <c r="CQ200" s="1579">
        <v>155</v>
      </c>
      <c r="CR200" s="1579">
        <v>105</v>
      </c>
      <c r="CS200" s="1579">
        <f t="shared" si="21"/>
        <v>36.900000000000006</v>
      </c>
      <c r="CT200" s="1579">
        <v>45</v>
      </c>
      <c r="CU200" s="2">
        <f t="shared" si="22"/>
        <v>13</v>
      </c>
      <c r="CV200" s="2" t="str">
        <f t="shared" si="19"/>
        <v>Sr. Technical Architect</v>
      </c>
      <c r="CW200" s="2" t="str">
        <f>_xlfn.XLOOKUP(CL200,'[1]Rates &amp; Drop Downs INT'!D$373:D$430,'[1]Rates &amp; Drop Downs INT'!C$373:C$430,"X",1)</f>
        <v>Cloud &amp; Engineering - 2 | Associate Engineer</v>
      </c>
    </row>
    <row r="201" spans="2:101" ht="13.05" customHeight="1" x14ac:dyDescent="0.25">
      <c r="B201" s="346" t="s">
        <v>176</v>
      </c>
      <c r="C201" s="4" t="s">
        <v>403</v>
      </c>
      <c r="D201" s="4"/>
      <c r="E201" s="4"/>
      <c r="F201" s="4" t="s">
        <v>379</v>
      </c>
      <c r="G201" s="343">
        <v>128</v>
      </c>
      <c r="H201" s="4" t="s">
        <v>119</v>
      </c>
      <c r="I201" s="344">
        <v>300</v>
      </c>
      <c r="J201" s="345">
        <v>4</v>
      </c>
      <c r="CG201" s="2" t="s">
        <v>255</v>
      </c>
      <c r="CH201" s="2" t="s">
        <v>255</v>
      </c>
      <c r="CI201" s="2" t="s">
        <v>290</v>
      </c>
      <c r="CJ201" s="2" t="s">
        <v>1795</v>
      </c>
      <c r="CK201" s="2" t="s">
        <v>538</v>
      </c>
      <c r="CL201" s="2" t="s">
        <v>538</v>
      </c>
      <c r="CM201" s="39">
        <v>4</v>
      </c>
      <c r="CN201" s="2" t="str">
        <f t="shared" si="20"/>
        <v>TADigital NA Consulting - Sr. Project Manager</v>
      </c>
      <c r="CO201" s="2" t="str">
        <f t="shared" si="18"/>
        <v>TADigital India Consulting | Cloud &amp; Engineering - L2 / B1-B3 | Associate Engineer</v>
      </c>
      <c r="CP201" s="1579">
        <v>235</v>
      </c>
      <c r="CQ201" s="1579">
        <v>132.5</v>
      </c>
      <c r="CR201" s="1579">
        <v>95</v>
      </c>
      <c r="CS201" s="1579">
        <f t="shared" si="21"/>
        <v>32.800000000000004</v>
      </c>
      <c r="CT201" s="1579">
        <v>40</v>
      </c>
      <c r="CU201" s="2">
        <f t="shared" si="22"/>
        <v>13</v>
      </c>
      <c r="CV201" s="2" t="str">
        <f t="shared" si="19"/>
        <v>Sr. Project Manager</v>
      </c>
      <c r="CW201" s="2" t="str">
        <f>_xlfn.XLOOKUP(CL201,'[1]Rates &amp; Drop Downs INT'!D$373:D$430,'[1]Rates &amp; Drop Downs INT'!C$373:C$430,"X",1)</f>
        <v>Cloud &amp; Engineering - 2 | Associate Engineer</v>
      </c>
    </row>
    <row r="202" spans="2:101" ht="13.05" customHeight="1" x14ac:dyDescent="0.25">
      <c r="B202" s="346" t="s">
        <v>176</v>
      </c>
      <c r="C202" s="4" t="s">
        <v>403</v>
      </c>
      <c r="D202" s="4"/>
      <c r="E202" s="4"/>
      <c r="F202" s="4" t="s">
        <v>385</v>
      </c>
      <c r="G202" s="343">
        <v>172</v>
      </c>
      <c r="H202" s="4" t="s">
        <v>119</v>
      </c>
      <c r="I202" s="344">
        <v>350</v>
      </c>
      <c r="J202" s="345">
        <v>5</v>
      </c>
      <c r="CG202" s="2" t="s">
        <v>255</v>
      </c>
      <c r="CH202" s="2" t="s">
        <v>255</v>
      </c>
      <c r="CI202" s="2" t="s">
        <v>290</v>
      </c>
      <c r="CJ202" s="2" t="s">
        <v>1795</v>
      </c>
      <c r="CK202" s="2" t="s">
        <v>536</v>
      </c>
      <c r="CL202" s="2" t="s">
        <v>536</v>
      </c>
      <c r="CM202" s="39">
        <v>3</v>
      </c>
      <c r="CN202" s="2" t="str">
        <f t="shared" si="20"/>
        <v>TADigital NA Digital - Technical Lead</v>
      </c>
      <c r="CO202" s="2" t="str">
        <f t="shared" si="18"/>
        <v>TADigital India Consulting | Cloud &amp; Engineering - L2 / B1-B3 | Associate Engineer</v>
      </c>
      <c r="CP202" s="1579">
        <v>185</v>
      </c>
      <c r="CQ202" s="1579">
        <v>90</v>
      </c>
      <c r="CR202" s="1579">
        <v>85</v>
      </c>
      <c r="CS202" s="1579">
        <f t="shared" si="21"/>
        <v>24.6</v>
      </c>
      <c r="CT202" s="1579">
        <v>30</v>
      </c>
      <c r="CU202" s="2">
        <f t="shared" si="22"/>
        <v>13</v>
      </c>
      <c r="CV202" s="2" t="str">
        <f t="shared" si="19"/>
        <v>Technical Lead</v>
      </c>
      <c r="CW202" s="2" t="str">
        <f>_xlfn.XLOOKUP(CL202,'[1]Rates &amp; Drop Downs INT'!D$373:D$430,'[1]Rates &amp; Drop Downs INT'!C$373:C$430,"X",1)</f>
        <v>Cloud &amp; Engineering - 2 | Associate Engineer</v>
      </c>
    </row>
    <row r="203" spans="2:101" ht="13.05" customHeight="1" x14ac:dyDescent="0.25">
      <c r="B203" s="346" t="s">
        <v>176</v>
      </c>
      <c r="C203" s="4" t="s">
        <v>403</v>
      </c>
      <c r="D203" s="4"/>
      <c r="E203" s="4"/>
      <c r="F203" s="4" t="s">
        <v>420</v>
      </c>
      <c r="G203" s="343">
        <v>257</v>
      </c>
      <c r="H203" s="4" t="s">
        <v>119</v>
      </c>
      <c r="I203" s="344">
        <v>390</v>
      </c>
      <c r="J203" s="345">
        <v>6</v>
      </c>
      <c r="CG203" s="2" t="s">
        <v>255</v>
      </c>
      <c r="CH203" s="2" t="s">
        <v>255</v>
      </c>
      <c r="CI203" s="2" t="s">
        <v>1219</v>
      </c>
      <c r="CJ203" s="2" t="s">
        <v>1799</v>
      </c>
      <c r="CK203" s="2" t="s">
        <v>3355</v>
      </c>
      <c r="CL203" s="2" t="s">
        <v>3547</v>
      </c>
      <c r="CM203" s="39">
        <v>2</v>
      </c>
      <c r="CN203" s="2" t="str">
        <f t="shared" si="20"/>
        <v>TADigital NA Consulting | Content &amp; SEO - Associate Web Content Analyst</v>
      </c>
      <c r="CO203" s="2" t="str">
        <f t="shared" si="18"/>
        <v>TADigital India Consulting | Cloud &amp; Engineering - L2 / B1-B3 | Associate Engineer</v>
      </c>
      <c r="CP203" s="1579">
        <v>0</v>
      </c>
      <c r="CQ203" s="1579">
        <v>0</v>
      </c>
      <c r="CR203" s="1579">
        <v>35</v>
      </c>
      <c r="CS203" s="1579">
        <f t="shared" si="21"/>
        <v>10.66</v>
      </c>
      <c r="CT203" s="1579">
        <v>13</v>
      </c>
      <c r="CU203" s="2">
        <f t="shared" si="22"/>
        <v>13</v>
      </c>
      <c r="CV203" s="2" t="str">
        <f t="shared" si="19"/>
        <v>Content &amp; SEO - Associate Web Content Analyst</v>
      </c>
      <c r="CW203" s="2" t="str">
        <f>_xlfn.XLOOKUP(CL203,'[1]Rates &amp; Drop Downs INT'!D$373:D$430,'[1]Rates &amp; Drop Downs INT'!C$373:C$430,"X",1)</f>
        <v>Cloud &amp; Engineering - 2 | Associate Engineer</v>
      </c>
    </row>
    <row r="204" spans="2:101" ht="13.05" customHeight="1" x14ac:dyDescent="0.25">
      <c r="B204" s="346" t="s">
        <v>176</v>
      </c>
      <c r="C204" s="346" t="s">
        <v>421</v>
      </c>
      <c r="D204" s="346"/>
      <c r="E204" s="346"/>
      <c r="F204" s="346" t="s">
        <v>420</v>
      </c>
      <c r="G204" s="347">
        <v>257</v>
      </c>
      <c r="H204" s="346" t="s">
        <v>119</v>
      </c>
      <c r="I204" s="347">
        <v>390</v>
      </c>
      <c r="J204" s="353">
        <v>6</v>
      </c>
      <c r="CG204" s="2" t="s">
        <v>255</v>
      </c>
      <c r="CH204" s="2" t="s">
        <v>255</v>
      </c>
      <c r="CI204" s="2" t="s">
        <v>1219</v>
      </c>
      <c r="CJ204" s="2" t="s">
        <v>1799</v>
      </c>
      <c r="CK204" s="2" t="s">
        <v>3356</v>
      </c>
      <c r="CL204" s="2" t="s">
        <v>3545</v>
      </c>
      <c r="CM204" s="39">
        <v>2</v>
      </c>
      <c r="CN204" s="2" t="str">
        <f t="shared" si="20"/>
        <v>TADigital NA Consulting | Content &amp; SEO - Associate Web Content Analyst</v>
      </c>
      <c r="CO204" s="2" t="str">
        <f t="shared" ref="CO204:CO231" si="23">_xlfn.XLOOKUP(CW204,$C$373:$C$430,$F$373:$F$430,"X",1)</f>
        <v>TADigital India Consulting | Cloud &amp; Engineering - L2 / B1-B3 | Associate Engineer</v>
      </c>
      <c r="CP204" s="1579">
        <v>0</v>
      </c>
      <c r="CQ204" s="1579">
        <v>0</v>
      </c>
      <c r="CR204" s="1579">
        <v>35</v>
      </c>
      <c r="CS204" s="1579">
        <f t="shared" si="21"/>
        <v>10.66</v>
      </c>
      <c r="CT204" s="1579">
        <v>13</v>
      </c>
      <c r="CU204" s="2">
        <f t="shared" si="22"/>
        <v>13</v>
      </c>
      <c r="CV204" s="2" t="str">
        <f t="shared" si="19"/>
        <v>Content &amp; SEO - Associate Web Content Analyst</v>
      </c>
      <c r="CW204" s="2" t="str">
        <f>_xlfn.XLOOKUP(CL204,'[1]Rates &amp; Drop Downs INT'!D$373:D$430,'[1]Rates &amp; Drop Downs INT'!C$373:C$430,"X",1)</f>
        <v>Cloud &amp; Engineering - 2 | Associate Engineer</v>
      </c>
    </row>
    <row r="205" spans="2:101" ht="13.05" customHeight="1" x14ac:dyDescent="0.25">
      <c r="B205" s="346" t="s">
        <v>430</v>
      </c>
      <c r="C205" s="346" t="s">
        <v>431</v>
      </c>
      <c r="D205" s="346"/>
      <c r="E205" s="346" t="s">
        <v>720</v>
      </c>
      <c r="F205" s="346" t="s">
        <v>432</v>
      </c>
      <c r="G205" s="347">
        <v>140</v>
      </c>
      <c r="H205" s="346" t="s">
        <v>119</v>
      </c>
      <c r="I205" s="348">
        <v>290</v>
      </c>
      <c r="J205" s="353"/>
      <c r="CG205" s="2" t="s">
        <v>255</v>
      </c>
      <c r="CH205" s="2" t="s">
        <v>255</v>
      </c>
      <c r="CI205" s="2" t="s">
        <v>1219</v>
      </c>
      <c r="CJ205" s="2" t="s">
        <v>1799</v>
      </c>
      <c r="CK205" s="2" t="s">
        <v>720</v>
      </c>
      <c r="CL205" s="2" t="s">
        <v>3546</v>
      </c>
      <c r="CM205" s="39">
        <v>5</v>
      </c>
      <c r="CN205" s="2" t="str">
        <f t="shared" si="20"/>
        <v>TADigital NA | Management - Associate Practice Director</v>
      </c>
      <c r="CO205" s="2" t="str">
        <f t="shared" si="23"/>
        <v>TADigital India Consulting | Cloud &amp; Engineering - L2 / B1-B3 | Associate Engineer</v>
      </c>
      <c r="CP205" s="1579">
        <v>290</v>
      </c>
      <c r="CQ205" s="1579">
        <v>140</v>
      </c>
      <c r="CR205" s="1579">
        <v>105</v>
      </c>
      <c r="CS205" s="1579">
        <f t="shared" si="21"/>
        <v>45.1</v>
      </c>
      <c r="CT205" s="1579">
        <v>55</v>
      </c>
      <c r="CU205" s="2">
        <f t="shared" si="22"/>
        <v>13</v>
      </c>
      <c r="CV205" s="2" t="str">
        <f t="shared" si="19"/>
        <v>Management - Associate Practice Director</v>
      </c>
      <c r="CW205" s="2" t="str">
        <f>_xlfn.XLOOKUP(CL205,'[1]Rates &amp; Drop Downs INT'!D$373:D$430,'[1]Rates &amp; Drop Downs INT'!C$373:C$430,"X",1)</f>
        <v>Cloud &amp; Engineering - 2 | Associate Engineer</v>
      </c>
    </row>
    <row r="206" spans="2:101" ht="13.05" customHeight="1" x14ac:dyDescent="0.25">
      <c r="B206" s="4" t="s">
        <v>430</v>
      </c>
      <c r="C206" s="4" t="s">
        <v>433</v>
      </c>
      <c r="D206" s="4"/>
      <c r="E206" s="346" t="s">
        <v>721</v>
      </c>
      <c r="F206" s="4" t="s">
        <v>434</v>
      </c>
      <c r="G206" s="343">
        <v>165</v>
      </c>
      <c r="H206" s="4" t="s">
        <v>119</v>
      </c>
      <c r="I206" s="344">
        <v>315</v>
      </c>
      <c r="J206" s="345"/>
      <c r="CG206" s="2" t="s">
        <v>255</v>
      </c>
      <c r="CH206" s="2" t="s">
        <v>255</v>
      </c>
      <c r="CI206" s="2" t="s">
        <v>1219</v>
      </c>
      <c r="CJ206" s="2" t="s">
        <v>1799</v>
      </c>
      <c r="CK206" s="2" t="s">
        <v>367</v>
      </c>
      <c r="CL206" s="2" t="s">
        <v>536</v>
      </c>
      <c r="CM206" s="39">
        <v>2</v>
      </c>
      <c r="CN206" s="2" t="str">
        <f t="shared" si="20"/>
        <v>TADigital NA Consulting | Content &amp; SEO - Associate Content Strategist</v>
      </c>
      <c r="CO206" s="2" t="str">
        <f t="shared" si="23"/>
        <v>TADigital India Consulting | Cloud &amp; Engineering - L2 / B1-B3 | Associate Engineer</v>
      </c>
      <c r="CP206" s="1579">
        <v>160</v>
      </c>
      <c r="CQ206" s="1579">
        <v>85</v>
      </c>
      <c r="CR206" s="1579">
        <v>55</v>
      </c>
      <c r="CS206" s="1579">
        <f t="shared" si="21"/>
        <v>14.760000000000002</v>
      </c>
      <c r="CT206" s="1579">
        <v>18</v>
      </c>
      <c r="CU206" s="2">
        <f t="shared" si="22"/>
        <v>13</v>
      </c>
      <c r="CV206" s="2" t="str">
        <f t="shared" si="19"/>
        <v>Content &amp; SEO - Associate Content Strategist</v>
      </c>
      <c r="CW206" s="2" t="str">
        <f>_xlfn.XLOOKUP(CL206,'[1]Rates &amp; Drop Downs INT'!D$373:D$430,'[1]Rates &amp; Drop Downs INT'!C$373:C$430,"X",1)</f>
        <v>Cloud &amp; Engineering - 2 | Associate Engineer</v>
      </c>
    </row>
    <row r="207" spans="2:101" ht="13.05" customHeight="1" x14ac:dyDescent="0.25">
      <c r="B207" s="346" t="s">
        <v>430</v>
      </c>
      <c r="C207" s="346" t="s">
        <v>435</v>
      </c>
      <c r="D207" s="346"/>
      <c r="E207" s="346" t="s">
        <v>722</v>
      </c>
      <c r="F207" s="346" t="s">
        <v>436</v>
      </c>
      <c r="G207" s="347">
        <v>170</v>
      </c>
      <c r="H207" s="346" t="s">
        <v>119</v>
      </c>
      <c r="I207" s="348">
        <v>340</v>
      </c>
      <c r="J207" s="353"/>
      <c r="CG207" s="2" t="s">
        <v>255</v>
      </c>
      <c r="CH207" s="2" t="s">
        <v>255</v>
      </c>
      <c r="CI207" s="2" t="s">
        <v>1219</v>
      </c>
      <c r="CJ207" s="2" t="s">
        <v>1799</v>
      </c>
      <c r="CK207" s="2" t="s">
        <v>348</v>
      </c>
      <c r="CL207" s="2" t="s">
        <v>538</v>
      </c>
      <c r="CM207" s="39">
        <v>4</v>
      </c>
      <c r="CN207" s="2" t="str">
        <f t="shared" si="20"/>
        <v>TADigital NA Consulting - Sr. Project Manager</v>
      </c>
      <c r="CO207" s="2" t="str">
        <f t="shared" si="23"/>
        <v>TADigital India Consulting | Cloud &amp; Engineering - L2 / B1-B3 | Associate Engineer</v>
      </c>
      <c r="CP207" s="1579">
        <v>235</v>
      </c>
      <c r="CQ207" s="1579">
        <v>115.5</v>
      </c>
      <c r="CR207" s="1579">
        <v>95</v>
      </c>
      <c r="CS207" s="1579">
        <f t="shared" si="21"/>
        <v>30.750000000000004</v>
      </c>
      <c r="CT207" s="1579">
        <v>37.5</v>
      </c>
      <c r="CU207" s="2">
        <f t="shared" si="22"/>
        <v>13</v>
      </c>
      <c r="CV207" s="2" t="str">
        <f t="shared" si="19"/>
        <v>Sr. Project Manager</v>
      </c>
      <c r="CW207" s="2" t="str">
        <f>_xlfn.XLOOKUP(CL207,'[1]Rates &amp; Drop Downs INT'!D$373:D$430,'[1]Rates &amp; Drop Downs INT'!C$373:C$430,"X",1)</f>
        <v>Cloud &amp; Engineering - 2 | Associate Engineer</v>
      </c>
    </row>
    <row r="208" spans="2:101" ht="13.05" customHeight="1" x14ac:dyDescent="0.25">
      <c r="B208" s="4" t="s">
        <v>430</v>
      </c>
      <c r="C208" s="4" t="s">
        <v>437</v>
      </c>
      <c r="D208" s="4"/>
      <c r="E208" s="346" t="s">
        <v>592</v>
      </c>
      <c r="F208" s="4" t="s">
        <v>438</v>
      </c>
      <c r="G208" s="343">
        <v>172.5</v>
      </c>
      <c r="H208" s="4" t="s">
        <v>119</v>
      </c>
      <c r="I208" s="344">
        <v>370</v>
      </c>
      <c r="J208" s="345"/>
      <c r="CG208" s="2" t="s">
        <v>255</v>
      </c>
      <c r="CH208" s="2" t="s">
        <v>255</v>
      </c>
      <c r="CI208" s="2" t="s">
        <v>1219</v>
      </c>
      <c r="CJ208" s="2" t="s">
        <v>1799</v>
      </c>
      <c r="CK208" s="2" t="s">
        <v>315</v>
      </c>
      <c r="CL208" s="2" t="s">
        <v>3550</v>
      </c>
      <c r="CM208" s="39">
        <v>2</v>
      </c>
      <c r="CN208" s="2" t="str">
        <f t="shared" si="20"/>
        <v>TADigital NA Consulting | Content &amp; SEO - Associate Content Strategist</v>
      </c>
      <c r="CO208" s="2" t="str">
        <f t="shared" si="23"/>
        <v>TADigital India Consulting | Cloud &amp; Engineering - L2 / B1-B3 | Associate Engineer</v>
      </c>
      <c r="CP208" s="1579">
        <v>160</v>
      </c>
      <c r="CQ208" s="1579">
        <v>85</v>
      </c>
      <c r="CR208" s="1579">
        <v>55</v>
      </c>
      <c r="CS208" s="1579">
        <f t="shared" si="21"/>
        <v>14.760000000000002</v>
      </c>
      <c r="CT208" s="1579">
        <v>18</v>
      </c>
      <c r="CU208" s="2">
        <f t="shared" si="22"/>
        <v>13</v>
      </c>
      <c r="CV208" s="2" t="str">
        <f t="shared" si="19"/>
        <v>Content &amp; SEO - Associate Content Strategist</v>
      </c>
      <c r="CW208" s="2" t="str">
        <f>_xlfn.XLOOKUP(CL208,'[1]Rates &amp; Drop Downs INT'!D$373:D$430,'[1]Rates &amp; Drop Downs INT'!C$373:C$430,"X",1)</f>
        <v>Cloud &amp; Engineering - 2 | Associate Engineer</v>
      </c>
    </row>
    <row r="209" spans="2:101" ht="13.05" customHeight="1" x14ac:dyDescent="0.25">
      <c r="B209" s="346" t="s">
        <v>430</v>
      </c>
      <c r="C209" s="346" t="s">
        <v>439</v>
      </c>
      <c r="D209" s="346"/>
      <c r="E209" s="346" t="s">
        <v>723</v>
      </c>
      <c r="F209" s="346" t="s">
        <v>1670</v>
      </c>
      <c r="G209" s="347">
        <v>285</v>
      </c>
      <c r="H209" s="346" t="s">
        <v>119</v>
      </c>
      <c r="I209" s="348">
        <v>500</v>
      </c>
      <c r="J209" s="353">
        <v>7</v>
      </c>
      <c r="CG209" s="2" t="s">
        <v>255</v>
      </c>
      <c r="CH209" s="2" t="s">
        <v>255</v>
      </c>
      <c r="CI209" s="2" t="s">
        <v>1219</v>
      </c>
      <c r="CJ209" s="2" t="s">
        <v>1799</v>
      </c>
      <c r="CK209" s="2" t="s">
        <v>3357</v>
      </c>
      <c r="CL209" s="2" t="s">
        <v>536</v>
      </c>
      <c r="CM209" s="39">
        <v>3</v>
      </c>
      <c r="CN209" s="2" t="str">
        <f t="shared" si="20"/>
        <v>TADigital NA Consulting | Content &amp; SEO - Associate Manager</v>
      </c>
      <c r="CO209" s="2" t="str">
        <f t="shared" si="23"/>
        <v>TADigital India Consulting | Cloud &amp; Engineering - L2 / B1-B3 | Associate Engineer</v>
      </c>
      <c r="CP209" s="1579">
        <v>210</v>
      </c>
      <c r="CQ209" s="1579">
        <v>107.5</v>
      </c>
      <c r="CR209" s="1579">
        <v>85</v>
      </c>
      <c r="CS209" s="1579">
        <f t="shared" si="21"/>
        <v>28.700000000000003</v>
      </c>
      <c r="CT209" s="1579">
        <v>35</v>
      </c>
      <c r="CU209" s="2">
        <f t="shared" si="22"/>
        <v>13</v>
      </c>
      <c r="CV209" s="2" t="str">
        <f t="shared" si="19"/>
        <v>Content &amp; SEO - Associate Manager</v>
      </c>
      <c r="CW209" s="2" t="str">
        <f>_xlfn.XLOOKUP(CL209,'[1]Rates &amp; Drop Downs INT'!D$373:D$430,'[1]Rates &amp; Drop Downs INT'!C$373:C$430,"X",1)</f>
        <v>Cloud &amp; Engineering - 2 | Associate Engineer</v>
      </c>
    </row>
    <row r="210" spans="2:101" ht="13.05" customHeight="1" x14ac:dyDescent="0.25">
      <c r="B210" s="4" t="s">
        <v>430</v>
      </c>
      <c r="C210" s="4" t="s">
        <v>440</v>
      </c>
      <c r="D210" s="4"/>
      <c r="E210" s="346" t="s">
        <v>440</v>
      </c>
      <c r="F210" s="4" t="s">
        <v>441</v>
      </c>
      <c r="G210" s="343">
        <v>112.5</v>
      </c>
      <c r="H210" s="4" t="s">
        <v>119</v>
      </c>
      <c r="I210" s="344">
        <v>190</v>
      </c>
      <c r="J210" s="345"/>
      <c r="CG210" s="2" t="s">
        <v>255</v>
      </c>
      <c r="CH210" s="2" t="s">
        <v>255</v>
      </c>
      <c r="CI210" s="2" t="s">
        <v>1219</v>
      </c>
      <c r="CJ210" s="2" t="s">
        <v>1799</v>
      </c>
      <c r="CK210" s="2" t="s">
        <v>370</v>
      </c>
      <c r="CL210" s="2" t="s">
        <v>3548</v>
      </c>
      <c r="CM210" s="39">
        <v>4</v>
      </c>
      <c r="CN210" s="2" t="str">
        <f t="shared" si="20"/>
        <v>TADigital NA Consulting - Sr. Project Manager</v>
      </c>
      <c r="CO210" s="2" t="str">
        <f t="shared" si="23"/>
        <v>TADigital India Consulting | Cloud &amp; Engineering - L2 / B1-B3 | Associate Engineer</v>
      </c>
      <c r="CP210" s="1579">
        <v>235</v>
      </c>
      <c r="CQ210" s="1579">
        <v>116</v>
      </c>
      <c r="CR210" s="1579">
        <v>95</v>
      </c>
      <c r="CS210" s="1579">
        <f t="shared" si="21"/>
        <v>31.160000000000004</v>
      </c>
      <c r="CT210" s="1579">
        <v>38</v>
      </c>
      <c r="CU210" s="2">
        <f t="shared" si="22"/>
        <v>13</v>
      </c>
      <c r="CV210" s="2" t="str">
        <f t="shared" si="19"/>
        <v>Sr. Project Manager</v>
      </c>
      <c r="CW210" s="2" t="str">
        <f>_xlfn.XLOOKUP(CL210,'[1]Rates &amp; Drop Downs INT'!D$373:D$430,'[1]Rates &amp; Drop Downs INT'!C$373:C$430,"X",1)</f>
        <v>Cloud &amp; Engineering - 2 | Associate Engineer</v>
      </c>
    </row>
    <row r="211" spans="2:101" ht="13.05" customHeight="1" x14ac:dyDescent="0.25">
      <c r="B211" s="346" t="s">
        <v>430</v>
      </c>
      <c r="C211" s="346" t="s">
        <v>442</v>
      </c>
      <c r="D211" s="346"/>
      <c r="E211" s="346" t="s">
        <v>442</v>
      </c>
      <c r="F211" s="346" t="s">
        <v>443</v>
      </c>
      <c r="G211" s="347">
        <v>135</v>
      </c>
      <c r="H211" s="346" t="s">
        <v>119</v>
      </c>
      <c r="I211" s="348">
        <v>235</v>
      </c>
      <c r="J211" s="353"/>
      <c r="CG211" s="2" t="s">
        <v>255</v>
      </c>
      <c r="CH211" s="2" t="s">
        <v>255</v>
      </c>
      <c r="CI211" s="2" t="s">
        <v>1219</v>
      </c>
      <c r="CJ211" s="2" t="s">
        <v>1799</v>
      </c>
      <c r="CK211" s="2" t="s">
        <v>3358</v>
      </c>
      <c r="CL211" s="2" t="s">
        <v>538</v>
      </c>
      <c r="CM211" s="39">
        <v>3</v>
      </c>
      <c r="CN211" s="2" t="str">
        <f t="shared" si="20"/>
        <v>TADigital NA Consulting | Content &amp; SEO - Associate Manager</v>
      </c>
      <c r="CO211" s="2" t="str">
        <f t="shared" si="23"/>
        <v>TADigital India Consulting | Cloud &amp; Engineering - L2 / B1-B3 | Associate Engineer</v>
      </c>
      <c r="CP211" s="1579">
        <v>210</v>
      </c>
      <c r="CQ211" s="1579">
        <v>108</v>
      </c>
      <c r="CR211" s="1579">
        <v>85</v>
      </c>
      <c r="CS211" s="1579">
        <f t="shared" si="21"/>
        <v>28.700000000000003</v>
      </c>
      <c r="CT211" s="1579">
        <v>35</v>
      </c>
      <c r="CU211" s="2">
        <f t="shared" si="22"/>
        <v>13</v>
      </c>
      <c r="CV211" s="2" t="str">
        <f t="shared" si="19"/>
        <v>Content &amp; SEO - Associate Manager</v>
      </c>
      <c r="CW211" s="2" t="str">
        <f>_xlfn.XLOOKUP(CL211,'[1]Rates &amp; Drop Downs INT'!D$373:D$430,'[1]Rates &amp; Drop Downs INT'!C$373:C$430,"X",1)</f>
        <v>Cloud &amp; Engineering - 2 | Associate Engineer</v>
      </c>
    </row>
    <row r="212" spans="2:101" ht="13.05" customHeight="1" x14ac:dyDescent="0.25">
      <c r="B212" s="4" t="s">
        <v>430</v>
      </c>
      <c r="C212" s="4" t="s">
        <v>444</v>
      </c>
      <c r="D212" s="4"/>
      <c r="E212" s="346" t="s">
        <v>444</v>
      </c>
      <c r="F212" s="4" t="s">
        <v>445</v>
      </c>
      <c r="G212" s="343">
        <v>135</v>
      </c>
      <c r="H212" s="4" t="s">
        <v>119</v>
      </c>
      <c r="I212" s="344">
        <v>265</v>
      </c>
      <c r="J212" s="345"/>
      <c r="CG212" s="2" t="s">
        <v>255</v>
      </c>
      <c r="CH212" s="2" t="s">
        <v>255</v>
      </c>
      <c r="CI212" s="2" t="s">
        <v>1219</v>
      </c>
      <c r="CJ212" s="2" t="s">
        <v>1799</v>
      </c>
      <c r="CK212" s="2" t="s">
        <v>3352</v>
      </c>
      <c r="CL212" s="2" t="s">
        <v>3549</v>
      </c>
      <c r="CM212" s="39">
        <v>5</v>
      </c>
      <c r="CN212" s="2" t="str">
        <f t="shared" si="20"/>
        <v>TADigital NA | Management - Practice Director / Delivery Director</v>
      </c>
      <c r="CO212" s="2" t="str">
        <f t="shared" si="23"/>
        <v>TADigital India Consulting | Cloud &amp; Engineering - L2 / B1-B3 | Associate Engineer</v>
      </c>
      <c r="CP212" s="1579">
        <v>315</v>
      </c>
      <c r="CQ212" s="1579">
        <v>165</v>
      </c>
      <c r="CR212" s="1579">
        <v>115</v>
      </c>
      <c r="CS212" s="1579">
        <f t="shared" si="21"/>
        <v>45.1</v>
      </c>
      <c r="CT212" s="1579">
        <v>55</v>
      </c>
      <c r="CU212" s="2">
        <f t="shared" si="22"/>
        <v>13</v>
      </c>
      <c r="CV212" s="2" t="str">
        <f t="shared" si="19"/>
        <v>Management - Practice Director / Delivery Director</v>
      </c>
      <c r="CW212" s="2" t="str">
        <f>_xlfn.XLOOKUP(CL212,'[1]Rates &amp; Drop Downs INT'!D$373:D$430,'[1]Rates &amp; Drop Downs INT'!C$373:C$430,"X",1)</f>
        <v>Cloud &amp; Engineering - 2 | Associate Engineer</v>
      </c>
    </row>
    <row r="213" spans="2:101" ht="13.05" customHeight="1" x14ac:dyDescent="0.25">
      <c r="B213" s="346" t="s">
        <v>430</v>
      </c>
      <c r="C213" s="346" t="s">
        <v>446</v>
      </c>
      <c r="D213" s="346"/>
      <c r="E213" s="346" t="s">
        <v>446</v>
      </c>
      <c r="F213" s="346" t="s">
        <v>447</v>
      </c>
      <c r="G213" s="347">
        <v>130</v>
      </c>
      <c r="H213" s="346" t="s">
        <v>119</v>
      </c>
      <c r="I213" s="348">
        <v>235</v>
      </c>
      <c r="J213" s="353"/>
      <c r="CG213" s="2" t="s">
        <v>255</v>
      </c>
      <c r="CH213" s="2" t="s">
        <v>255</v>
      </c>
      <c r="CI213" s="2" t="s">
        <v>1219</v>
      </c>
      <c r="CJ213" s="2" t="s">
        <v>1799</v>
      </c>
      <c r="CK213" s="2" t="s">
        <v>3353</v>
      </c>
      <c r="CL213" s="2" t="s">
        <v>3549</v>
      </c>
      <c r="CM213" s="39">
        <v>6</v>
      </c>
      <c r="CN213" s="2" t="str">
        <f t="shared" si="20"/>
        <v>TADigital NA | Management - Practice VP / Delivery VP</v>
      </c>
      <c r="CO213" s="2" t="str">
        <f t="shared" si="23"/>
        <v>TADigital India Consulting | Cloud &amp; Engineering - L2 / B1-B3 | Associate Engineer</v>
      </c>
      <c r="CP213" s="1579">
        <v>370</v>
      </c>
      <c r="CQ213" s="1579">
        <v>172.5</v>
      </c>
      <c r="CR213" s="1579">
        <v>135</v>
      </c>
      <c r="CS213" s="1579">
        <f t="shared" si="21"/>
        <v>51.250000000000007</v>
      </c>
      <c r="CT213" s="1579">
        <v>62.5</v>
      </c>
      <c r="CU213" s="2">
        <f t="shared" si="22"/>
        <v>13</v>
      </c>
      <c r="CV213" s="2" t="str">
        <f t="shared" si="19"/>
        <v>Management - Practice VP / Delivery VP</v>
      </c>
      <c r="CW213" s="2" t="str">
        <f>_xlfn.XLOOKUP(CL213,'[1]Rates &amp; Drop Downs INT'!D$373:D$430,'[1]Rates &amp; Drop Downs INT'!C$373:C$430,"X",1)</f>
        <v>Cloud &amp; Engineering - 2 | Associate Engineer</v>
      </c>
    </row>
    <row r="214" spans="2:101" ht="13.05" customHeight="1" x14ac:dyDescent="0.25">
      <c r="B214" s="4" t="s">
        <v>430</v>
      </c>
      <c r="C214" s="4" t="s">
        <v>448</v>
      </c>
      <c r="D214" s="4"/>
      <c r="E214" s="346" t="s">
        <v>448</v>
      </c>
      <c r="F214" s="4" t="s">
        <v>449</v>
      </c>
      <c r="G214" s="343">
        <v>137.5</v>
      </c>
      <c r="H214" s="4" t="s">
        <v>119</v>
      </c>
      <c r="I214" s="344">
        <v>265</v>
      </c>
      <c r="J214" s="345"/>
      <c r="CG214" s="2" t="s">
        <v>255</v>
      </c>
      <c r="CH214" s="2" t="s">
        <v>255</v>
      </c>
      <c r="CI214" s="2" t="s">
        <v>1219</v>
      </c>
      <c r="CJ214" s="2" t="s">
        <v>1799</v>
      </c>
      <c r="CK214" s="2" t="s">
        <v>3359</v>
      </c>
      <c r="CL214" s="2" t="s">
        <v>3550</v>
      </c>
      <c r="CM214" s="39">
        <v>2</v>
      </c>
      <c r="CN214" s="2" t="str">
        <f t="shared" si="20"/>
        <v>TADigital NA Consulting - Project Manager / Product Manager</v>
      </c>
      <c r="CO214" s="2" t="str">
        <f t="shared" si="23"/>
        <v>TADigital India Consulting | Cloud &amp; Engineering - L2 / B1-B3 | Associate Engineer</v>
      </c>
      <c r="CP214" s="1579">
        <v>190</v>
      </c>
      <c r="CQ214" s="1579">
        <v>105</v>
      </c>
      <c r="CR214" s="1579">
        <v>65</v>
      </c>
      <c r="CS214" s="1579">
        <f t="shared" si="21"/>
        <v>22.96</v>
      </c>
      <c r="CT214" s="1579">
        <v>28</v>
      </c>
      <c r="CU214" s="2">
        <f t="shared" si="22"/>
        <v>13</v>
      </c>
      <c r="CV214" s="2" t="str">
        <f t="shared" si="19"/>
        <v>Project Manager / Product Manager</v>
      </c>
      <c r="CW214" s="2" t="str">
        <f>_xlfn.XLOOKUP(CL214,'[1]Rates &amp; Drop Downs INT'!D$373:D$430,'[1]Rates &amp; Drop Downs INT'!C$373:C$430,"X",1)</f>
        <v>Cloud &amp; Engineering - 2 | Associate Engineer</v>
      </c>
    </row>
    <row r="215" spans="2:101" ht="13.05" customHeight="1" x14ac:dyDescent="0.25">
      <c r="B215" s="346" t="s">
        <v>430</v>
      </c>
      <c r="C215" s="346" t="s">
        <v>450</v>
      </c>
      <c r="D215" s="346" t="s">
        <v>3329</v>
      </c>
      <c r="E215" s="346" t="s">
        <v>726</v>
      </c>
      <c r="F215" s="346" t="s">
        <v>451</v>
      </c>
      <c r="G215" s="347">
        <v>65</v>
      </c>
      <c r="H215" s="346" t="s">
        <v>119</v>
      </c>
      <c r="I215" s="348">
        <v>125</v>
      </c>
      <c r="J215" s="353"/>
      <c r="CG215" s="2" t="s">
        <v>255</v>
      </c>
      <c r="CH215" s="2" t="s">
        <v>255</v>
      </c>
      <c r="CI215" s="2" t="s">
        <v>1219</v>
      </c>
      <c r="CJ215" s="2" t="s">
        <v>1799</v>
      </c>
      <c r="CK215" s="2" t="s">
        <v>3360</v>
      </c>
      <c r="CL215" s="2" t="s">
        <v>3546</v>
      </c>
      <c r="CM215" s="39">
        <v>5</v>
      </c>
      <c r="CN215" s="2" t="str">
        <f t="shared" si="20"/>
        <v>TADigital NA Digital - Sr. Technical Architect</v>
      </c>
      <c r="CO215" s="2" t="str">
        <f t="shared" si="23"/>
        <v>TADigital India Consulting | Cloud &amp; Engineering - L2 / B1-B3 | Associate Engineer</v>
      </c>
      <c r="CP215" s="1579">
        <v>275</v>
      </c>
      <c r="CQ215" s="1579">
        <v>162.5</v>
      </c>
      <c r="CR215" s="1579">
        <v>105</v>
      </c>
      <c r="CS215" s="1579">
        <f t="shared" si="21"/>
        <v>41</v>
      </c>
      <c r="CT215" s="1579">
        <v>50</v>
      </c>
      <c r="CU215" s="2">
        <f t="shared" si="22"/>
        <v>13</v>
      </c>
      <c r="CV215" s="2" t="str">
        <f t="shared" si="19"/>
        <v>Sr. Technical Architect</v>
      </c>
      <c r="CW215" s="2" t="str">
        <f>_xlfn.XLOOKUP(CL215,'[1]Rates &amp; Drop Downs INT'!D$373:D$430,'[1]Rates &amp; Drop Downs INT'!C$373:C$430,"X",1)</f>
        <v>Cloud &amp; Engineering - 2 | Associate Engineer</v>
      </c>
    </row>
    <row r="216" spans="2:101" ht="13.05" customHeight="1" x14ac:dyDescent="0.25">
      <c r="B216" s="4" t="s">
        <v>430</v>
      </c>
      <c r="C216" s="4" t="s">
        <v>452</v>
      </c>
      <c r="D216" s="346" t="s">
        <v>3329</v>
      </c>
      <c r="E216" s="346" t="s">
        <v>727</v>
      </c>
      <c r="F216" s="4" t="s">
        <v>453</v>
      </c>
      <c r="G216" s="343">
        <v>72.5</v>
      </c>
      <c r="H216" s="4" t="s">
        <v>119</v>
      </c>
      <c r="I216" s="344">
        <v>160</v>
      </c>
      <c r="J216" s="345"/>
      <c r="CG216" s="2" t="s">
        <v>255</v>
      </c>
      <c r="CH216" s="2" t="s">
        <v>255</v>
      </c>
      <c r="CI216" s="2" t="s">
        <v>1219</v>
      </c>
      <c r="CJ216" s="2" t="s">
        <v>1799</v>
      </c>
      <c r="CK216" s="2" t="s">
        <v>3361</v>
      </c>
      <c r="CL216" s="2" t="s">
        <v>3547</v>
      </c>
      <c r="CM216" s="39">
        <v>2</v>
      </c>
      <c r="CN216" s="2" t="str">
        <f t="shared" si="20"/>
        <v>TADigital NA Consulting - Project Manager / Product Manager</v>
      </c>
      <c r="CO216" s="2" t="str">
        <f t="shared" si="23"/>
        <v>TADigital India Consulting | Cloud &amp; Engineering - L2 / B1-B3 | Associate Engineer</v>
      </c>
      <c r="CP216" s="1579">
        <v>190</v>
      </c>
      <c r="CQ216" s="1579">
        <v>105</v>
      </c>
      <c r="CR216" s="1579">
        <v>65</v>
      </c>
      <c r="CS216" s="1579">
        <f t="shared" si="21"/>
        <v>22.55</v>
      </c>
      <c r="CT216" s="1579">
        <v>27.5</v>
      </c>
      <c r="CU216" s="2">
        <f t="shared" si="22"/>
        <v>13</v>
      </c>
      <c r="CV216" s="2" t="str">
        <f t="shared" si="19"/>
        <v>Project Manager / Product Manager</v>
      </c>
      <c r="CW216" s="2" t="str">
        <f>_xlfn.XLOOKUP(CL216,'[1]Rates &amp; Drop Downs INT'!D$373:D$430,'[1]Rates &amp; Drop Downs INT'!C$373:C$430,"X",1)</f>
        <v>Cloud &amp; Engineering - 2 | Associate Engineer</v>
      </c>
    </row>
    <row r="217" spans="2:101" ht="13.05" customHeight="1" x14ac:dyDescent="0.25">
      <c r="B217" s="346" t="s">
        <v>430</v>
      </c>
      <c r="C217" s="346" t="s">
        <v>454</v>
      </c>
      <c r="D217" s="346" t="s">
        <v>3329</v>
      </c>
      <c r="E217" s="346" t="s">
        <v>394</v>
      </c>
      <c r="F217" s="346" t="s">
        <v>455</v>
      </c>
      <c r="G217" s="347">
        <v>80</v>
      </c>
      <c r="H217" s="346" t="s">
        <v>119</v>
      </c>
      <c r="I217" s="348">
        <v>170</v>
      </c>
      <c r="J217" s="353"/>
      <c r="CG217" s="2" t="s">
        <v>255</v>
      </c>
      <c r="CH217" s="2" t="s">
        <v>255</v>
      </c>
      <c r="CI217" s="2" t="s">
        <v>1219</v>
      </c>
      <c r="CJ217" s="2" t="s">
        <v>1799</v>
      </c>
      <c r="CK217" s="2" t="s">
        <v>3362</v>
      </c>
      <c r="CL217" s="2" t="s">
        <v>3546</v>
      </c>
      <c r="CM217" s="39">
        <v>5</v>
      </c>
      <c r="CN217" s="2" t="str">
        <f t="shared" si="20"/>
        <v>TADigital NA Digital - Sr. Technical Architect</v>
      </c>
      <c r="CO217" s="2" t="str">
        <f t="shared" si="23"/>
        <v>TADigital India Consulting | Cloud &amp; Engineering - L2 / B1-B3 | Associate Engineer</v>
      </c>
      <c r="CP217" s="1579">
        <v>275</v>
      </c>
      <c r="CQ217" s="1579">
        <v>162.5</v>
      </c>
      <c r="CR217" s="1579">
        <v>105</v>
      </c>
      <c r="CS217" s="1579">
        <f t="shared" si="21"/>
        <v>41</v>
      </c>
      <c r="CT217" s="1579">
        <v>50</v>
      </c>
      <c r="CU217" s="2">
        <f t="shared" si="22"/>
        <v>13</v>
      </c>
      <c r="CV217" s="2" t="str">
        <f t="shared" si="19"/>
        <v>Sr. Technical Architect</v>
      </c>
      <c r="CW217" s="2" t="str">
        <f>_xlfn.XLOOKUP(CL217,'[1]Rates &amp; Drop Downs INT'!D$373:D$430,'[1]Rates &amp; Drop Downs INT'!C$373:C$430,"X",1)</f>
        <v>Cloud &amp; Engineering - 2 | Associate Engineer</v>
      </c>
    </row>
    <row r="218" spans="2:101" ht="13.05" customHeight="1" x14ac:dyDescent="0.25">
      <c r="B218" s="4" t="s">
        <v>430</v>
      </c>
      <c r="C218" s="4" t="s">
        <v>456</v>
      </c>
      <c r="D218" s="346" t="s">
        <v>3329</v>
      </c>
      <c r="E218" s="346" t="s">
        <v>728</v>
      </c>
      <c r="F218" s="4" t="s">
        <v>457</v>
      </c>
      <c r="G218" s="343">
        <v>90</v>
      </c>
      <c r="H218" s="4" t="s">
        <v>119</v>
      </c>
      <c r="I218" s="344">
        <v>180</v>
      </c>
      <c r="J218" s="345"/>
      <c r="CG218" s="2" t="s">
        <v>255</v>
      </c>
      <c r="CH218" s="2" t="s">
        <v>255</v>
      </c>
      <c r="CI218" s="2" t="s">
        <v>1219</v>
      </c>
      <c r="CJ218" s="2" t="s">
        <v>1799</v>
      </c>
      <c r="CK218" s="2" t="s">
        <v>3354</v>
      </c>
      <c r="CL218" s="2" t="s">
        <v>3549</v>
      </c>
      <c r="CM218" s="39">
        <v>5</v>
      </c>
      <c r="CN218" s="2" t="str">
        <f t="shared" si="20"/>
        <v>TADigital NA | Management - Sr. Practice Director / Sr. Delivery Director</v>
      </c>
      <c r="CO218" s="2" t="str">
        <f t="shared" si="23"/>
        <v>TADigital India Consulting | Cloud &amp; Engineering - L2 / B1-B3 | Associate Engineer</v>
      </c>
      <c r="CP218" s="1579">
        <v>340</v>
      </c>
      <c r="CQ218" s="1579">
        <v>170</v>
      </c>
      <c r="CR218" s="1579">
        <v>125</v>
      </c>
      <c r="CS218" s="1579">
        <f t="shared" si="21"/>
        <v>49.2</v>
      </c>
      <c r="CT218" s="1579">
        <v>60</v>
      </c>
      <c r="CU218" s="2">
        <f t="shared" si="22"/>
        <v>13</v>
      </c>
      <c r="CV218" s="2" t="str">
        <f t="shared" si="19"/>
        <v>Management - Sr. Practice Director / Sr. Delivery Director</v>
      </c>
      <c r="CW218" s="2" t="str">
        <f>_xlfn.XLOOKUP(CL218,'[1]Rates &amp; Drop Downs INT'!D$373:D$430,'[1]Rates &amp; Drop Downs INT'!C$373:C$430,"X",1)</f>
        <v>Cloud &amp; Engineering - 2 | Associate Engineer</v>
      </c>
    </row>
    <row r="219" spans="2:101" ht="13.05" customHeight="1" x14ac:dyDescent="0.25">
      <c r="B219" s="346" t="s">
        <v>430</v>
      </c>
      <c r="C219" s="346" t="s">
        <v>458</v>
      </c>
      <c r="D219" s="346" t="s">
        <v>3329</v>
      </c>
      <c r="E219" s="346" t="s">
        <v>729</v>
      </c>
      <c r="F219" s="346" t="s">
        <v>459</v>
      </c>
      <c r="G219" s="347">
        <v>105</v>
      </c>
      <c r="H219" s="346" t="s">
        <v>119</v>
      </c>
      <c r="I219" s="348">
        <v>190</v>
      </c>
      <c r="J219" s="353"/>
      <c r="CG219" s="2" t="s">
        <v>255</v>
      </c>
      <c r="CH219" s="2" t="s">
        <v>255</v>
      </c>
      <c r="CI219" s="2" t="s">
        <v>311</v>
      </c>
      <c r="CJ219" s="2" t="s">
        <v>1796</v>
      </c>
      <c r="CK219" s="2" t="s">
        <v>3351</v>
      </c>
      <c r="CL219" s="2" t="s">
        <v>3545</v>
      </c>
      <c r="CM219" s="39">
        <v>2</v>
      </c>
      <c r="CN219" s="2" t="str">
        <f t="shared" si="20"/>
        <v>TADigital NA Consulting | Content &amp; SEO - Associate Web Content Analyst</v>
      </c>
      <c r="CO219" s="2" t="str">
        <f t="shared" si="23"/>
        <v>TADigital India Consulting | Cloud &amp; Engineering - L2 / B1-B3 | Associate Engineer</v>
      </c>
      <c r="CP219" s="1579">
        <v>0</v>
      </c>
      <c r="CQ219" s="1579">
        <v>0</v>
      </c>
      <c r="CR219" s="1579">
        <v>35</v>
      </c>
      <c r="CS219" s="1579">
        <f t="shared" si="21"/>
        <v>10.66</v>
      </c>
      <c r="CT219" s="1579">
        <v>13</v>
      </c>
      <c r="CU219" s="2">
        <f t="shared" si="22"/>
        <v>13</v>
      </c>
      <c r="CV219" s="2" t="str">
        <f t="shared" si="19"/>
        <v>Content &amp; SEO - Associate Web Content Analyst</v>
      </c>
      <c r="CW219" s="2" t="str">
        <f>_xlfn.XLOOKUP(CL219,'[1]Rates &amp; Drop Downs INT'!D$373:D$430,'[1]Rates &amp; Drop Downs INT'!C$373:C$430,"X",1)</f>
        <v>Cloud &amp; Engineering - 2 | Associate Engineer</v>
      </c>
    </row>
    <row r="220" spans="2:101" ht="13.05" customHeight="1" x14ac:dyDescent="0.25">
      <c r="B220" s="4" t="s">
        <v>430</v>
      </c>
      <c r="C220" s="4" t="s">
        <v>460</v>
      </c>
      <c r="D220" s="346" t="s">
        <v>3329</v>
      </c>
      <c r="E220" s="346" t="s">
        <v>730</v>
      </c>
      <c r="F220" s="4" t="s">
        <v>461</v>
      </c>
      <c r="G220" s="343">
        <v>107.5</v>
      </c>
      <c r="H220" s="4" t="s">
        <v>119</v>
      </c>
      <c r="I220" s="344">
        <v>210</v>
      </c>
      <c r="J220" s="345"/>
      <c r="CG220" s="2" t="s">
        <v>255</v>
      </c>
      <c r="CH220" s="2" t="s">
        <v>255</v>
      </c>
      <c r="CI220" s="2" t="s">
        <v>311</v>
      </c>
      <c r="CJ220" s="2" t="s">
        <v>1796</v>
      </c>
      <c r="CK220" s="2" t="s">
        <v>720</v>
      </c>
      <c r="CL220" s="2" t="s">
        <v>3546</v>
      </c>
      <c r="CM220" s="39">
        <v>5</v>
      </c>
      <c r="CN220" s="2" t="str">
        <f t="shared" si="20"/>
        <v>TADigital NA | Management - Associate Practice Director</v>
      </c>
      <c r="CO220" s="2" t="str">
        <f t="shared" si="23"/>
        <v>TADigital India Consulting | Cloud &amp; Engineering - L2 / B1-B3 | Associate Engineer</v>
      </c>
      <c r="CP220" s="1579">
        <v>290</v>
      </c>
      <c r="CQ220" s="1579">
        <v>140</v>
      </c>
      <c r="CR220" s="1579">
        <v>105</v>
      </c>
      <c r="CS220" s="1579">
        <f t="shared" si="21"/>
        <v>45.1</v>
      </c>
      <c r="CT220" s="1579">
        <v>55</v>
      </c>
      <c r="CU220" s="2">
        <f t="shared" si="22"/>
        <v>13</v>
      </c>
      <c r="CV220" s="2" t="str">
        <f t="shared" si="19"/>
        <v>Management - Associate Practice Director</v>
      </c>
      <c r="CW220" s="2" t="str">
        <f>_xlfn.XLOOKUP(CL220,'[1]Rates &amp; Drop Downs INT'!D$373:D$430,'[1]Rates &amp; Drop Downs INT'!C$373:C$430,"X",1)</f>
        <v>Cloud &amp; Engineering - 2 | Associate Engineer</v>
      </c>
    </row>
    <row r="221" spans="2:101" ht="13.05" customHeight="1" x14ac:dyDescent="0.25">
      <c r="B221" s="346" t="s">
        <v>430</v>
      </c>
      <c r="C221" s="346" t="s">
        <v>462</v>
      </c>
      <c r="D221" s="346" t="s">
        <v>3329</v>
      </c>
      <c r="E221" s="346" t="s">
        <v>731</v>
      </c>
      <c r="F221" s="346" t="s">
        <v>463</v>
      </c>
      <c r="G221" s="347">
        <v>65</v>
      </c>
      <c r="H221" s="346" t="s">
        <v>119</v>
      </c>
      <c r="I221" s="348">
        <v>125</v>
      </c>
      <c r="J221" s="353"/>
      <c r="CG221" s="2" t="s">
        <v>255</v>
      </c>
      <c r="CH221" s="2" t="s">
        <v>255</v>
      </c>
      <c r="CI221" s="2" t="s">
        <v>311</v>
      </c>
      <c r="CJ221" s="2" t="s">
        <v>1796</v>
      </c>
      <c r="CK221" s="2" t="s">
        <v>532</v>
      </c>
      <c r="CL221" s="2" t="s">
        <v>3547</v>
      </c>
      <c r="CM221" s="39">
        <v>2</v>
      </c>
      <c r="CN221" s="2" t="str">
        <f t="shared" si="20"/>
        <v>TADigital NA Consulting | Content &amp; SEO - Associate Content Strategist</v>
      </c>
      <c r="CO221" s="2" t="str">
        <f t="shared" si="23"/>
        <v>TADigital India Consulting | Cloud &amp; Engineering - L2 / B1-B3 | Associate Engineer</v>
      </c>
      <c r="CP221" s="1579">
        <v>160</v>
      </c>
      <c r="CQ221" s="1579">
        <v>80</v>
      </c>
      <c r="CR221" s="1579">
        <v>55</v>
      </c>
      <c r="CS221" s="1579">
        <f t="shared" si="21"/>
        <v>14.760000000000002</v>
      </c>
      <c r="CT221" s="1579">
        <v>18</v>
      </c>
      <c r="CU221" s="2">
        <f t="shared" si="22"/>
        <v>13</v>
      </c>
      <c r="CV221" s="2" t="str">
        <f t="shared" si="19"/>
        <v>Content &amp; SEO - Associate Content Strategist</v>
      </c>
      <c r="CW221" s="2" t="str">
        <f>_xlfn.XLOOKUP(CL221,'[1]Rates &amp; Drop Downs INT'!D$373:D$430,'[1]Rates &amp; Drop Downs INT'!C$373:C$430,"X",1)</f>
        <v>Cloud &amp; Engineering - 2 | Associate Engineer</v>
      </c>
    </row>
    <row r="222" spans="2:101" ht="13.05" customHeight="1" x14ac:dyDescent="0.25">
      <c r="B222" s="4" t="s">
        <v>430</v>
      </c>
      <c r="C222" s="4" t="s">
        <v>464</v>
      </c>
      <c r="D222" s="346" t="s">
        <v>3329</v>
      </c>
      <c r="E222" s="346" t="s">
        <v>732</v>
      </c>
      <c r="F222" s="4" t="s">
        <v>465</v>
      </c>
      <c r="G222" s="343">
        <v>75</v>
      </c>
      <c r="H222" s="4" t="s">
        <v>119</v>
      </c>
      <c r="I222" s="344">
        <v>140</v>
      </c>
      <c r="J222" s="345"/>
      <c r="CG222" s="2" t="s">
        <v>255</v>
      </c>
      <c r="CH222" s="2" t="s">
        <v>255</v>
      </c>
      <c r="CI222" s="2" t="s">
        <v>311</v>
      </c>
      <c r="CJ222" s="2" t="s">
        <v>1796</v>
      </c>
      <c r="CK222" s="2" t="s">
        <v>542</v>
      </c>
      <c r="CL222" s="2" t="s">
        <v>3548</v>
      </c>
      <c r="CM222" s="39">
        <v>5</v>
      </c>
      <c r="CN222" s="2" t="str">
        <f t="shared" si="20"/>
        <v>TADigital NA | Management - Associate Practice Director</v>
      </c>
      <c r="CO222" s="2" t="str">
        <f t="shared" si="23"/>
        <v>TADigital India Consulting | Cloud &amp; Engineering - L2 / B1-B3 | Associate Engineer</v>
      </c>
      <c r="CP222" s="1579">
        <v>290</v>
      </c>
      <c r="CQ222" s="1579">
        <v>167.5</v>
      </c>
      <c r="CR222" s="1579">
        <v>125</v>
      </c>
      <c r="CS222" s="1579">
        <f t="shared" si="21"/>
        <v>51.250000000000007</v>
      </c>
      <c r="CT222" s="1579">
        <v>62.5</v>
      </c>
      <c r="CU222" s="2">
        <f t="shared" si="22"/>
        <v>13</v>
      </c>
      <c r="CV222" s="2" t="str">
        <f t="shared" si="19"/>
        <v>Management - Associate Practice Director</v>
      </c>
      <c r="CW222" s="2" t="str">
        <f>_xlfn.XLOOKUP(CL222,'[1]Rates &amp; Drop Downs INT'!D$373:D$430,'[1]Rates &amp; Drop Downs INT'!C$373:C$430,"X",1)</f>
        <v>Cloud &amp; Engineering - 2 | Associate Engineer</v>
      </c>
    </row>
    <row r="223" spans="2:101" ht="13.05" customHeight="1" x14ac:dyDescent="0.25">
      <c r="B223" s="346" t="s">
        <v>430</v>
      </c>
      <c r="C223" s="346" t="s">
        <v>466</v>
      </c>
      <c r="D223" s="346" t="s">
        <v>3329</v>
      </c>
      <c r="E223" s="346" t="s">
        <v>733</v>
      </c>
      <c r="F223" s="346" t="s">
        <v>467</v>
      </c>
      <c r="G223" s="347">
        <v>80</v>
      </c>
      <c r="H223" s="346" t="s">
        <v>119</v>
      </c>
      <c r="I223" s="348">
        <v>160</v>
      </c>
      <c r="J223" s="353"/>
      <c r="CG223" s="2" t="s">
        <v>255</v>
      </c>
      <c r="CH223" s="2" t="s">
        <v>255</v>
      </c>
      <c r="CI223" s="2" t="s">
        <v>311</v>
      </c>
      <c r="CJ223" s="2" t="s">
        <v>1796</v>
      </c>
      <c r="CK223" s="2" t="s">
        <v>3352</v>
      </c>
      <c r="CL223" s="2" t="s">
        <v>3549</v>
      </c>
      <c r="CM223" s="39">
        <v>5</v>
      </c>
      <c r="CN223" s="2" t="str">
        <f t="shared" si="20"/>
        <v>TADigital NA | Management - Practice Director / Delivery Director</v>
      </c>
      <c r="CO223" s="2" t="str">
        <f t="shared" si="23"/>
        <v>TADigital India Consulting | Cloud &amp; Engineering - L2 / B1-B3 | Associate Engineer</v>
      </c>
      <c r="CP223" s="1579">
        <v>315</v>
      </c>
      <c r="CQ223" s="1579">
        <v>165</v>
      </c>
      <c r="CR223" s="1579">
        <v>115</v>
      </c>
      <c r="CS223" s="1579">
        <f t="shared" si="21"/>
        <v>45.1</v>
      </c>
      <c r="CT223" s="1579">
        <v>55</v>
      </c>
      <c r="CU223" s="2">
        <f t="shared" si="22"/>
        <v>13</v>
      </c>
      <c r="CV223" s="2" t="str">
        <f t="shared" si="19"/>
        <v>Management - Practice Director / Delivery Director</v>
      </c>
      <c r="CW223" s="2" t="str">
        <f>_xlfn.XLOOKUP(CL223,'[1]Rates &amp; Drop Downs INT'!D$373:D$430,'[1]Rates &amp; Drop Downs INT'!C$373:C$430,"X",1)</f>
        <v>Cloud &amp; Engineering - 2 | Associate Engineer</v>
      </c>
    </row>
    <row r="224" spans="2:101" ht="13.05" customHeight="1" x14ac:dyDescent="0.25">
      <c r="B224" s="4" t="s">
        <v>430</v>
      </c>
      <c r="C224" s="4" t="s">
        <v>468</v>
      </c>
      <c r="D224" s="346" t="s">
        <v>3329</v>
      </c>
      <c r="E224" s="4" t="s">
        <v>734</v>
      </c>
      <c r="F224" s="4" t="s">
        <v>469</v>
      </c>
      <c r="G224" s="343">
        <v>90</v>
      </c>
      <c r="H224" s="4" t="s">
        <v>119</v>
      </c>
      <c r="I224" s="344">
        <v>170</v>
      </c>
      <c r="J224" s="345"/>
      <c r="CG224" s="2" t="s">
        <v>255</v>
      </c>
      <c r="CH224" s="2" t="s">
        <v>255</v>
      </c>
      <c r="CI224" s="2" t="s">
        <v>311</v>
      </c>
      <c r="CJ224" s="2" t="s">
        <v>1796</v>
      </c>
      <c r="CK224" s="2" t="s">
        <v>446</v>
      </c>
      <c r="CL224" s="2" t="s">
        <v>3546</v>
      </c>
      <c r="CM224" s="39">
        <v>4</v>
      </c>
      <c r="CN224" s="2" t="str">
        <f t="shared" si="20"/>
        <v>TADigital NA Consulting - Sr. Project Manager</v>
      </c>
      <c r="CO224" s="2" t="str">
        <f t="shared" si="23"/>
        <v>TADigital India Consulting | Cloud &amp; Engineering - L2 / B1-B3 | Associate Engineer</v>
      </c>
      <c r="CP224" s="1579">
        <v>235</v>
      </c>
      <c r="CQ224" s="1579">
        <v>130</v>
      </c>
      <c r="CR224" s="1579">
        <v>80</v>
      </c>
      <c r="CS224" s="1579">
        <f t="shared" si="21"/>
        <v>38.950000000000003</v>
      </c>
      <c r="CT224" s="1579">
        <v>47.5</v>
      </c>
      <c r="CU224" s="2">
        <f t="shared" si="22"/>
        <v>13</v>
      </c>
      <c r="CV224" s="2" t="str">
        <f t="shared" si="19"/>
        <v>Sr. Project Manager</v>
      </c>
      <c r="CW224" s="2" t="str">
        <f>_xlfn.XLOOKUP(CL224,'[1]Rates &amp; Drop Downs INT'!D$373:D$430,'[1]Rates &amp; Drop Downs INT'!C$373:C$430,"X",1)</f>
        <v>Cloud &amp; Engineering - 2 | Associate Engineer</v>
      </c>
    </row>
    <row r="225" spans="2:101" ht="13.05" customHeight="1" x14ac:dyDescent="0.25">
      <c r="B225" s="346" t="s">
        <v>430</v>
      </c>
      <c r="C225" s="346" t="s">
        <v>470</v>
      </c>
      <c r="D225" s="346" t="s">
        <v>3329</v>
      </c>
      <c r="E225" s="346" t="s">
        <v>735</v>
      </c>
      <c r="F225" s="346" t="s">
        <v>471</v>
      </c>
      <c r="G225" s="347">
        <v>105</v>
      </c>
      <c r="H225" s="346" t="s">
        <v>119</v>
      </c>
      <c r="I225" s="348">
        <v>180</v>
      </c>
      <c r="J225" s="353"/>
      <c r="CG225" s="2" t="s">
        <v>255</v>
      </c>
      <c r="CH225" s="2" t="s">
        <v>255</v>
      </c>
      <c r="CI225" s="2" t="s">
        <v>311</v>
      </c>
      <c r="CJ225" s="2" t="s">
        <v>1796</v>
      </c>
      <c r="CK225" s="2" t="s">
        <v>3353</v>
      </c>
      <c r="CL225" s="2" t="s">
        <v>3549</v>
      </c>
      <c r="CM225" s="39">
        <v>6</v>
      </c>
      <c r="CN225" s="2" t="str">
        <f t="shared" si="20"/>
        <v>TADigital NA | Management - Practice VP / Delivery VP</v>
      </c>
      <c r="CO225" s="2" t="str">
        <f t="shared" si="23"/>
        <v>TADigital India Consulting | Cloud &amp; Engineering - L2 / B1-B3 | Associate Engineer</v>
      </c>
      <c r="CP225" s="1579">
        <v>370</v>
      </c>
      <c r="CQ225" s="1579">
        <v>172.5</v>
      </c>
      <c r="CR225" s="1579">
        <v>135</v>
      </c>
      <c r="CS225" s="1579">
        <f t="shared" si="21"/>
        <v>51.250000000000007</v>
      </c>
      <c r="CT225" s="1579">
        <v>62.5</v>
      </c>
      <c r="CU225" s="2">
        <f t="shared" si="22"/>
        <v>13</v>
      </c>
      <c r="CV225" s="2" t="str">
        <f t="shared" si="19"/>
        <v>Management - Practice VP / Delivery VP</v>
      </c>
      <c r="CW225" s="2" t="str">
        <f>_xlfn.XLOOKUP(CL225,'[1]Rates &amp; Drop Downs INT'!D$373:D$430,'[1]Rates &amp; Drop Downs INT'!C$373:C$430,"X",1)</f>
        <v>Cloud &amp; Engineering - 2 | Associate Engineer</v>
      </c>
    </row>
    <row r="226" spans="2:101" ht="13.05" customHeight="1" x14ac:dyDescent="0.25">
      <c r="B226" s="4" t="s">
        <v>430</v>
      </c>
      <c r="C226" s="4" t="s">
        <v>472</v>
      </c>
      <c r="D226" s="346" t="s">
        <v>3329</v>
      </c>
      <c r="E226" s="4" t="s">
        <v>736</v>
      </c>
      <c r="F226" s="4" t="s">
        <v>473</v>
      </c>
      <c r="G226" s="343">
        <v>65</v>
      </c>
      <c r="H226" s="4" t="s">
        <v>119</v>
      </c>
      <c r="I226" s="344">
        <v>105</v>
      </c>
      <c r="J226" s="345"/>
      <c r="CG226" s="2" t="s">
        <v>255</v>
      </c>
      <c r="CH226" s="2" t="s">
        <v>255</v>
      </c>
      <c r="CI226" s="2" t="s">
        <v>311</v>
      </c>
      <c r="CJ226" s="2" t="s">
        <v>1796</v>
      </c>
      <c r="CK226" s="2" t="s">
        <v>534</v>
      </c>
      <c r="CL226" s="2" t="s">
        <v>3550</v>
      </c>
      <c r="CM226" s="39">
        <v>2</v>
      </c>
      <c r="CN226" s="2" t="str">
        <f t="shared" si="20"/>
        <v>TADigital NA Consulting | Content &amp; SEO - Content Strategist</v>
      </c>
      <c r="CO226" s="2" t="str">
        <f t="shared" si="23"/>
        <v>TADigital India Consulting | Cloud &amp; Engineering - L2 / B1-B3 | Associate Engineer</v>
      </c>
      <c r="CP226" s="1579">
        <v>170</v>
      </c>
      <c r="CQ226" s="1579">
        <v>82.5</v>
      </c>
      <c r="CR226" s="1579">
        <v>65</v>
      </c>
      <c r="CS226" s="1579">
        <f t="shared" si="21"/>
        <v>18.450000000000003</v>
      </c>
      <c r="CT226" s="1579">
        <v>22.5</v>
      </c>
      <c r="CU226" s="2">
        <f t="shared" si="22"/>
        <v>13</v>
      </c>
      <c r="CV226" s="2" t="str">
        <f t="shared" si="19"/>
        <v>Content &amp; SEO - Content Strategist</v>
      </c>
      <c r="CW226" s="2" t="str">
        <f>_xlfn.XLOOKUP(CL226,'[1]Rates &amp; Drop Downs INT'!D$373:D$430,'[1]Rates &amp; Drop Downs INT'!C$373:C$430,"X",1)</f>
        <v>Cloud &amp; Engineering - 2 | Associate Engineer</v>
      </c>
    </row>
    <row r="227" spans="2:101" ht="13.05" customHeight="1" x14ac:dyDescent="0.25">
      <c r="B227" s="346" t="s">
        <v>430</v>
      </c>
      <c r="C227" s="346" t="s">
        <v>474</v>
      </c>
      <c r="D227" s="346" t="s">
        <v>3329</v>
      </c>
      <c r="E227" s="346" t="s">
        <v>737</v>
      </c>
      <c r="F227" s="346" t="s">
        <v>475</v>
      </c>
      <c r="G227" s="347">
        <v>75</v>
      </c>
      <c r="H227" s="346" t="s">
        <v>119</v>
      </c>
      <c r="I227" s="348">
        <v>125</v>
      </c>
      <c r="J227" s="353"/>
      <c r="CG227" s="2" t="s">
        <v>255</v>
      </c>
      <c r="CH227" s="2" t="s">
        <v>255</v>
      </c>
      <c r="CI227" s="2" t="s">
        <v>311</v>
      </c>
      <c r="CJ227" s="2" t="s">
        <v>1796</v>
      </c>
      <c r="CK227" s="2" t="s">
        <v>3354</v>
      </c>
      <c r="CL227" s="2" t="s">
        <v>3549</v>
      </c>
      <c r="CM227" s="39">
        <v>5</v>
      </c>
      <c r="CN227" s="2" t="str">
        <f t="shared" si="20"/>
        <v>TADigital NA | Management - Sr. Practice Director / Sr. Delivery Director</v>
      </c>
      <c r="CO227" s="2" t="str">
        <f t="shared" si="23"/>
        <v>TADigital India Consulting | Cloud &amp; Engineering - L2 / B1-B3 | Associate Engineer</v>
      </c>
      <c r="CP227" s="1579">
        <v>340</v>
      </c>
      <c r="CQ227" s="1579">
        <v>170</v>
      </c>
      <c r="CR227" s="1579">
        <v>125</v>
      </c>
      <c r="CS227" s="1579">
        <f t="shared" si="21"/>
        <v>49.2</v>
      </c>
      <c r="CT227" s="1579">
        <v>60</v>
      </c>
      <c r="CU227" s="2">
        <f t="shared" si="22"/>
        <v>13</v>
      </c>
      <c r="CV227" s="2" t="str">
        <f t="shared" si="19"/>
        <v>Management - Sr. Practice Director / Sr. Delivery Director</v>
      </c>
      <c r="CW227" s="2" t="str">
        <f>_xlfn.XLOOKUP(CL227,'[1]Rates &amp; Drop Downs INT'!D$373:D$430,'[1]Rates &amp; Drop Downs INT'!C$373:C$430,"X",1)</f>
        <v>Cloud &amp; Engineering - 2 | Associate Engineer</v>
      </c>
    </row>
    <row r="228" spans="2:101" ht="13.05" customHeight="1" x14ac:dyDescent="0.25">
      <c r="B228" s="4" t="s">
        <v>430</v>
      </c>
      <c r="C228" s="4" t="s">
        <v>476</v>
      </c>
      <c r="D228" s="346" t="s">
        <v>3329</v>
      </c>
      <c r="E228" s="4" t="s">
        <v>738</v>
      </c>
      <c r="F228" s="4" t="s">
        <v>477</v>
      </c>
      <c r="G228" s="343">
        <v>80</v>
      </c>
      <c r="H228" s="4" t="s">
        <v>119</v>
      </c>
      <c r="I228" s="344">
        <v>135</v>
      </c>
      <c r="J228" s="345"/>
      <c r="CG228" s="2" t="s">
        <v>255</v>
      </c>
      <c r="CH228" s="2" t="s">
        <v>255</v>
      </c>
      <c r="CI228" s="2" t="s">
        <v>311</v>
      </c>
      <c r="CJ228" s="2" t="s">
        <v>1796</v>
      </c>
      <c r="CK228" s="2" t="s">
        <v>448</v>
      </c>
      <c r="CL228" s="2" t="s">
        <v>3546</v>
      </c>
      <c r="CM228" s="39">
        <v>5</v>
      </c>
      <c r="CN228" s="2" t="str">
        <f t="shared" si="20"/>
        <v>TADigital NA Consulting - Delivery Manager</v>
      </c>
      <c r="CO228" s="2" t="str">
        <f t="shared" si="23"/>
        <v>TADigital India Consulting | Cloud &amp; Engineering - L2 / B1-B3 | Associate Engineer</v>
      </c>
      <c r="CP228" s="1579">
        <v>265</v>
      </c>
      <c r="CQ228" s="1579">
        <v>137.5</v>
      </c>
      <c r="CR228" s="1579">
        <v>90</v>
      </c>
      <c r="CS228" s="1579">
        <f t="shared" si="21"/>
        <v>38.950000000000003</v>
      </c>
      <c r="CT228" s="1579">
        <v>47.5</v>
      </c>
      <c r="CU228" s="2">
        <f t="shared" si="22"/>
        <v>13</v>
      </c>
      <c r="CV228" s="2" t="str">
        <f t="shared" si="19"/>
        <v>Delivery Manager</v>
      </c>
      <c r="CW228" s="2" t="str">
        <f>_xlfn.XLOOKUP(CL228,'[1]Rates &amp; Drop Downs INT'!D$373:D$430,'[1]Rates &amp; Drop Downs INT'!C$373:C$430,"X",1)</f>
        <v>Cloud &amp; Engineering - 2 | Associate Engineer</v>
      </c>
    </row>
    <row r="229" spans="2:101" ht="13.05" customHeight="1" x14ac:dyDescent="0.25">
      <c r="B229" s="346" t="s">
        <v>430</v>
      </c>
      <c r="C229" s="346" t="s">
        <v>478</v>
      </c>
      <c r="D229" s="346" t="s">
        <v>3329</v>
      </c>
      <c r="E229" s="346" t="s">
        <v>739</v>
      </c>
      <c r="F229" s="346" t="s">
        <v>479</v>
      </c>
      <c r="G229" s="347">
        <v>80</v>
      </c>
      <c r="H229" s="346" t="s">
        <v>119</v>
      </c>
      <c r="I229" s="348">
        <v>145</v>
      </c>
      <c r="J229" s="353"/>
      <c r="CG229" s="2" t="s">
        <v>255</v>
      </c>
      <c r="CH229" s="2" t="s">
        <v>255</v>
      </c>
      <c r="CI229" s="2" t="s">
        <v>311</v>
      </c>
      <c r="CJ229" s="2" t="s">
        <v>1796</v>
      </c>
      <c r="CK229" s="2" t="s">
        <v>540</v>
      </c>
      <c r="CL229" s="2" t="s">
        <v>538</v>
      </c>
      <c r="CM229" s="39">
        <v>5</v>
      </c>
      <c r="CN229" s="2" t="str">
        <f t="shared" si="20"/>
        <v>TADigital NA Digital - Sr. Technical Architect</v>
      </c>
      <c r="CO229" s="2" t="str">
        <f t="shared" si="23"/>
        <v>TADigital India Consulting | Cloud &amp; Engineering - L2 / B1-B3 | Associate Engineer</v>
      </c>
      <c r="CP229" s="1579">
        <v>275</v>
      </c>
      <c r="CQ229" s="1579">
        <v>155</v>
      </c>
      <c r="CR229" s="1579">
        <v>105</v>
      </c>
      <c r="CS229" s="1579">
        <f t="shared" si="21"/>
        <v>36.900000000000006</v>
      </c>
      <c r="CT229" s="1579">
        <v>45</v>
      </c>
      <c r="CU229" s="2">
        <f t="shared" si="22"/>
        <v>13</v>
      </c>
      <c r="CV229" s="2" t="str">
        <f t="shared" si="19"/>
        <v>Sr. Technical Architect</v>
      </c>
      <c r="CW229" s="2" t="str">
        <f>_xlfn.XLOOKUP(CL229,'[1]Rates &amp; Drop Downs INT'!D$373:D$430,'[1]Rates &amp; Drop Downs INT'!C$373:C$430,"X",1)</f>
        <v>Cloud &amp; Engineering - 2 | Associate Engineer</v>
      </c>
    </row>
    <row r="230" spans="2:101" ht="13.05" customHeight="1" x14ac:dyDescent="0.25">
      <c r="B230" s="4" t="s">
        <v>430</v>
      </c>
      <c r="C230" s="4" t="s">
        <v>480</v>
      </c>
      <c r="D230" s="346" t="s">
        <v>3329</v>
      </c>
      <c r="E230" s="4" t="s">
        <v>740</v>
      </c>
      <c r="F230" s="4" t="s">
        <v>481</v>
      </c>
      <c r="G230" s="343">
        <v>90</v>
      </c>
      <c r="H230" s="4" t="s">
        <v>119</v>
      </c>
      <c r="I230" s="344">
        <v>170</v>
      </c>
      <c r="J230" s="345"/>
      <c r="CG230" s="2" t="s">
        <v>255</v>
      </c>
      <c r="CH230" s="2" t="s">
        <v>255</v>
      </c>
      <c r="CI230" s="2" t="s">
        <v>311</v>
      </c>
      <c r="CJ230" s="2" t="s">
        <v>1796</v>
      </c>
      <c r="CK230" s="2" t="s">
        <v>538</v>
      </c>
      <c r="CL230" s="2" t="s">
        <v>538</v>
      </c>
      <c r="CM230" s="39">
        <v>4</v>
      </c>
      <c r="CN230" s="2" t="str">
        <f t="shared" si="20"/>
        <v>TADigital NA Consulting - Sr. Project Manager</v>
      </c>
      <c r="CO230" s="2" t="str">
        <f t="shared" si="23"/>
        <v>TADigital India Consulting | Cloud &amp; Engineering - L2 / B1-B3 | Associate Engineer</v>
      </c>
      <c r="CP230" s="1579">
        <v>235</v>
      </c>
      <c r="CQ230" s="1579">
        <v>132.5</v>
      </c>
      <c r="CR230" s="1579">
        <v>95</v>
      </c>
      <c r="CS230" s="1579">
        <f t="shared" si="21"/>
        <v>32.800000000000004</v>
      </c>
      <c r="CT230" s="1579">
        <v>40</v>
      </c>
      <c r="CU230" s="2">
        <f t="shared" si="22"/>
        <v>13</v>
      </c>
      <c r="CV230" s="2" t="str">
        <f t="shared" si="19"/>
        <v>Sr. Project Manager</v>
      </c>
      <c r="CW230" s="2" t="str">
        <f>_xlfn.XLOOKUP(CL230,'[1]Rates &amp; Drop Downs INT'!D$373:D$430,'[1]Rates &amp; Drop Downs INT'!C$373:C$430,"X",1)</f>
        <v>Cloud &amp; Engineering - 2 | Associate Engineer</v>
      </c>
    </row>
    <row r="231" spans="2:101" ht="13.05" customHeight="1" x14ac:dyDescent="0.25">
      <c r="B231" s="346" t="s">
        <v>430</v>
      </c>
      <c r="C231" s="346" t="s">
        <v>482</v>
      </c>
      <c r="D231" s="346" t="s">
        <v>3329</v>
      </c>
      <c r="E231" s="346" t="s">
        <v>741</v>
      </c>
      <c r="F231" s="346" t="s">
        <v>483</v>
      </c>
      <c r="G231" s="347">
        <v>105</v>
      </c>
      <c r="H231" s="346" t="s">
        <v>119</v>
      </c>
      <c r="I231" s="348">
        <v>180</v>
      </c>
      <c r="J231" s="353"/>
      <c r="CG231" s="2" t="s">
        <v>255</v>
      </c>
      <c r="CH231" s="2" t="s">
        <v>255</v>
      </c>
      <c r="CI231" s="2" t="s">
        <v>311</v>
      </c>
      <c r="CJ231" s="2" t="s">
        <v>1796</v>
      </c>
      <c r="CK231" s="2" t="s">
        <v>536</v>
      </c>
      <c r="CL231" s="2" t="s">
        <v>536</v>
      </c>
      <c r="CM231" s="39">
        <v>3</v>
      </c>
      <c r="CN231" s="2" t="str">
        <f t="shared" si="20"/>
        <v>TADigital NA Digital - Technical Lead</v>
      </c>
      <c r="CO231" s="2" t="str">
        <f t="shared" si="23"/>
        <v>TADigital India Consulting | Cloud &amp; Engineering - L2 / B1-B3 | Associate Engineer</v>
      </c>
      <c r="CP231" s="1579">
        <v>185</v>
      </c>
      <c r="CQ231" s="1579">
        <v>90</v>
      </c>
      <c r="CR231" s="1579">
        <v>85</v>
      </c>
      <c r="CS231" s="1579">
        <f t="shared" si="21"/>
        <v>24.6</v>
      </c>
      <c r="CT231" s="1579">
        <v>30</v>
      </c>
      <c r="CU231" s="2">
        <f t="shared" si="22"/>
        <v>13</v>
      </c>
      <c r="CV231" s="2" t="str">
        <f t="shared" si="19"/>
        <v>Technical Lead</v>
      </c>
      <c r="CW231" s="2" t="str">
        <f>_xlfn.XLOOKUP(CL231,'[1]Rates &amp; Drop Downs INT'!D$373:D$430,'[1]Rates &amp; Drop Downs INT'!C$373:C$430,"X",1)</f>
        <v>Cloud &amp; Engineering - 2 | Associate Engineer</v>
      </c>
    </row>
    <row r="232" spans="2:101" ht="13.05" customHeight="1" x14ac:dyDescent="0.25">
      <c r="B232" s="4" t="s">
        <v>430</v>
      </c>
      <c r="C232" s="4" t="s">
        <v>484</v>
      </c>
      <c r="D232" s="346" t="s">
        <v>3329</v>
      </c>
      <c r="E232" s="4" t="s">
        <v>742</v>
      </c>
      <c r="F232" s="4" t="s">
        <v>485</v>
      </c>
      <c r="G232" s="343">
        <v>65</v>
      </c>
      <c r="H232" s="4" t="s">
        <v>119</v>
      </c>
      <c r="I232" s="344">
        <v>125</v>
      </c>
      <c r="J232" s="345"/>
      <c r="CG232" s="2" t="s">
        <v>262</v>
      </c>
      <c r="CH232" s="2" t="s">
        <v>262</v>
      </c>
      <c r="CI232" s="2" t="s">
        <v>2543</v>
      </c>
      <c r="CJ232" s="2" t="s">
        <v>1203</v>
      </c>
      <c r="CK232" s="2" t="s">
        <v>565</v>
      </c>
      <c r="CL232" s="2">
        <v>0</v>
      </c>
      <c r="CM232" s="39">
        <v>3</v>
      </c>
      <c r="CN232" s="2" t="str">
        <f t="shared" si="20"/>
        <v>TADigital NA Digital - BA Lead</v>
      </c>
      <c r="CO232" s="2" t="str">
        <f>_xlfn.XLOOKUP(CW232,$C$373:$C$430,$F$373:$F$430,"X",1)</f>
        <v>TADigital India Consulting | Cloud &amp; Engineering - L2 / B1-B3 | Associate Engineer</v>
      </c>
      <c r="CP232" s="1579">
        <v>195</v>
      </c>
      <c r="CQ232" s="1579">
        <v>107.5</v>
      </c>
      <c r="CR232" s="1579">
        <v>85</v>
      </c>
      <c r="CS232" s="1579">
        <f t="shared" si="21"/>
        <v>26.650000000000002</v>
      </c>
      <c r="CT232" s="1579">
        <v>32.5</v>
      </c>
      <c r="CU232" s="2">
        <f t="shared" si="22"/>
        <v>13</v>
      </c>
      <c r="CV232" s="2" t="str">
        <f t="shared" si="19"/>
        <v>BA Lead</v>
      </c>
      <c r="CW232" s="2" t="str">
        <f>_xlfn.XLOOKUP(CL232,'[1]Rates &amp; Drop Downs INT'!D$373:D$430,'[1]Rates &amp; Drop Downs INT'!C$373:C$430,"X",1)</f>
        <v>Cloud &amp; Engineering - 2 | Associate Engineer</v>
      </c>
    </row>
    <row r="233" spans="2:101" ht="13.05" customHeight="1" x14ac:dyDescent="0.25">
      <c r="B233" s="346" t="s">
        <v>430</v>
      </c>
      <c r="C233" s="346" t="s">
        <v>486</v>
      </c>
      <c r="D233" s="346" t="s">
        <v>3329</v>
      </c>
      <c r="E233" s="346" t="s">
        <v>743</v>
      </c>
      <c r="F233" s="346" t="s">
        <v>487</v>
      </c>
      <c r="G233" s="347">
        <v>75</v>
      </c>
      <c r="H233" s="346" t="s">
        <v>119</v>
      </c>
      <c r="I233" s="348">
        <v>135</v>
      </c>
      <c r="J233" s="353"/>
      <c r="CG233" s="2" t="s">
        <v>262</v>
      </c>
      <c r="CH233" s="2" t="s">
        <v>262</v>
      </c>
      <c r="CI233" s="2" t="s">
        <v>2543</v>
      </c>
      <c r="CJ233" s="2" t="s">
        <v>1203</v>
      </c>
      <c r="CK233" s="2" t="s">
        <v>380</v>
      </c>
      <c r="CL233" s="2">
        <v>0</v>
      </c>
      <c r="CM233" s="39">
        <v>2</v>
      </c>
      <c r="CN233" s="2" t="str">
        <f t="shared" si="20"/>
        <v>TADigital NA Consulting | Content &amp; SEO - Associate Content Strategist</v>
      </c>
      <c r="CO233" s="2" t="str">
        <f t="shared" ref="CO233" si="24">_xlfn.XLOOKUP(CW233,$C$373:$C$430,$F$373:$F$430,"X",1)</f>
        <v>TADigital India Consulting | Cloud &amp; Engineering - L2 / B1-B3 | Associate Engineer</v>
      </c>
      <c r="CP233" s="1579">
        <v>160</v>
      </c>
      <c r="CQ233" s="1579">
        <v>97.5</v>
      </c>
      <c r="CR233" s="1579">
        <v>55</v>
      </c>
      <c r="CS233" s="1579">
        <f t="shared" si="21"/>
        <v>18.450000000000003</v>
      </c>
      <c r="CT233" s="1579">
        <v>22.5</v>
      </c>
      <c r="CU233" s="2">
        <f t="shared" si="22"/>
        <v>13</v>
      </c>
      <c r="CV233" s="2" t="str">
        <f t="shared" si="19"/>
        <v>Content &amp; SEO - Associate Content Strategist</v>
      </c>
      <c r="CW233" s="2" t="str">
        <f>_xlfn.XLOOKUP(CL233,'[1]Rates &amp; Drop Downs INT'!D$373:D$430,'[1]Rates &amp; Drop Downs INT'!C$373:C$430,"X",1)</f>
        <v>Cloud &amp; Engineering - 2 | Associate Engineer</v>
      </c>
    </row>
    <row r="234" spans="2:101" ht="13.05" customHeight="1" x14ac:dyDescent="0.25">
      <c r="B234" s="4" t="s">
        <v>430</v>
      </c>
      <c r="C234" s="4" t="s">
        <v>488</v>
      </c>
      <c r="D234" s="346" t="s">
        <v>3329</v>
      </c>
      <c r="E234" s="4" t="s">
        <v>744</v>
      </c>
      <c r="F234" s="4" t="s">
        <v>489</v>
      </c>
      <c r="G234" s="343">
        <v>80</v>
      </c>
      <c r="H234" s="4" t="s">
        <v>119</v>
      </c>
      <c r="I234" s="344">
        <v>160</v>
      </c>
      <c r="J234" s="345"/>
      <c r="CG234" s="2" t="s">
        <v>262</v>
      </c>
      <c r="CH234" s="2" t="s">
        <v>262</v>
      </c>
      <c r="CI234" s="2" t="s">
        <v>2543</v>
      </c>
      <c r="CJ234" s="2" t="s">
        <v>1203</v>
      </c>
      <c r="CK234" s="2" t="s">
        <v>563</v>
      </c>
      <c r="CL234" s="2">
        <v>0</v>
      </c>
      <c r="CM234" s="39">
        <v>2</v>
      </c>
      <c r="CN234" s="2" t="str">
        <f t="shared" si="20"/>
        <v>TADigital NA Digital - Technical Lead</v>
      </c>
      <c r="CO234" s="2" t="str">
        <f>_xlfn.XLOOKUP(CW234,$C$373:$C$430,$F$373:$F$430,"X",1)</f>
        <v>TADigital India Consulting | Cloud &amp; Engineering - L2 / B1-B3 | Associate Engineer</v>
      </c>
      <c r="CP234" s="1579">
        <v>185</v>
      </c>
      <c r="CQ234" s="1579">
        <v>105</v>
      </c>
      <c r="CR234" s="1579">
        <v>65</v>
      </c>
      <c r="CS234" s="1579">
        <f t="shared" si="21"/>
        <v>24.6</v>
      </c>
      <c r="CT234" s="1579">
        <v>30</v>
      </c>
      <c r="CU234" s="2">
        <f t="shared" si="22"/>
        <v>13</v>
      </c>
      <c r="CV234" s="2" t="str">
        <f t="shared" si="19"/>
        <v>Technical Lead</v>
      </c>
      <c r="CW234" s="2" t="str">
        <f>_xlfn.XLOOKUP(CL234,'[1]Rates &amp; Drop Downs INT'!D$373:D$430,'[1]Rates &amp; Drop Downs INT'!C$373:C$430,"X",1)</f>
        <v>Cloud &amp; Engineering - 2 | Associate Engineer</v>
      </c>
    </row>
    <row r="235" spans="2:101" ht="13.05" customHeight="1" x14ac:dyDescent="0.25">
      <c r="B235" s="346" t="s">
        <v>430</v>
      </c>
      <c r="C235" s="346" t="s">
        <v>490</v>
      </c>
      <c r="D235" s="346" t="s">
        <v>3329</v>
      </c>
      <c r="E235" s="346" t="s">
        <v>745</v>
      </c>
      <c r="F235" s="346" t="s">
        <v>491</v>
      </c>
      <c r="G235" s="347">
        <v>90</v>
      </c>
      <c r="H235" s="346" t="s">
        <v>119</v>
      </c>
      <c r="I235" s="348">
        <v>180</v>
      </c>
      <c r="J235" s="353"/>
      <c r="CG235" s="2" t="s">
        <v>262</v>
      </c>
      <c r="CH235" s="2" t="s">
        <v>262</v>
      </c>
      <c r="CI235" s="2" t="s">
        <v>1205</v>
      </c>
      <c r="CJ235" s="2" t="s">
        <v>1750</v>
      </c>
      <c r="CK235" s="2" t="s">
        <v>3351</v>
      </c>
      <c r="CL235" s="2" t="s">
        <v>3545</v>
      </c>
      <c r="CM235" s="39">
        <v>2</v>
      </c>
      <c r="CN235" s="2" t="str">
        <f t="shared" si="20"/>
        <v>TADigital NA Consulting | Content &amp; SEO - Associate Web Content Analyst</v>
      </c>
      <c r="CO235" s="2" t="str">
        <f t="shared" ref="CO235:CO298" si="25">_xlfn.XLOOKUP(CW235,$C$373:$C$430,$F$373:$F$430,"X",1)</f>
        <v>TADigital India Consulting | Cloud &amp; Engineering - L2 / B1-B3 | Associate Engineer</v>
      </c>
      <c r="CP235" s="1579">
        <v>0</v>
      </c>
      <c r="CQ235" s="1579">
        <v>0</v>
      </c>
      <c r="CR235" s="1579">
        <v>35</v>
      </c>
      <c r="CS235" s="1579">
        <f t="shared" si="21"/>
        <v>10.66</v>
      </c>
      <c r="CT235" s="1579">
        <v>13</v>
      </c>
      <c r="CU235" s="2">
        <f t="shared" si="22"/>
        <v>13</v>
      </c>
      <c r="CV235" s="2" t="str">
        <f t="shared" si="19"/>
        <v>Content &amp; SEO - Associate Web Content Analyst</v>
      </c>
      <c r="CW235" s="2" t="str">
        <f>_xlfn.XLOOKUP(CL235,'[1]Rates &amp; Drop Downs INT'!D$373:D$430,'[1]Rates &amp; Drop Downs INT'!C$373:C$430,"X",1)</f>
        <v>Cloud &amp; Engineering - 2 | Associate Engineer</v>
      </c>
    </row>
    <row r="236" spans="2:101" ht="13.05" customHeight="1" x14ac:dyDescent="0.25">
      <c r="B236" s="4" t="s">
        <v>430</v>
      </c>
      <c r="C236" s="4" t="s">
        <v>492</v>
      </c>
      <c r="D236" s="346" t="s">
        <v>3329</v>
      </c>
      <c r="E236" s="4" t="s">
        <v>746</v>
      </c>
      <c r="F236" s="4" t="s">
        <v>493</v>
      </c>
      <c r="G236" s="343">
        <v>105</v>
      </c>
      <c r="H236" s="4" t="s">
        <v>119</v>
      </c>
      <c r="I236" s="344">
        <v>190</v>
      </c>
      <c r="J236" s="345"/>
      <c r="CG236" s="2" t="s">
        <v>262</v>
      </c>
      <c r="CH236" s="2" t="s">
        <v>262</v>
      </c>
      <c r="CI236" s="2" t="s">
        <v>1205</v>
      </c>
      <c r="CJ236" s="2" t="s">
        <v>1750</v>
      </c>
      <c r="CK236" s="2" t="s">
        <v>720</v>
      </c>
      <c r="CL236" s="2" t="s">
        <v>3546</v>
      </c>
      <c r="CM236" s="39">
        <v>5</v>
      </c>
      <c r="CN236" s="2" t="str">
        <f t="shared" si="20"/>
        <v>TADigital NA | Management - Associate Practice Director</v>
      </c>
      <c r="CO236" s="2" t="str">
        <f t="shared" si="25"/>
        <v>TADigital India Consulting | Cloud &amp; Engineering - L2 / B1-B3 | Associate Engineer</v>
      </c>
      <c r="CP236" s="1579">
        <v>290</v>
      </c>
      <c r="CQ236" s="1579">
        <v>140</v>
      </c>
      <c r="CR236" s="1579">
        <v>105</v>
      </c>
      <c r="CS236" s="1579">
        <f t="shared" si="21"/>
        <v>45.1</v>
      </c>
      <c r="CT236" s="1579">
        <v>55</v>
      </c>
      <c r="CU236" s="2">
        <f t="shared" si="22"/>
        <v>13</v>
      </c>
      <c r="CV236" s="2" t="str">
        <f t="shared" si="19"/>
        <v>Management - Associate Practice Director</v>
      </c>
      <c r="CW236" s="2" t="str">
        <f>_xlfn.XLOOKUP(CL236,'[1]Rates &amp; Drop Downs INT'!D$373:D$430,'[1]Rates &amp; Drop Downs INT'!C$373:C$430,"X",1)</f>
        <v>Cloud &amp; Engineering - 2 | Associate Engineer</v>
      </c>
    </row>
    <row r="237" spans="2:101" ht="13.05" customHeight="1" x14ac:dyDescent="0.25">
      <c r="B237" s="346" t="s">
        <v>430</v>
      </c>
      <c r="C237" s="346" t="s">
        <v>494</v>
      </c>
      <c r="D237" s="346" t="s">
        <v>1174</v>
      </c>
      <c r="E237" s="346" t="s">
        <v>748</v>
      </c>
      <c r="F237" s="346" t="s">
        <v>495</v>
      </c>
      <c r="G237" s="347">
        <v>65</v>
      </c>
      <c r="H237" s="346" t="s">
        <v>119</v>
      </c>
      <c r="I237" s="348">
        <v>125</v>
      </c>
      <c r="J237" s="353"/>
      <c r="CG237" s="2" t="s">
        <v>262</v>
      </c>
      <c r="CH237" s="2" t="s">
        <v>262</v>
      </c>
      <c r="CI237" s="2" t="s">
        <v>1205</v>
      </c>
      <c r="CJ237" s="2" t="s">
        <v>1750</v>
      </c>
      <c r="CK237" s="2" t="s">
        <v>532</v>
      </c>
      <c r="CL237" s="2" t="s">
        <v>3547</v>
      </c>
      <c r="CM237" s="39">
        <v>2</v>
      </c>
      <c r="CN237" s="2" t="str">
        <f t="shared" si="20"/>
        <v>TADigital NA Consulting | Content &amp; SEO - Associate Content Strategist</v>
      </c>
      <c r="CO237" s="2" t="str">
        <f t="shared" si="25"/>
        <v>TADigital India Consulting | Cloud &amp; Engineering - L2 / B1-B3 | Associate Engineer</v>
      </c>
      <c r="CP237" s="1579">
        <v>160</v>
      </c>
      <c r="CQ237" s="1579">
        <v>80</v>
      </c>
      <c r="CR237" s="1579">
        <v>55</v>
      </c>
      <c r="CS237" s="1579">
        <f t="shared" si="21"/>
        <v>14.760000000000002</v>
      </c>
      <c r="CT237" s="1579">
        <v>18</v>
      </c>
      <c r="CU237" s="2">
        <f t="shared" si="22"/>
        <v>13</v>
      </c>
      <c r="CV237" s="2" t="str">
        <f t="shared" si="19"/>
        <v>Content &amp; SEO - Associate Content Strategist</v>
      </c>
      <c r="CW237" s="2" t="str">
        <f>_xlfn.XLOOKUP(CL237,'[1]Rates &amp; Drop Downs INT'!D$373:D$430,'[1]Rates &amp; Drop Downs INT'!C$373:C$430,"X",1)</f>
        <v>Cloud &amp; Engineering - 2 | Associate Engineer</v>
      </c>
    </row>
    <row r="238" spans="2:101" ht="13.05" customHeight="1" x14ac:dyDescent="0.25">
      <c r="B238" s="4" t="s">
        <v>430</v>
      </c>
      <c r="C238" s="4" t="s">
        <v>496</v>
      </c>
      <c r="D238" s="346" t="s">
        <v>1174</v>
      </c>
      <c r="E238" s="4" t="s">
        <v>749</v>
      </c>
      <c r="F238" s="4" t="s">
        <v>497</v>
      </c>
      <c r="G238" s="343">
        <v>70</v>
      </c>
      <c r="H238" s="4" t="s">
        <v>119</v>
      </c>
      <c r="I238" s="344">
        <v>170</v>
      </c>
      <c r="J238" s="345"/>
      <c r="CG238" s="2" t="s">
        <v>262</v>
      </c>
      <c r="CH238" s="2" t="s">
        <v>262</v>
      </c>
      <c r="CI238" s="2" t="s">
        <v>1205</v>
      </c>
      <c r="CJ238" s="2" t="s">
        <v>1750</v>
      </c>
      <c r="CK238" s="2" t="s">
        <v>542</v>
      </c>
      <c r="CL238" s="2" t="s">
        <v>3548</v>
      </c>
      <c r="CM238" s="39">
        <v>5</v>
      </c>
      <c r="CN238" s="2" t="str">
        <f t="shared" si="20"/>
        <v>TADigital NA | Management - Associate Practice Director</v>
      </c>
      <c r="CO238" s="2" t="str">
        <f t="shared" si="25"/>
        <v>TADigital India Consulting | Cloud &amp; Engineering - L2 / B1-B3 | Associate Engineer</v>
      </c>
      <c r="CP238" s="1579">
        <v>290</v>
      </c>
      <c r="CQ238" s="1579">
        <v>167.5</v>
      </c>
      <c r="CR238" s="1579">
        <v>125</v>
      </c>
      <c r="CS238" s="1579">
        <f t="shared" si="21"/>
        <v>51.250000000000007</v>
      </c>
      <c r="CT238" s="1579">
        <v>62.5</v>
      </c>
      <c r="CU238" s="2">
        <f t="shared" si="22"/>
        <v>13</v>
      </c>
      <c r="CV238" s="2" t="str">
        <f t="shared" si="19"/>
        <v>Management - Associate Practice Director</v>
      </c>
      <c r="CW238" s="2" t="str">
        <f>_xlfn.XLOOKUP(CL238,'[1]Rates &amp; Drop Downs INT'!D$373:D$430,'[1]Rates &amp; Drop Downs INT'!C$373:C$430,"X",1)</f>
        <v>Cloud &amp; Engineering - 2 | Associate Engineer</v>
      </c>
    </row>
    <row r="239" spans="2:101" ht="13.05" customHeight="1" x14ac:dyDescent="0.25">
      <c r="B239" s="346" t="s">
        <v>430</v>
      </c>
      <c r="C239" s="346" t="s">
        <v>498</v>
      </c>
      <c r="D239" s="346" t="s">
        <v>1174</v>
      </c>
      <c r="E239" s="346" t="s">
        <v>750</v>
      </c>
      <c r="F239" s="346" t="s">
        <v>499</v>
      </c>
      <c r="G239" s="347">
        <v>110</v>
      </c>
      <c r="H239" s="346" t="s">
        <v>119</v>
      </c>
      <c r="I239" s="348">
        <v>190</v>
      </c>
      <c r="J239" s="353"/>
      <c r="CG239" s="2" t="s">
        <v>262</v>
      </c>
      <c r="CH239" s="2" t="s">
        <v>262</v>
      </c>
      <c r="CI239" s="2" t="s">
        <v>1205</v>
      </c>
      <c r="CJ239" s="2" t="s">
        <v>1750</v>
      </c>
      <c r="CK239" s="2" t="s">
        <v>3352</v>
      </c>
      <c r="CL239" s="2" t="s">
        <v>3549</v>
      </c>
      <c r="CM239" s="39">
        <v>5</v>
      </c>
      <c r="CN239" s="2" t="str">
        <f t="shared" si="20"/>
        <v>TADigital NA | Management - Practice Director / Delivery Director</v>
      </c>
      <c r="CO239" s="2" t="str">
        <f t="shared" si="25"/>
        <v>TADigital India Consulting | Cloud &amp; Engineering - L2 / B1-B3 | Associate Engineer</v>
      </c>
      <c r="CP239" s="1579">
        <v>315</v>
      </c>
      <c r="CQ239" s="1579">
        <v>165</v>
      </c>
      <c r="CR239" s="1579">
        <v>115</v>
      </c>
      <c r="CS239" s="1579">
        <f t="shared" si="21"/>
        <v>45.1</v>
      </c>
      <c r="CT239" s="1579">
        <v>55</v>
      </c>
      <c r="CU239" s="2">
        <f t="shared" si="22"/>
        <v>13</v>
      </c>
      <c r="CV239" s="2" t="str">
        <f t="shared" si="19"/>
        <v>Management - Practice Director / Delivery Director</v>
      </c>
      <c r="CW239" s="2" t="str">
        <f>_xlfn.XLOOKUP(CL239,'[1]Rates &amp; Drop Downs INT'!D$373:D$430,'[1]Rates &amp; Drop Downs INT'!C$373:C$430,"X",1)</f>
        <v>Cloud &amp; Engineering - 2 | Associate Engineer</v>
      </c>
    </row>
    <row r="240" spans="2:101" ht="13.05" customHeight="1" x14ac:dyDescent="0.25">
      <c r="B240" s="4" t="s">
        <v>430</v>
      </c>
      <c r="C240" s="4" t="s">
        <v>500</v>
      </c>
      <c r="D240" s="346" t="s">
        <v>1174</v>
      </c>
      <c r="E240" s="4" t="s">
        <v>751</v>
      </c>
      <c r="F240" s="4" t="s">
        <v>501</v>
      </c>
      <c r="G240" s="343">
        <v>107.5</v>
      </c>
      <c r="H240" s="4" t="s">
        <v>119</v>
      </c>
      <c r="I240" s="344">
        <v>210</v>
      </c>
      <c r="J240" s="345"/>
      <c r="CG240" s="2" t="s">
        <v>262</v>
      </c>
      <c r="CH240" s="2" t="s">
        <v>262</v>
      </c>
      <c r="CI240" s="2" t="s">
        <v>1205</v>
      </c>
      <c r="CJ240" s="2" t="s">
        <v>1750</v>
      </c>
      <c r="CK240" s="2" t="s">
        <v>446</v>
      </c>
      <c r="CL240" s="2" t="s">
        <v>3546</v>
      </c>
      <c r="CM240" s="39">
        <v>4</v>
      </c>
      <c r="CN240" s="2" t="str">
        <f t="shared" si="20"/>
        <v>TADigital NA Consulting - Sr. Project Manager</v>
      </c>
      <c r="CO240" s="2" t="str">
        <f t="shared" si="25"/>
        <v>TADigital India Consulting | Cloud &amp; Engineering - L2 / B1-B3 | Associate Engineer</v>
      </c>
      <c r="CP240" s="1579">
        <v>235</v>
      </c>
      <c r="CQ240" s="1579">
        <v>130</v>
      </c>
      <c r="CR240" s="1579">
        <v>80</v>
      </c>
      <c r="CS240" s="1579">
        <f t="shared" si="21"/>
        <v>38.950000000000003</v>
      </c>
      <c r="CT240" s="1579">
        <v>47.5</v>
      </c>
      <c r="CU240" s="2">
        <f t="shared" si="22"/>
        <v>13</v>
      </c>
      <c r="CV240" s="2" t="str">
        <f t="shared" si="19"/>
        <v>Sr. Project Manager</v>
      </c>
      <c r="CW240" s="2" t="str">
        <f>_xlfn.XLOOKUP(CL240,'[1]Rates &amp; Drop Downs INT'!D$373:D$430,'[1]Rates &amp; Drop Downs INT'!C$373:C$430,"X",1)</f>
        <v>Cloud &amp; Engineering - 2 | Associate Engineer</v>
      </c>
    </row>
    <row r="241" spans="2:101" ht="13.05" customHeight="1" x14ac:dyDescent="0.25">
      <c r="B241" s="346" t="s">
        <v>430</v>
      </c>
      <c r="C241" s="346" t="s">
        <v>502</v>
      </c>
      <c r="D241" s="346" t="s">
        <v>1174</v>
      </c>
      <c r="E241" s="346" t="s">
        <v>752</v>
      </c>
      <c r="F241" s="346" t="s">
        <v>503</v>
      </c>
      <c r="G241" s="347">
        <v>120</v>
      </c>
      <c r="H241" s="346" t="s">
        <v>119</v>
      </c>
      <c r="I241" s="348">
        <v>235</v>
      </c>
      <c r="J241" s="353"/>
      <c r="CG241" s="2" t="s">
        <v>262</v>
      </c>
      <c r="CH241" s="2" t="s">
        <v>262</v>
      </c>
      <c r="CI241" s="2" t="s">
        <v>1205</v>
      </c>
      <c r="CJ241" s="2" t="s">
        <v>1750</v>
      </c>
      <c r="CK241" s="2" t="s">
        <v>3353</v>
      </c>
      <c r="CL241" s="2" t="s">
        <v>3549</v>
      </c>
      <c r="CM241" s="39">
        <v>6</v>
      </c>
      <c r="CN241" s="2" t="str">
        <f t="shared" si="20"/>
        <v>TADigital NA | Management - Practice VP / Delivery VP</v>
      </c>
      <c r="CO241" s="2" t="str">
        <f t="shared" si="25"/>
        <v>TADigital India Consulting | Cloud &amp; Engineering - L2 / B1-B3 | Associate Engineer</v>
      </c>
      <c r="CP241" s="1579">
        <v>370</v>
      </c>
      <c r="CQ241" s="1579">
        <v>172.5</v>
      </c>
      <c r="CR241" s="1579">
        <v>135</v>
      </c>
      <c r="CS241" s="1579">
        <f t="shared" si="21"/>
        <v>51.250000000000007</v>
      </c>
      <c r="CT241" s="1579">
        <v>62.5</v>
      </c>
      <c r="CU241" s="2">
        <f t="shared" si="22"/>
        <v>13</v>
      </c>
      <c r="CV241" s="2" t="str">
        <f t="shared" si="19"/>
        <v>Management - Practice VP / Delivery VP</v>
      </c>
      <c r="CW241" s="2" t="str">
        <f>_xlfn.XLOOKUP(CL241,'[1]Rates &amp; Drop Downs INT'!D$373:D$430,'[1]Rates &amp; Drop Downs INT'!C$373:C$430,"X",1)</f>
        <v>Cloud &amp; Engineering - 2 | Associate Engineer</v>
      </c>
    </row>
    <row r="242" spans="2:101" ht="13.05" customHeight="1" x14ac:dyDescent="0.25">
      <c r="B242" s="4" t="s">
        <v>430</v>
      </c>
      <c r="C242" s="4" t="s">
        <v>504</v>
      </c>
      <c r="D242" s="346" t="s">
        <v>1174</v>
      </c>
      <c r="E242" s="4" t="s">
        <v>753</v>
      </c>
      <c r="F242" s="4" t="s">
        <v>505</v>
      </c>
      <c r="G242" s="343">
        <v>140</v>
      </c>
      <c r="H242" s="4" t="s">
        <v>119</v>
      </c>
      <c r="I242" s="344">
        <v>265</v>
      </c>
      <c r="J242" s="345"/>
      <c r="CG242" s="2" t="s">
        <v>262</v>
      </c>
      <c r="CH242" s="2" t="s">
        <v>262</v>
      </c>
      <c r="CI242" s="2" t="s">
        <v>1205</v>
      </c>
      <c r="CJ242" s="2" t="s">
        <v>1750</v>
      </c>
      <c r="CK242" s="2" t="s">
        <v>534</v>
      </c>
      <c r="CL242" s="2" t="s">
        <v>3550</v>
      </c>
      <c r="CM242" s="39">
        <v>2</v>
      </c>
      <c r="CN242" s="2" t="str">
        <f t="shared" si="20"/>
        <v>TADigital NA Consulting | Content &amp; SEO - Content Strategist</v>
      </c>
      <c r="CO242" s="2" t="str">
        <f t="shared" si="25"/>
        <v>TADigital India Consulting | Cloud &amp; Engineering - L2 / B1-B3 | Associate Engineer</v>
      </c>
      <c r="CP242" s="1579">
        <v>170</v>
      </c>
      <c r="CQ242" s="1579">
        <v>82.5</v>
      </c>
      <c r="CR242" s="1579">
        <v>65</v>
      </c>
      <c r="CS242" s="1579">
        <f t="shared" si="21"/>
        <v>18.450000000000003</v>
      </c>
      <c r="CT242" s="1579">
        <v>22.5</v>
      </c>
      <c r="CU242" s="2">
        <f t="shared" si="22"/>
        <v>13</v>
      </c>
      <c r="CV242" s="2" t="str">
        <f t="shared" si="19"/>
        <v>Content &amp; SEO - Content Strategist</v>
      </c>
      <c r="CW242" s="2" t="str">
        <f>_xlfn.XLOOKUP(CL242,'[1]Rates &amp; Drop Downs INT'!D$373:D$430,'[1]Rates &amp; Drop Downs INT'!C$373:C$430,"X",1)</f>
        <v>Cloud &amp; Engineering - 2 | Associate Engineer</v>
      </c>
    </row>
    <row r="243" spans="2:101" ht="13.05" customHeight="1" x14ac:dyDescent="0.25">
      <c r="B243" s="346" t="s">
        <v>430</v>
      </c>
      <c r="C243" s="346" t="s">
        <v>506</v>
      </c>
      <c r="D243" s="346" t="s">
        <v>1174</v>
      </c>
      <c r="E243" s="346" t="s">
        <v>754</v>
      </c>
      <c r="F243" s="346" t="s">
        <v>507</v>
      </c>
      <c r="G243" s="347">
        <v>77.5</v>
      </c>
      <c r="H243" s="346" t="s">
        <v>119</v>
      </c>
      <c r="I243" s="348">
        <v>145</v>
      </c>
      <c r="J243" s="353"/>
      <c r="CG243" s="2" t="s">
        <v>262</v>
      </c>
      <c r="CH243" s="2" t="s">
        <v>262</v>
      </c>
      <c r="CI243" s="2" t="s">
        <v>1205</v>
      </c>
      <c r="CJ243" s="2" t="s">
        <v>1750</v>
      </c>
      <c r="CK243" s="2" t="s">
        <v>3354</v>
      </c>
      <c r="CL243" s="2" t="s">
        <v>3549</v>
      </c>
      <c r="CM243" s="39">
        <v>5</v>
      </c>
      <c r="CN243" s="2" t="str">
        <f t="shared" si="20"/>
        <v>TADigital NA | Management - Sr. Practice Director / Sr. Delivery Director</v>
      </c>
      <c r="CO243" s="2" t="str">
        <f t="shared" si="25"/>
        <v>TADigital India Consulting | Cloud &amp; Engineering - L2 / B1-B3 | Associate Engineer</v>
      </c>
      <c r="CP243" s="1579">
        <v>340</v>
      </c>
      <c r="CQ243" s="1579">
        <v>170</v>
      </c>
      <c r="CR243" s="1579">
        <v>125</v>
      </c>
      <c r="CS243" s="1579">
        <f t="shared" si="21"/>
        <v>49.2</v>
      </c>
      <c r="CT243" s="1579">
        <v>60</v>
      </c>
      <c r="CU243" s="2">
        <f t="shared" si="22"/>
        <v>13</v>
      </c>
      <c r="CV243" s="2" t="str">
        <f t="shared" si="19"/>
        <v>Management - Sr. Practice Director / Sr. Delivery Director</v>
      </c>
      <c r="CW243" s="2" t="str">
        <f>_xlfn.XLOOKUP(CL243,'[1]Rates &amp; Drop Downs INT'!D$373:D$430,'[1]Rates &amp; Drop Downs INT'!C$373:C$430,"X",1)</f>
        <v>Cloud &amp; Engineering - 2 | Associate Engineer</v>
      </c>
    </row>
    <row r="244" spans="2:101" ht="13.05" customHeight="1" x14ac:dyDescent="0.25">
      <c r="B244" s="4" t="s">
        <v>430</v>
      </c>
      <c r="C244" s="4" t="s">
        <v>508</v>
      </c>
      <c r="D244" s="346" t="s">
        <v>1174</v>
      </c>
      <c r="E244" s="4" t="s">
        <v>392</v>
      </c>
      <c r="F244" s="4" t="s">
        <v>509</v>
      </c>
      <c r="G244" s="343">
        <v>90</v>
      </c>
      <c r="H244" s="4" t="s">
        <v>119</v>
      </c>
      <c r="I244" s="344">
        <v>160</v>
      </c>
      <c r="J244" s="345"/>
      <c r="CG244" s="2" t="s">
        <v>262</v>
      </c>
      <c r="CH244" s="2" t="s">
        <v>262</v>
      </c>
      <c r="CI244" s="2" t="s">
        <v>1205</v>
      </c>
      <c r="CJ244" s="2" t="s">
        <v>1750</v>
      </c>
      <c r="CK244" s="2" t="s">
        <v>448</v>
      </c>
      <c r="CL244" s="2" t="s">
        <v>3546</v>
      </c>
      <c r="CM244" s="39">
        <v>5</v>
      </c>
      <c r="CN244" s="2" t="str">
        <f t="shared" si="20"/>
        <v>TADigital NA Consulting - Delivery Manager</v>
      </c>
      <c r="CO244" s="2" t="str">
        <f t="shared" si="25"/>
        <v>TADigital India Consulting | Cloud &amp; Engineering - L2 / B1-B3 | Associate Engineer</v>
      </c>
      <c r="CP244" s="1579">
        <v>265</v>
      </c>
      <c r="CQ244" s="1579">
        <v>137.5</v>
      </c>
      <c r="CR244" s="1579">
        <v>90</v>
      </c>
      <c r="CS244" s="1579">
        <f t="shared" si="21"/>
        <v>38.950000000000003</v>
      </c>
      <c r="CT244" s="1579">
        <v>47.5</v>
      </c>
      <c r="CU244" s="2">
        <f t="shared" si="22"/>
        <v>13</v>
      </c>
      <c r="CV244" s="2" t="str">
        <f t="shared" si="19"/>
        <v>Delivery Manager</v>
      </c>
      <c r="CW244" s="2" t="str">
        <f>_xlfn.XLOOKUP(CL244,'[1]Rates &amp; Drop Downs INT'!D$373:D$430,'[1]Rates &amp; Drop Downs INT'!C$373:C$430,"X",1)</f>
        <v>Cloud &amp; Engineering - 2 | Associate Engineer</v>
      </c>
    </row>
    <row r="245" spans="2:101" ht="13.05" customHeight="1" x14ac:dyDescent="0.25">
      <c r="B245" s="346" t="s">
        <v>430</v>
      </c>
      <c r="C245" s="346" t="s">
        <v>510</v>
      </c>
      <c r="D245" s="346" t="s">
        <v>1174</v>
      </c>
      <c r="E245" s="346" t="s">
        <v>755</v>
      </c>
      <c r="F245" s="346" t="s">
        <v>511</v>
      </c>
      <c r="G245" s="347">
        <v>95</v>
      </c>
      <c r="H245" s="346" t="s">
        <v>119</v>
      </c>
      <c r="I245" s="348">
        <v>170</v>
      </c>
      <c r="J245" s="353"/>
      <c r="CG245" s="2" t="s">
        <v>262</v>
      </c>
      <c r="CH245" s="2" t="s">
        <v>262</v>
      </c>
      <c r="CI245" s="2" t="s">
        <v>1205</v>
      </c>
      <c r="CJ245" s="2" t="s">
        <v>1750</v>
      </c>
      <c r="CK245" s="2" t="s">
        <v>540</v>
      </c>
      <c r="CL245" s="2" t="s">
        <v>538</v>
      </c>
      <c r="CM245" s="39">
        <v>5</v>
      </c>
      <c r="CN245" s="2" t="str">
        <f t="shared" si="20"/>
        <v>TADigital NA Digital - Sr. Technical Architect</v>
      </c>
      <c r="CO245" s="2" t="str">
        <f t="shared" si="25"/>
        <v>TADigital India Consulting | Cloud &amp; Engineering - L2 / B1-B3 | Associate Engineer</v>
      </c>
      <c r="CP245" s="1579">
        <v>275</v>
      </c>
      <c r="CQ245" s="1579">
        <v>155</v>
      </c>
      <c r="CR245" s="1579">
        <v>105</v>
      </c>
      <c r="CS245" s="1579">
        <f t="shared" si="21"/>
        <v>36.900000000000006</v>
      </c>
      <c r="CT245" s="1579">
        <v>45</v>
      </c>
      <c r="CU245" s="2">
        <f t="shared" si="22"/>
        <v>13</v>
      </c>
      <c r="CV245" s="2" t="str">
        <f t="shared" si="19"/>
        <v>Sr. Technical Architect</v>
      </c>
      <c r="CW245" s="2" t="str">
        <f>_xlfn.XLOOKUP(CL245,'[1]Rates &amp; Drop Downs INT'!D$373:D$430,'[1]Rates &amp; Drop Downs INT'!C$373:C$430,"X",1)</f>
        <v>Cloud &amp; Engineering - 2 | Associate Engineer</v>
      </c>
    </row>
    <row r="246" spans="2:101" ht="13.05" customHeight="1" x14ac:dyDescent="0.25">
      <c r="B246" s="4" t="s">
        <v>430</v>
      </c>
      <c r="C246" s="4" t="s">
        <v>512</v>
      </c>
      <c r="D246" s="346" t="s">
        <v>1174</v>
      </c>
      <c r="E246" s="4" t="s">
        <v>756</v>
      </c>
      <c r="F246" s="4" t="s">
        <v>513</v>
      </c>
      <c r="G246" s="343">
        <v>102.5</v>
      </c>
      <c r="H246" s="4" t="s">
        <v>119</v>
      </c>
      <c r="I246" s="344">
        <v>190</v>
      </c>
      <c r="J246" s="345"/>
      <c r="CG246" s="2" t="s">
        <v>262</v>
      </c>
      <c r="CH246" s="2" t="s">
        <v>262</v>
      </c>
      <c r="CI246" s="2" t="s">
        <v>1205</v>
      </c>
      <c r="CJ246" s="2" t="s">
        <v>1750</v>
      </c>
      <c r="CK246" s="2" t="s">
        <v>538</v>
      </c>
      <c r="CL246" s="2" t="s">
        <v>538</v>
      </c>
      <c r="CM246" s="39">
        <v>4</v>
      </c>
      <c r="CN246" s="2" t="str">
        <f t="shared" si="20"/>
        <v>TADigital NA Consulting - Sr. Project Manager</v>
      </c>
      <c r="CO246" s="2" t="str">
        <f t="shared" si="25"/>
        <v>TADigital India Consulting | Cloud &amp; Engineering - L2 / B1-B3 | Associate Engineer</v>
      </c>
      <c r="CP246" s="1579">
        <v>235</v>
      </c>
      <c r="CQ246" s="1579">
        <v>132.5</v>
      </c>
      <c r="CR246" s="1579">
        <v>95</v>
      </c>
      <c r="CS246" s="1579">
        <f t="shared" si="21"/>
        <v>32.800000000000004</v>
      </c>
      <c r="CT246" s="1579">
        <v>40</v>
      </c>
      <c r="CU246" s="2">
        <f t="shared" si="22"/>
        <v>13</v>
      </c>
      <c r="CV246" s="2" t="str">
        <f t="shared" si="19"/>
        <v>Sr. Project Manager</v>
      </c>
      <c r="CW246" s="2" t="str">
        <f>_xlfn.XLOOKUP(CL246,'[1]Rates &amp; Drop Downs INT'!D$373:D$430,'[1]Rates &amp; Drop Downs INT'!C$373:C$430,"X",1)</f>
        <v>Cloud &amp; Engineering - 2 | Associate Engineer</v>
      </c>
    </row>
    <row r="247" spans="2:101" ht="13.05" customHeight="1" x14ac:dyDescent="0.25">
      <c r="B247" s="346" t="s">
        <v>430</v>
      </c>
      <c r="C247" s="346" t="s">
        <v>514</v>
      </c>
      <c r="D247" s="346" t="s">
        <v>1174</v>
      </c>
      <c r="E247" s="346" t="s">
        <v>757</v>
      </c>
      <c r="F247" s="346" t="s">
        <v>515</v>
      </c>
      <c r="G247" s="347">
        <v>107.5</v>
      </c>
      <c r="H247" s="346" t="s">
        <v>119</v>
      </c>
      <c r="I247" s="348">
        <v>210</v>
      </c>
      <c r="J247" s="353"/>
      <c r="CG247" s="2" t="s">
        <v>262</v>
      </c>
      <c r="CH247" s="2" t="s">
        <v>262</v>
      </c>
      <c r="CI247" s="2" t="s">
        <v>1205</v>
      </c>
      <c r="CJ247" s="2" t="s">
        <v>1750</v>
      </c>
      <c r="CK247" s="2" t="s">
        <v>536</v>
      </c>
      <c r="CL247" s="2" t="s">
        <v>536</v>
      </c>
      <c r="CM247" s="39">
        <v>3</v>
      </c>
      <c r="CN247" s="2" t="str">
        <f t="shared" si="20"/>
        <v>TADigital NA Digital - Technical Lead</v>
      </c>
      <c r="CO247" s="2" t="str">
        <f t="shared" si="25"/>
        <v>TADigital India Consulting | Cloud &amp; Engineering - L2 / B1-B3 | Associate Engineer</v>
      </c>
      <c r="CP247" s="1579">
        <v>185</v>
      </c>
      <c r="CQ247" s="1579">
        <v>90</v>
      </c>
      <c r="CR247" s="1579">
        <v>85</v>
      </c>
      <c r="CS247" s="1579">
        <f t="shared" si="21"/>
        <v>24.6</v>
      </c>
      <c r="CT247" s="1579">
        <v>30</v>
      </c>
      <c r="CU247" s="2">
        <f t="shared" si="22"/>
        <v>13</v>
      </c>
      <c r="CV247" s="2" t="str">
        <f t="shared" si="19"/>
        <v>Technical Lead</v>
      </c>
      <c r="CW247" s="2" t="str">
        <f>_xlfn.XLOOKUP(CL247,'[1]Rates &amp; Drop Downs INT'!D$373:D$430,'[1]Rates &amp; Drop Downs INT'!C$373:C$430,"X",1)</f>
        <v>Cloud &amp; Engineering - 2 | Associate Engineer</v>
      </c>
    </row>
    <row r="248" spans="2:101" ht="13.05" customHeight="1" x14ac:dyDescent="0.25">
      <c r="B248" s="4" t="s">
        <v>430</v>
      </c>
      <c r="C248" s="4" t="s">
        <v>516</v>
      </c>
      <c r="D248" s="346" t="s">
        <v>1174</v>
      </c>
      <c r="E248" s="4" t="s">
        <v>758</v>
      </c>
      <c r="F248" s="4" t="s">
        <v>517</v>
      </c>
      <c r="G248" s="343">
        <v>140</v>
      </c>
      <c r="H248" s="4" t="s">
        <v>119</v>
      </c>
      <c r="I248" s="344">
        <v>235</v>
      </c>
      <c r="J248" s="345"/>
      <c r="CG248" s="2" t="s">
        <v>262</v>
      </c>
      <c r="CH248" s="2" t="s">
        <v>262</v>
      </c>
      <c r="CI248" s="2" t="s">
        <v>1172</v>
      </c>
      <c r="CJ248" s="2" t="s">
        <v>3415</v>
      </c>
      <c r="CK248" s="2" t="s">
        <v>736</v>
      </c>
      <c r="CL248" s="2">
        <v>0</v>
      </c>
      <c r="CM248" s="39">
        <v>2</v>
      </c>
      <c r="CN248" s="2" t="str">
        <f t="shared" si="20"/>
        <v>TADigital NA Consulting | Content &amp; SEO - Associate Web Content Analyst</v>
      </c>
      <c r="CO248" s="2" t="str">
        <f t="shared" si="25"/>
        <v>TADigital India Consulting | Cloud &amp; Engineering - L2 / B1-B3 | Associate Engineer</v>
      </c>
      <c r="CP248" s="1579">
        <v>105</v>
      </c>
      <c r="CQ248" s="1579">
        <v>65</v>
      </c>
      <c r="CR248" s="1579">
        <v>40</v>
      </c>
      <c r="CS248" s="1579">
        <f t="shared" si="21"/>
        <v>10.66</v>
      </c>
      <c r="CT248" s="1579">
        <v>13</v>
      </c>
      <c r="CU248" s="2">
        <f t="shared" si="22"/>
        <v>13</v>
      </c>
      <c r="CV248" s="2" t="str">
        <f t="shared" si="19"/>
        <v>Content &amp; SEO - Associate Web Content Analyst</v>
      </c>
      <c r="CW248" s="2" t="str">
        <f>_xlfn.XLOOKUP(CL248,'[1]Rates &amp; Drop Downs INT'!D$373:D$430,'[1]Rates &amp; Drop Downs INT'!C$373:C$430,"X",1)</f>
        <v>Cloud &amp; Engineering - 2 | Associate Engineer</v>
      </c>
    </row>
    <row r="249" spans="2:101" ht="13.05" customHeight="1" x14ac:dyDescent="0.25">
      <c r="B249" s="346" t="s">
        <v>430</v>
      </c>
      <c r="C249" s="346" t="s">
        <v>518</v>
      </c>
      <c r="D249" s="346" t="s">
        <v>3424</v>
      </c>
      <c r="E249" s="346" t="s">
        <v>760</v>
      </c>
      <c r="F249" s="346" t="s">
        <v>519</v>
      </c>
      <c r="G249" s="347">
        <v>75</v>
      </c>
      <c r="H249" s="346" t="s">
        <v>119</v>
      </c>
      <c r="I249" s="348">
        <v>135</v>
      </c>
      <c r="J249" s="353"/>
      <c r="CG249" s="2" t="s">
        <v>262</v>
      </c>
      <c r="CH249" s="2" t="s">
        <v>262</v>
      </c>
      <c r="CI249" s="2" t="s">
        <v>1172</v>
      </c>
      <c r="CJ249" s="2" t="s">
        <v>3415</v>
      </c>
      <c r="CK249" s="2" t="s">
        <v>737</v>
      </c>
      <c r="CL249" s="2" t="s">
        <v>3558</v>
      </c>
      <c r="CM249" s="39">
        <v>2</v>
      </c>
      <c r="CN249" s="2" t="str">
        <f t="shared" si="20"/>
        <v>TADigital NA Consulting | Content &amp; SEO - Content Analyst</v>
      </c>
      <c r="CO249" s="2" t="str">
        <f t="shared" si="25"/>
        <v>TADigital India Consulting | Cloud &amp; Engineering - L2 / B1-B3 | Associate Engineer</v>
      </c>
      <c r="CP249" s="1579">
        <v>125</v>
      </c>
      <c r="CQ249" s="1579">
        <v>75</v>
      </c>
      <c r="CR249" s="1579">
        <v>45</v>
      </c>
      <c r="CS249" s="1579">
        <f t="shared" si="21"/>
        <v>14.760000000000002</v>
      </c>
      <c r="CT249" s="1579">
        <v>18</v>
      </c>
      <c r="CU249" s="2">
        <f t="shared" si="22"/>
        <v>13</v>
      </c>
      <c r="CV249" s="2" t="str">
        <f t="shared" si="19"/>
        <v>Content &amp; SEO - Content Analyst</v>
      </c>
      <c r="CW249" s="2" t="str">
        <f>_xlfn.XLOOKUP(CL249,'[1]Rates &amp; Drop Downs INT'!D$373:D$430,'[1]Rates &amp; Drop Downs INT'!C$373:C$430,"X",1)</f>
        <v>Cloud &amp; Engineering - 2 | Associate Engineer</v>
      </c>
    </row>
    <row r="250" spans="2:101" ht="13.05" customHeight="1" x14ac:dyDescent="0.25">
      <c r="B250" s="4" t="s">
        <v>430</v>
      </c>
      <c r="C250" s="4" t="s">
        <v>520</v>
      </c>
      <c r="D250" s="4"/>
      <c r="E250" s="4" t="s">
        <v>252</v>
      </c>
      <c r="F250" s="4" t="s">
        <v>521</v>
      </c>
      <c r="G250" s="343">
        <v>85</v>
      </c>
      <c r="H250" s="4" t="s">
        <v>119</v>
      </c>
      <c r="I250" s="344">
        <v>170</v>
      </c>
      <c r="J250" s="345"/>
      <c r="CG250" s="2" t="s">
        <v>262</v>
      </c>
      <c r="CH250" s="2" t="s">
        <v>262</v>
      </c>
      <c r="CI250" s="2" t="s">
        <v>1172</v>
      </c>
      <c r="CJ250" s="2" t="s">
        <v>3415</v>
      </c>
      <c r="CK250" s="2" t="s">
        <v>738</v>
      </c>
      <c r="CL250" s="2" t="s">
        <v>3559</v>
      </c>
      <c r="CM250" s="39">
        <v>2</v>
      </c>
      <c r="CN250" s="2" t="str">
        <f t="shared" si="20"/>
        <v>TADigital NA Consulting | Content &amp; SEO - Sr. Web Content Analyst</v>
      </c>
      <c r="CO250" s="2" t="str">
        <f t="shared" si="25"/>
        <v>TADigital India Consulting | Cloud &amp; Engineering - L2 / B1-B3 | Associate Engineer</v>
      </c>
      <c r="CP250" s="1579">
        <v>135</v>
      </c>
      <c r="CQ250" s="1579">
        <v>80</v>
      </c>
      <c r="CR250" s="1579">
        <v>60</v>
      </c>
      <c r="CS250" s="1579">
        <f t="shared" si="21"/>
        <v>1.6400000000000001</v>
      </c>
      <c r="CT250" s="1579">
        <v>2</v>
      </c>
      <c r="CU250" s="2">
        <f t="shared" si="22"/>
        <v>13</v>
      </c>
      <c r="CV250" s="2" t="str">
        <f t="shared" si="19"/>
        <v>Content &amp; SEO - Sr. Web Content Analyst</v>
      </c>
      <c r="CW250" s="2" t="str">
        <f>_xlfn.XLOOKUP(CL250,'[1]Rates &amp; Drop Downs INT'!D$373:D$430,'[1]Rates &amp; Drop Downs INT'!C$373:C$430,"X",1)</f>
        <v>Cloud &amp; Engineering - 2 | Associate Engineer</v>
      </c>
    </row>
    <row r="251" spans="2:101" ht="13.05" customHeight="1" x14ac:dyDescent="0.25">
      <c r="B251" s="346" t="s">
        <v>430</v>
      </c>
      <c r="C251" s="346" t="s">
        <v>522</v>
      </c>
      <c r="D251" s="346"/>
      <c r="E251" s="346" t="s">
        <v>761</v>
      </c>
      <c r="F251" s="346" t="s">
        <v>523</v>
      </c>
      <c r="G251" s="347">
        <v>85</v>
      </c>
      <c r="H251" s="346" t="s">
        <v>119</v>
      </c>
      <c r="I251" s="348">
        <v>190</v>
      </c>
      <c r="J251" s="353"/>
      <c r="CG251" s="2" t="s">
        <v>262</v>
      </c>
      <c r="CH251" s="2" t="s">
        <v>262</v>
      </c>
      <c r="CI251" s="2" t="s">
        <v>1172</v>
      </c>
      <c r="CJ251" s="2" t="s">
        <v>3415</v>
      </c>
      <c r="CK251" s="2" t="s">
        <v>739</v>
      </c>
      <c r="CL251" s="2" t="s">
        <v>3559</v>
      </c>
      <c r="CM251" s="39">
        <v>6</v>
      </c>
      <c r="CN251" s="2" t="str">
        <f t="shared" si="20"/>
        <v>TADigital NA Consulting | Content &amp; SEO - Principal Web Content Analyst</v>
      </c>
      <c r="CO251" s="2" t="str">
        <f t="shared" si="25"/>
        <v>TADigital India Consulting | Cloud &amp; Engineering - L2 / B1-B3 | Associate Engineer</v>
      </c>
      <c r="CP251" s="1579">
        <v>145</v>
      </c>
      <c r="CQ251" s="1579">
        <v>80</v>
      </c>
      <c r="CR251" s="1579">
        <v>60</v>
      </c>
      <c r="CS251" s="1579">
        <f t="shared" si="21"/>
        <v>1.6400000000000001</v>
      </c>
      <c r="CT251" s="1579">
        <v>2</v>
      </c>
      <c r="CU251" s="2">
        <f t="shared" si="22"/>
        <v>13</v>
      </c>
      <c r="CV251" s="2" t="str">
        <f t="shared" si="19"/>
        <v>Content &amp; SEO - Principal Web Content Analyst</v>
      </c>
      <c r="CW251" s="2" t="str">
        <f>_xlfn.XLOOKUP(CL251,'[1]Rates &amp; Drop Downs INT'!D$373:D$430,'[1]Rates &amp; Drop Downs INT'!C$373:C$430,"X",1)</f>
        <v>Cloud &amp; Engineering - 2 | Associate Engineer</v>
      </c>
    </row>
    <row r="252" spans="2:101" ht="13.05" customHeight="1" x14ac:dyDescent="0.25">
      <c r="B252" s="4" t="s">
        <v>430</v>
      </c>
      <c r="C252" s="4" t="s">
        <v>524</v>
      </c>
      <c r="D252" s="4"/>
      <c r="E252" s="4" t="s">
        <v>762</v>
      </c>
      <c r="F252" s="4" t="s">
        <v>525</v>
      </c>
      <c r="G252" s="343">
        <v>85</v>
      </c>
      <c r="H252" s="4" t="s">
        <v>119</v>
      </c>
      <c r="I252" s="344">
        <v>200</v>
      </c>
      <c r="J252" s="345"/>
      <c r="CG252" s="2" t="s">
        <v>262</v>
      </c>
      <c r="CH252" s="2" t="s">
        <v>262</v>
      </c>
      <c r="CI252" s="2" t="s">
        <v>1172</v>
      </c>
      <c r="CJ252" s="2" t="s">
        <v>3415</v>
      </c>
      <c r="CK252" s="2" t="s">
        <v>740</v>
      </c>
      <c r="CL252" s="2" t="s">
        <v>3558</v>
      </c>
      <c r="CM252" s="39">
        <v>3</v>
      </c>
      <c r="CN252" s="2" t="str">
        <f t="shared" si="20"/>
        <v>TADigital NA Consulting | Content &amp; SEO - Content Strategist</v>
      </c>
      <c r="CO252" s="2" t="str">
        <f t="shared" si="25"/>
        <v>TADigital India Consulting | Cloud &amp; Engineering - L2 / B1-B3 | Associate Engineer</v>
      </c>
      <c r="CP252" s="1579">
        <v>170</v>
      </c>
      <c r="CQ252" s="1579">
        <v>90</v>
      </c>
      <c r="CR252" s="1579">
        <v>60</v>
      </c>
      <c r="CS252" s="1579">
        <f t="shared" si="21"/>
        <v>18.450000000000003</v>
      </c>
      <c r="CT252" s="1579">
        <v>22.5</v>
      </c>
      <c r="CU252" s="2">
        <f t="shared" si="22"/>
        <v>13</v>
      </c>
      <c r="CV252" s="2" t="str">
        <f t="shared" si="19"/>
        <v>Content &amp; SEO - Content Strategist</v>
      </c>
      <c r="CW252" s="2" t="str">
        <f>_xlfn.XLOOKUP(CL252,'[1]Rates &amp; Drop Downs INT'!D$373:D$430,'[1]Rates &amp; Drop Downs INT'!C$373:C$430,"X",1)</f>
        <v>Cloud &amp; Engineering - 2 | Associate Engineer</v>
      </c>
    </row>
    <row r="253" spans="2:101" ht="13.05" customHeight="1" x14ac:dyDescent="0.25">
      <c r="B253" s="346" t="s">
        <v>430</v>
      </c>
      <c r="C253" s="346" t="s">
        <v>526</v>
      </c>
      <c r="D253" s="346"/>
      <c r="E253" s="346" t="s">
        <v>763</v>
      </c>
      <c r="F253" s="346" t="s">
        <v>527</v>
      </c>
      <c r="G253" s="347">
        <v>105</v>
      </c>
      <c r="H253" s="346" t="s">
        <v>119</v>
      </c>
      <c r="I253" s="348">
        <v>205</v>
      </c>
      <c r="J253" s="353"/>
      <c r="CG253" s="2" t="s">
        <v>262</v>
      </c>
      <c r="CH253" s="2" t="s">
        <v>262</v>
      </c>
      <c r="CI253" s="2" t="s">
        <v>1172</v>
      </c>
      <c r="CJ253" s="2" t="s">
        <v>3415</v>
      </c>
      <c r="CK253" s="2" t="s">
        <v>741</v>
      </c>
      <c r="CL253" s="2" t="s">
        <v>3558</v>
      </c>
      <c r="CM253" s="39">
        <v>3</v>
      </c>
      <c r="CN253" s="2" t="str">
        <f t="shared" si="20"/>
        <v>TADigital NA Consulting | Content &amp; SEO - Sr. Content Strategist</v>
      </c>
      <c r="CO253" s="2" t="str">
        <f t="shared" si="25"/>
        <v>TADigital India Consulting | Cloud &amp; Engineering - L2 / B1-B3 | Associate Engineer</v>
      </c>
      <c r="CP253" s="1579">
        <v>180</v>
      </c>
      <c r="CQ253" s="1579">
        <v>105</v>
      </c>
      <c r="CR253" s="1579">
        <v>65</v>
      </c>
      <c r="CS253" s="1579">
        <f t="shared" si="21"/>
        <v>22.55</v>
      </c>
      <c r="CT253" s="1579">
        <v>27.5</v>
      </c>
      <c r="CU253" s="2">
        <f t="shared" si="22"/>
        <v>13</v>
      </c>
      <c r="CV253" s="2" t="str">
        <f t="shared" si="19"/>
        <v>Content &amp; SEO - Sr. Content Strategist</v>
      </c>
      <c r="CW253" s="2" t="str">
        <f>_xlfn.XLOOKUP(CL253,'[1]Rates &amp; Drop Downs INT'!D$373:D$430,'[1]Rates &amp; Drop Downs INT'!C$373:C$430,"X",1)</f>
        <v>Cloud &amp; Engineering - 2 | Associate Engineer</v>
      </c>
    </row>
    <row r="254" spans="2:101" ht="13.05" customHeight="1" x14ac:dyDescent="0.25">
      <c r="B254" s="4" t="s">
        <v>430</v>
      </c>
      <c r="C254" s="4" t="s">
        <v>528</v>
      </c>
      <c r="D254" s="4"/>
      <c r="E254" s="4" t="s">
        <v>764</v>
      </c>
      <c r="F254" s="4" t="s">
        <v>529</v>
      </c>
      <c r="G254" s="343">
        <v>105</v>
      </c>
      <c r="H254" s="4" t="s">
        <v>119</v>
      </c>
      <c r="I254" s="344">
        <v>210</v>
      </c>
      <c r="J254" s="345"/>
      <c r="CG254" s="2" t="s">
        <v>262</v>
      </c>
      <c r="CH254" s="2" t="s">
        <v>262</v>
      </c>
      <c r="CI254" s="2" t="s">
        <v>1172</v>
      </c>
      <c r="CJ254" s="2" t="s">
        <v>3415</v>
      </c>
      <c r="CK254" s="2" t="s">
        <v>730</v>
      </c>
      <c r="CL254" s="2" t="s">
        <v>3560</v>
      </c>
      <c r="CM254" s="39">
        <v>3</v>
      </c>
      <c r="CN254" s="2" t="str">
        <f t="shared" si="20"/>
        <v>TADigital NA Consulting | Content &amp; SEO - Associate Manager</v>
      </c>
      <c r="CO254" s="2" t="str">
        <f t="shared" si="25"/>
        <v>TADigital India Consulting | Cloud &amp; Engineering - L2 / B1-B3 | Associate Engineer</v>
      </c>
      <c r="CP254" s="1579">
        <v>210</v>
      </c>
      <c r="CQ254" s="1579">
        <v>122.5</v>
      </c>
      <c r="CR254" s="1579">
        <v>75</v>
      </c>
      <c r="CS254" s="1579">
        <f t="shared" si="21"/>
        <v>20.5</v>
      </c>
      <c r="CT254" s="1579">
        <v>25</v>
      </c>
      <c r="CU254" s="2">
        <f t="shared" si="22"/>
        <v>13</v>
      </c>
      <c r="CV254" s="2" t="str">
        <f t="shared" si="19"/>
        <v>Content &amp; SEO - Associate Manager</v>
      </c>
      <c r="CW254" s="2" t="str">
        <f>_xlfn.XLOOKUP(CL254,'[1]Rates &amp; Drop Downs INT'!D$373:D$430,'[1]Rates &amp; Drop Downs INT'!C$373:C$430,"X",1)</f>
        <v>Cloud &amp; Engineering - 2 | Associate Engineer</v>
      </c>
    </row>
    <row r="255" spans="2:101" ht="13.05" customHeight="1" x14ac:dyDescent="0.25">
      <c r="B255" s="346" t="s">
        <v>430</v>
      </c>
      <c r="C255" s="346" t="s">
        <v>530</v>
      </c>
      <c r="D255" s="346"/>
      <c r="E255" s="346" t="s">
        <v>730</v>
      </c>
      <c r="F255" s="346" t="s">
        <v>531</v>
      </c>
      <c r="G255" s="347">
        <v>122.5</v>
      </c>
      <c r="H255" s="346" t="s">
        <v>119</v>
      </c>
      <c r="I255" s="348">
        <v>210</v>
      </c>
      <c r="J255" s="353"/>
      <c r="CG255" s="2" t="s">
        <v>262</v>
      </c>
      <c r="CH255" s="2" t="s">
        <v>262</v>
      </c>
      <c r="CI255" s="2" t="s">
        <v>1172</v>
      </c>
      <c r="CJ255" s="2" t="s">
        <v>3415</v>
      </c>
      <c r="CK255" s="2" t="s">
        <v>742</v>
      </c>
      <c r="CL255" s="2" t="s">
        <v>3561</v>
      </c>
      <c r="CM255" s="39">
        <v>2</v>
      </c>
      <c r="CN255" s="2" t="str">
        <f t="shared" si="20"/>
        <v>TADigital NA Consulting | Content &amp; SEO - Content Analyst</v>
      </c>
      <c r="CO255" s="2" t="str">
        <f t="shared" si="25"/>
        <v>TADigital India Consulting | Cloud &amp; Engineering - L2 / B1-B3 | Associate Engineer</v>
      </c>
      <c r="CP255" s="1579">
        <v>120</v>
      </c>
      <c r="CQ255" s="1579">
        <v>65</v>
      </c>
      <c r="CR255" s="1579">
        <v>45</v>
      </c>
      <c r="CS255" s="1579">
        <f t="shared" si="21"/>
        <v>10.66</v>
      </c>
      <c r="CT255" s="1579">
        <v>13</v>
      </c>
      <c r="CU255" s="2">
        <f t="shared" si="22"/>
        <v>13</v>
      </c>
      <c r="CV255" s="2" t="str">
        <f t="shared" si="19"/>
        <v>Content &amp; SEO - Content Analyst</v>
      </c>
      <c r="CW255" s="2" t="str">
        <f>_xlfn.XLOOKUP(CL255,'[1]Rates &amp; Drop Downs INT'!D$373:D$430,'[1]Rates &amp; Drop Downs INT'!C$373:C$430,"X",1)</f>
        <v>Cloud &amp; Engineering - 2 | Associate Engineer</v>
      </c>
    </row>
    <row r="256" spans="2:101" ht="13.05" customHeight="1" x14ac:dyDescent="0.25">
      <c r="B256" s="4" t="s">
        <v>430</v>
      </c>
      <c r="C256" s="4" t="s">
        <v>532</v>
      </c>
      <c r="D256" s="4"/>
      <c r="E256" s="4" t="s">
        <v>532</v>
      </c>
      <c r="F256" s="4" t="s">
        <v>533</v>
      </c>
      <c r="G256" s="343">
        <v>80</v>
      </c>
      <c r="H256" s="4" t="s">
        <v>119</v>
      </c>
      <c r="I256" s="344">
        <v>160</v>
      </c>
      <c r="J256" s="345"/>
      <c r="CG256" s="2" t="s">
        <v>262</v>
      </c>
      <c r="CH256" s="2" t="s">
        <v>262</v>
      </c>
      <c r="CI256" s="2" t="s">
        <v>1172</v>
      </c>
      <c r="CJ256" s="2" t="s">
        <v>3415</v>
      </c>
      <c r="CK256" s="2" t="s">
        <v>743</v>
      </c>
      <c r="CL256" s="2" t="s">
        <v>3562</v>
      </c>
      <c r="CM256" s="39">
        <v>2</v>
      </c>
      <c r="CN256" s="2" t="str">
        <f t="shared" si="20"/>
        <v>TADigital NA Digital - DevOps Engineer</v>
      </c>
      <c r="CO256" s="2" t="str">
        <f t="shared" si="25"/>
        <v>TADigital India Consulting | Cloud &amp; Engineering - L2 / B1-B3 | Associate Engineer</v>
      </c>
      <c r="CP256" s="1579">
        <v>130</v>
      </c>
      <c r="CQ256" s="1579">
        <v>75</v>
      </c>
      <c r="CR256" s="1579">
        <v>50</v>
      </c>
      <c r="CS256" s="1579">
        <f t="shared" si="21"/>
        <v>10.66</v>
      </c>
      <c r="CT256" s="1579">
        <v>13</v>
      </c>
      <c r="CU256" s="2">
        <f t="shared" si="22"/>
        <v>13</v>
      </c>
      <c r="CV256" s="2" t="str">
        <f t="shared" si="19"/>
        <v>DevOps Engineer</v>
      </c>
      <c r="CW256" s="2" t="str">
        <f>_xlfn.XLOOKUP(CL256,'[1]Rates &amp; Drop Downs INT'!D$373:D$430,'[1]Rates &amp; Drop Downs INT'!C$373:C$430,"X",1)</f>
        <v>Cloud &amp; Engineering - 2 | Associate Engineer</v>
      </c>
    </row>
    <row r="257" spans="2:101" ht="13.05" customHeight="1" x14ac:dyDescent="0.25">
      <c r="B257" s="346" t="s">
        <v>430</v>
      </c>
      <c r="C257" s="346" t="s">
        <v>534</v>
      </c>
      <c r="D257" s="346"/>
      <c r="E257" s="346" t="s">
        <v>534</v>
      </c>
      <c r="F257" s="346" t="s">
        <v>535</v>
      </c>
      <c r="G257" s="347">
        <v>82.5</v>
      </c>
      <c r="H257" s="346" t="s">
        <v>119</v>
      </c>
      <c r="I257" s="348">
        <v>170</v>
      </c>
      <c r="J257" s="353"/>
      <c r="CG257" s="2" t="s">
        <v>262</v>
      </c>
      <c r="CH257" s="2" t="s">
        <v>262</v>
      </c>
      <c r="CI257" s="2" t="s">
        <v>1172</v>
      </c>
      <c r="CJ257" s="2" t="s">
        <v>3415</v>
      </c>
      <c r="CK257" s="2" t="s">
        <v>744</v>
      </c>
      <c r="CL257" s="2" t="s">
        <v>3563</v>
      </c>
      <c r="CM257" s="39">
        <v>2</v>
      </c>
      <c r="CN257" s="2" t="str">
        <f t="shared" si="20"/>
        <v>TADigital NA Consulting | Content &amp; SEO - Associate Content Strategist</v>
      </c>
      <c r="CO257" s="2" t="str">
        <f t="shared" si="25"/>
        <v>TADigital India Consulting | Cloud &amp; Engineering - L2 / B1-B3 | Associate Engineer</v>
      </c>
      <c r="CP257" s="1579">
        <v>150</v>
      </c>
      <c r="CQ257" s="1579">
        <v>77.5</v>
      </c>
      <c r="CR257" s="1579">
        <v>55</v>
      </c>
      <c r="CS257" s="1579">
        <f t="shared" si="21"/>
        <v>1.6400000000000001</v>
      </c>
      <c r="CT257" s="1579">
        <v>2</v>
      </c>
      <c r="CU257" s="2">
        <f t="shared" si="22"/>
        <v>13</v>
      </c>
      <c r="CV257" s="2" t="str">
        <f t="shared" si="19"/>
        <v>Content &amp; SEO - Associate Content Strategist</v>
      </c>
      <c r="CW257" s="2" t="str">
        <f>_xlfn.XLOOKUP(CL257,'[1]Rates &amp; Drop Downs INT'!D$373:D$430,'[1]Rates &amp; Drop Downs INT'!C$373:C$430,"X",1)</f>
        <v>Cloud &amp; Engineering - 2 | Associate Engineer</v>
      </c>
    </row>
    <row r="258" spans="2:101" ht="13.05" customHeight="1" x14ac:dyDescent="0.25">
      <c r="B258" s="4" t="s">
        <v>430</v>
      </c>
      <c r="C258" s="4" t="s">
        <v>536</v>
      </c>
      <c r="D258" s="4"/>
      <c r="E258" s="4" t="s">
        <v>536</v>
      </c>
      <c r="F258" s="4" t="s">
        <v>537</v>
      </c>
      <c r="G258" s="343">
        <v>90</v>
      </c>
      <c r="H258" s="4" t="s">
        <v>119</v>
      </c>
      <c r="I258" s="344">
        <v>185</v>
      </c>
      <c r="J258" s="345"/>
      <c r="CG258" s="2" t="s">
        <v>262</v>
      </c>
      <c r="CH258" s="2" t="s">
        <v>262</v>
      </c>
      <c r="CI258" s="2" t="s">
        <v>1172</v>
      </c>
      <c r="CJ258" s="2" t="s">
        <v>3415</v>
      </c>
      <c r="CK258" s="2" t="s">
        <v>745</v>
      </c>
      <c r="CL258" s="2" t="s">
        <v>3549</v>
      </c>
      <c r="CM258" s="39">
        <v>3</v>
      </c>
      <c r="CN258" s="2" t="str">
        <f t="shared" si="20"/>
        <v>TADigital NA Consulting | Content &amp; SEO - Content Strategist</v>
      </c>
      <c r="CO258" s="2" t="str">
        <f t="shared" si="25"/>
        <v>TADigital India Consulting | Cloud &amp; Engineering - L2 / B1-B3 | Associate Engineer</v>
      </c>
      <c r="CP258" s="1579">
        <v>170</v>
      </c>
      <c r="CQ258" s="1579">
        <v>85</v>
      </c>
      <c r="CR258" s="1579">
        <v>60</v>
      </c>
      <c r="CS258" s="1579">
        <f t="shared" si="21"/>
        <v>18.450000000000003</v>
      </c>
      <c r="CT258" s="1579">
        <v>22.5</v>
      </c>
      <c r="CU258" s="2">
        <f t="shared" si="22"/>
        <v>13</v>
      </c>
      <c r="CV258" s="2" t="str">
        <f t="shared" si="19"/>
        <v>Content &amp; SEO - Content Strategist</v>
      </c>
      <c r="CW258" s="2" t="str">
        <f>_xlfn.XLOOKUP(CL258,'[1]Rates &amp; Drop Downs INT'!D$373:D$430,'[1]Rates &amp; Drop Downs INT'!C$373:C$430,"X",1)</f>
        <v>Cloud &amp; Engineering - 2 | Associate Engineer</v>
      </c>
    </row>
    <row r="259" spans="2:101" ht="13.05" customHeight="1" x14ac:dyDescent="0.25">
      <c r="B259" s="346" t="s">
        <v>430</v>
      </c>
      <c r="C259" s="346" t="s">
        <v>538</v>
      </c>
      <c r="D259" s="346"/>
      <c r="E259" s="346" t="s">
        <v>538</v>
      </c>
      <c r="F259" s="346" t="s">
        <v>539</v>
      </c>
      <c r="G259" s="347">
        <v>132.5</v>
      </c>
      <c r="H259" s="346" t="s">
        <v>119</v>
      </c>
      <c r="I259" s="348">
        <v>235</v>
      </c>
      <c r="J259" s="353"/>
      <c r="CG259" s="2" t="s">
        <v>262</v>
      </c>
      <c r="CH259" s="2" t="s">
        <v>262</v>
      </c>
      <c r="CI259" s="2" t="s">
        <v>1172</v>
      </c>
      <c r="CJ259" s="2" t="s">
        <v>3415</v>
      </c>
      <c r="CK259" s="2" t="s">
        <v>746</v>
      </c>
      <c r="CL259" s="2" t="s">
        <v>1333</v>
      </c>
      <c r="CM259" s="39">
        <v>3</v>
      </c>
      <c r="CN259" s="2" t="str">
        <f t="shared" si="20"/>
        <v>TADigital NA Consulting | Content &amp; SEO - Sr. Content Strategist</v>
      </c>
      <c r="CO259" s="2" t="str">
        <f t="shared" si="25"/>
        <v>TADigital India Consulting | Cloud &amp; Engineering - L2 / B1-B3 | Associate Engineer</v>
      </c>
      <c r="CP259" s="1579">
        <v>180</v>
      </c>
      <c r="CQ259" s="1579">
        <v>97.5</v>
      </c>
      <c r="CR259" s="1579">
        <v>65</v>
      </c>
      <c r="CS259" s="1579">
        <f t="shared" si="21"/>
        <v>20.5</v>
      </c>
      <c r="CT259" s="1579">
        <v>25</v>
      </c>
      <c r="CU259" s="2">
        <f t="shared" si="22"/>
        <v>13</v>
      </c>
      <c r="CV259" s="2" t="str">
        <f t="shared" si="19"/>
        <v>Content &amp; SEO - Sr. Content Strategist</v>
      </c>
      <c r="CW259" s="2" t="str">
        <f>_xlfn.XLOOKUP(CL259,'[1]Rates &amp; Drop Downs INT'!D$373:D$430,'[1]Rates &amp; Drop Downs INT'!C$373:C$430,"X",1)</f>
        <v>Cloud &amp; Engineering - 2 | Associate Engineer</v>
      </c>
    </row>
    <row r="260" spans="2:101" ht="13.05" customHeight="1" x14ac:dyDescent="0.25">
      <c r="B260" s="4" t="s">
        <v>430</v>
      </c>
      <c r="C260" s="4" t="s">
        <v>540</v>
      </c>
      <c r="D260" s="4"/>
      <c r="E260" s="4" t="s">
        <v>540</v>
      </c>
      <c r="F260" s="4" t="s">
        <v>541</v>
      </c>
      <c r="G260" s="343">
        <v>155</v>
      </c>
      <c r="H260" s="4" t="s">
        <v>119</v>
      </c>
      <c r="I260" s="344">
        <v>275</v>
      </c>
      <c r="J260" s="345"/>
      <c r="CG260" s="2" t="s">
        <v>262</v>
      </c>
      <c r="CH260" s="2" t="s">
        <v>262</v>
      </c>
      <c r="CI260" s="2" t="s">
        <v>1172</v>
      </c>
      <c r="CJ260" s="2" t="s">
        <v>3415</v>
      </c>
      <c r="CK260" s="2" t="s">
        <v>446</v>
      </c>
      <c r="CL260" s="2" t="s">
        <v>3546</v>
      </c>
      <c r="CM260" s="39">
        <v>4</v>
      </c>
      <c r="CN260" s="2" t="str">
        <f t="shared" si="20"/>
        <v>TADigital NA Consulting - Sr. Project Manager</v>
      </c>
      <c r="CO260" s="2" t="str">
        <f t="shared" si="25"/>
        <v>TADigital India Consulting | Cloud &amp; Engineering - L2 / B1-B3 | Associate Engineer</v>
      </c>
      <c r="CP260" s="1579">
        <v>235</v>
      </c>
      <c r="CQ260" s="1579">
        <v>130</v>
      </c>
      <c r="CR260" s="1579">
        <v>80</v>
      </c>
      <c r="CS260" s="1579">
        <f t="shared" si="21"/>
        <v>38.950000000000003</v>
      </c>
      <c r="CT260" s="1579">
        <v>47.5</v>
      </c>
      <c r="CU260" s="2">
        <f t="shared" si="22"/>
        <v>13</v>
      </c>
      <c r="CV260" s="2" t="str">
        <f t="shared" si="19"/>
        <v>Sr. Project Manager</v>
      </c>
      <c r="CW260" s="2" t="str">
        <f>_xlfn.XLOOKUP(CL260,'[1]Rates &amp; Drop Downs INT'!D$373:D$430,'[1]Rates &amp; Drop Downs INT'!C$373:C$430,"X",1)</f>
        <v>Cloud &amp; Engineering - 2 | Associate Engineer</v>
      </c>
    </row>
    <row r="261" spans="2:101" ht="13.05" customHeight="1" x14ac:dyDescent="0.25">
      <c r="B261" s="346" t="s">
        <v>430</v>
      </c>
      <c r="C261" s="346" t="s">
        <v>542</v>
      </c>
      <c r="D261" s="346"/>
      <c r="E261" s="346" t="s">
        <v>542</v>
      </c>
      <c r="F261" s="346" t="s">
        <v>543</v>
      </c>
      <c r="G261" s="347">
        <v>167.5</v>
      </c>
      <c r="H261" s="346" t="s">
        <v>119</v>
      </c>
      <c r="I261" s="348">
        <v>290</v>
      </c>
      <c r="J261" s="353"/>
      <c r="CG261" s="2" t="s">
        <v>262</v>
      </c>
      <c r="CH261" s="2" t="s">
        <v>262</v>
      </c>
      <c r="CI261" s="2" t="s">
        <v>1172</v>
      </c>
      <c r="CJ261" s="2" t="s">
        <v>3415</v>
      </c>
      <c r="CK261" s="2" t="s">
        <v>448</v>
      </c>
      <c r="CL261" s="2" t="s">
        <v>3546</v>
      </c>
      <c r="CM261" s="39">
        <v>5</v>
      </c>
      <c r="CN261" s="2" t="str">
        <f t="shared" si="20"/>
        <v>TADigital NA Consulting - Delivery Manager</v>
      </c>
      <c r="CO261" s="2" t="str">
        <f t="shared" si="25"/>
        <v>TADigital India Consulting | Cloud &amp; Engineering - L2 / B1-B3 | Associate Engineer</v>
      </c>
      <c r="CP261" s="1579">
        <v>265</v>
      </c>
      <c r="CQ261" s="1579">
        <v>137.5</v>
      </c>
      <c r="CR261" s="1579">
        <v>90</v>
      </c>
      <c r="CS261" s="1579">
        <f t="shared" si="21"/>
        <v>38.950000000000003</v>
      </c>
      <c r="CT261" s="1579">
        <v>47.5</v>
      </c>
      <c r="CU261" s="2">
        <f t="shared" si="22"/>
        <v>13</v>
      </c>
      <c r="CV261" s="2" t="str">
        <f t="shared" si="19"/>
        <v>Delivery Manager</v>
      </c>
      <c r="CW261" s="2" t="str">
        <f>_xlfn.XLOOKUP(CL261,'[1]Rates &amp; Drop Downs INT'!D$373:D$430,'[1]Rates &amp; Drop Downs INT'!C$373:C$430,"X",1)</f>
        <v>Cloud &amp; Engineering - 2 | Associate Engineer</v>
      </c>
    </row>
    <row r="262" spans="2:101" ht="13.05" customHeight="1" x14ac:dyDescent="0.25">
      <c r="B262" s="4" t="s">
        <v>430</v>
      </c>
      <c r="C262" s="4" t="s">
        <v>544</v>
      </c>
      <c r="D262" s="4"/>
      <c r="E262" s="4" t="s">
        <v>544</v>
      </c>
      <c r="F262" s="4" t="s">
        <v>545</v>
      </c>
      <c r="G262" s="343">
        <v>85</v>
      </c>
      <c r="H262" s="4" t="s">
        <v>119</v>
      </c>
      <c r="I262" s="344">
        <v>160</v>
      </c>
      <c r="J262" s="345"/>
      <c r="CG262" s="2" t="s">
        <v>262</v>
      </c>
      <c r="CH262" s="2" t="s">
        <v>262</v>
      </c>
      <c r="CI262" s="2" t="s">
        <v>1172</v>
      </c>
      <c r="CJ262" s="2" t="s">
        <v>3415</v>
      </c>
      <c r="CK262" s="2" t="s">
        <v>720</v>
      </c>
      <c r="CL262" s="2" t="s">
        <v>3546</v>
      </c>
      <c r="CM262" s="39">
        <v>5</v>
      </c>
      <c r="CN262" s="2" t="str">
        <f t="shared" si="20"/>
        <v>TADigital NA | Management - Associate Practice Director</v>
      </c>
      <c r="CO262" s="2" t="str">
        <f t="shared" si="25"/>
        <v>TADigital India Consulting | Cloud &amp; Engineering - L2 / B1-B3 | Associate Engineer</v>
      </c>
      <c r="CP262" s="1579">
        <v>290</v>
      </c>
      <c r="CQ262" s="1579">
        <v>140</v>
      </c>
      <c r="CR262" s="1579">
        <v>105</v>
      </c>
      <c r="CS262" s="1579">
        <f t="shared" si="21"/>
        <v>45.1</v>
      </c>
      <c r="CT262" s="1579">
        <v>55</v>
      </c>
      <c r="CU262" s="2">
        <f t="shared" si="22"/>
        <v>13</v>
      </c>
      <c r="CV262" s="2" t="str">
        <f t="shared" ref="CV262:CV325" si="26">_xlfn.XLOOKUP(CN262,$F$205:$F$287,TADNorthAmerica,"X",1)</f>
        <v>Management - Associate Practice Director</v>
      </c>
      <c r="CW262" s="2" t="str">
        <f>_xlfn.XLOOKUP(CL262,'[1]Rates &amp; Drop Downs INT'!D$373:D$430,'[1]Rates &amp; Drop Downs INT'!C$373:C$430,"X",1)</f>
        <v>Cloud &amp; Engineering - 2 | Associate Engineer</v>
      </c>
    </row>
    <row r="263" spans="2:101" ht="13.05" customHeight="1" x14ac:dyDescent="0.25">
      <c r="B263" s="346" t="s">
        <v>430</v>
      </c>
      <c r="C263" s="346" t="s">
        <v>546</v>
      </c>
      <c r="D263" s="346"/>
      <c r="E263" s="346" t="s">
        <v>546</v>
      </c>
      <c r="F263" s="346" t="s">
        <v>547</v>
      </c>
      <c r="G263" s="347">
        <v>105</v>
      </c>
      <c r="H263" s="346" t="s">
        <v>119</v>
      </c>
      <c r="I263" s="348">
        <v>190</v>
      </c>
      <c r="J263" s="353"/>
      <c r="CG263" s="2" t="s">
        <v>262</v>
      </c>
      <c r="CH263" s="2" t="s">
        <v>262</v>
      </c>
      <c r="CI263" s="2" t="s">
        <v>1172</v>
      </c>
      <c r="CJ263" s="2" t="s">
        <v>3415</v>
      </c>
      <c r="CK263" s="2" t="s">
        <v>3352</v>
      </c>
      <c r="CL263" s="2" t="s">
        <v>3549</v>
      </c>
      <c r="CM263" s="39">
        <v>5</v>
      </c>
      <c r="CN263" s="2" t="str">
        <f t="shared" ref="CN263:CN326" si="27">_xlfn.XLOOKUP(CP263,$I$205:$I$287,$F$205:$F$287,"X",1)</f>
        <v>TADigital NA | Management - Practice Director / Delivery Director</v>
      </c>
      <c r="CO263" s="2" t="str">
        <f t="shared" si="25"/>
        <v>TADigital India Consulting | Cloud &amp; Engineering - L2 / B1-B3 | Associate Engineer</v>
      </c>
      <c r="CP263" s="1579">
        <v>315</v>
      </c>
      <c r="CQ263" s="1579">
        <v>165</v>
      </c>
      <c r="CR263" s="1579">
        <v>115</v>
      </c>
      <c r="CS263" s="1579">
        <f t="shared" ref="CS263:CS326" si="28">CT263*(1-0.18)</f>
        <v>45.1</v>
      </c>
      <c r="CT263" s="1579">
        <v>55</v>
      </c>
      <c r="CU263" s="2">
        <f t="shared" ref="CU263:CU326" si="29">_xlfn.XLOOKUP(CW263,$C$373:$C$430,$G$373:$G$430,"X",1)</f>
        <v>13</v>
      </c>
      <c r="CV263" s="2" t="str">
        <f t="shared" si="26"/>
        <v>Management - Practice Director / Delivery Director</v>
      </c>
      <c r="CW263" s="2" t="str">
        <f>_xlfn.XLOOKUP(CL263,'[1]Rates &amp; Drop Downs INT'!D$373:D$430,'[1]Rates &amp; Drop Downs INT'!C$373:C$430,"X",1)</f>
        <v>Cloud &amp; Engineering - 2 | Associate Engineer</v>
      </c>
    </row>
    <row r="264" spans="2:101" ht="13.05" customHeight="1" x14ac:dyDescent="0.25">
      <c r="B264" s="4" t="s">
        <v>430</v>
      </c>
      <c r="C264" s="4" t="s">
        <v>548</v>
      </c>
      <c r="D264" s="4"/>
      <c r="E264" s="4" t="s">
        <v>548</v>
      </c>
      <c r="F264" s="4" t="s">
        <v>549</v>
      </c>
      <c r="G264" s="343">
        <v>107.5</v>
      </c>
      <c r="H264" s="4" t="s">
        <v>119</v>
      </c>
      <c r="I264" s="344">
        <v>210</v>
      </c>
      <c r="J264" s="345"/>
      <c r="CG264" s="2" t="s">
        <v>262</v>
      </c>
      <c r="CH264" s="2" t="s">
        <v>262</v>
      </c>
      <c r="CI264" s="2" t="s">
        <v>1172</v>
      </c>
      <c r="CJ264" s="2" t="s">
        <v>3415</v>
      </c>
      <c r="CK264" s="2" t="s">
        <v>3354</v>
      </c>
      <c r="CL264" s="2" t="s">
        <v>3549</v>
      </c>
      <c r="CM264" s="39">
        <v>5</v>
      </c>
      <c r="CN264" s="2" t="str">
        <f t="shared" si="27"/>
        <v>TADigital NA | Management - Sr. Practice Director / Sr. Delivery Director</v>
      </c>
      <c r="CO264" s="2" t="str">
        <f t="shared" si="25"/>
        <v>TADigital India Consulting | Cloud &amp; Engineering - L2 / B1-B3 | Associate Engineer</v>
      </c>
      <c r="CP264" s="1579">
        <v>340</v>
      </c>
      <c r="CQ264" s="1579">
        <v>170</v>
      </c>
      <c r="CR264" s="1579">
        <v>125</v>
      </c>
      <c r="CS264" s="1579">
        <f t="shared" si="28"/>
        <v>49.2</v>
      </c>
      <c r="CT264" s="1579">
        <v>60</v>
      </c>
      <c r="CU264" s="2">
        <f t="shared" si="29"/>
        <v>13</v>
      </c>
      <c r="CV264" s="2" t="str">
        <f t="shared" si="26"/>
        <v>Management - Sr. Practice Director / Sr. Delivery Director</v>
      </c>
      <c r="CW264" s="2" t="str">
        <f>_xlfn.XLOOKUP(CL264,'[1]Rates &amp; Drop Downs INT'!D$373:D$430,'[1]Rates &amp; Drop Downs INT'!C$373:C$430,"X",1)</f>
        <v>Cloud &amp; Engineering - 2 | Associate Engineer</v>
      </c>
    </row>
    <row r="265" spans="2:101" ht="13.05" customHeight="1" x14ac:dyDescent="0.25">
      <c r="B265" s="346" t="s">
        <v>430</v>
      </c>
      <c r="C265" s="346" t="s">
        <v>550</v>
      </c>
      <c r="D265" s="346"/>
      <c r="E265" s="346" t="s">
        <v>550</v>
      </c>
      <c r="F265" s="346" t="s">
        <v>551</v>
      </c>
      <c r="G265" s="347">
        <v>115.5</v>
      </c>
      <c r="H265" s="346" t="s">
        <v>119</v>
      </c>
      <c r="I265" s="348">
        <v>235</v>
      </c>
      <c r="J265" s="353"/>
      <c r="CG265" s="2" t="s">
        <v>262</v>
      </c>
      <c r="CH265" s="2" t="s">
        <v>262</v>
      </c>
      <c r="CI265" s="2" t="s">
        <v>1172</v>
      </c>
      <c r="CJ265" s="2" t="s">
        <v>3415</v>
      </c>
      <c r="CK265" s="2" t="s">
        <v>3353</v>
      </c>
      <c r="CL265" s="2" t="s">
        <v>3549</v>
      </c>
      <c r="CM265" s="39">
        <v>6</v>
      </c>
      <c r="CN265" s="2" t="str">
        <f t="shared" si="27"/>
        <v>TADigital NA | Management - Practice VP / Delivery VP</v>
      </c>
      <c r="CO265" s="2" t="str">
        <f t="shared" si="25"/>
        <v>TADigital India Consulting | Cloud &amp; Engineering - L2 / B1-B3 | Associate Engineer</v>
      </c>
      <c r="CP265" s="1579">
        <v>370</v>
      </c>
      <c r="CQ265" s="1579">
        <v>172.5</v>
      </c>
      <c r="CR265" s="1579">
        <v>135</v>
      </c>
      <c r="CS265" s="1579">
        <f t="shared" si="28"/>
        <v>51.250000000000007</v>
      </c>
      <c r="CT265" s="1579">
        <v>62.5</v>
      </c>
      <c r="CU265" s="2">
        <f t="shared" si="29"/>
        <v>13</v>
      </c>
      <c r="CV265" s="2" t="str">
        <f t="shared" si="26"/>
        <v>Management - Practice VP / Delivery VP</v>
      </c>
      <c r="CW265" s="2" t="str">
        <f>_xlfn.XLOOKUP(CL265,'[1]Rates &amp; Drop Downs INT'!D$373:D$430,'[1]Rates &amp; Drop Downs INT'!C$373:C$430,"X",1)</f>
        <v>Cloud &amp; Engineering - 2 | Associate Engineer</v>
      </c>
    </row>
    <row r="266" spans="2:101" ht="13.05" customHeight="1" x14ac:dyDescent="0.25">
      <c r="B266" s="4" t="s">
        <v>430</v>
      </c>
      <c r="C266" s="4" t="s">
        <v>552</v>
      </c>
      <c r="D266" s="4"/>
      <c r="E266" s="4" t="s">
        <v>552</v>
      </c>
      <c r="F266" s="4" t="s">
        <v>553</v>
      </c>
      <c r="G266" s="343">
        <v>162.5</v>
      </c>
      <c r="H266" s="4" t="s">
        <v>119</v>
      </c>
      <c r="I266" s="344">
        <v>275</v>
      </c>
      <c r="J266" s="345"/>
      <c r="CG266" s="2" t="s">
        <v>262</v>
      </c>
      <c r="CH266" s="2" t="s">
        <v>262</v>
      </c>
      <c r="CI266" s="2" t="s">
        <v>1207</v>
      </c>
      <c r="CJ266" s="2" t="s">
        <v>3336</v>
      </c>
      <c r="CK266" s="2" t="s">
        <v>3363</v>
      </c>
      <c r="CL266" s="2">
        <v>0</v>
      </c>
      <c r="CM266" s="39">
        <v>2</v>
      </c>
      <c r="CN266" s="2" t="str">
        <f t="shared" si="27"/>
        <v>TADigital NA Consulting | Content &amp; SEO - Associate Web Content Analyst</v>
      </c>
      <c r="CO266" s="2" t="str">
        <f t="shared" si="25"/>
        <v>TADigital India Consulting | Cloud &amp; Engineering - L2 / B1-B3 | Associate Engineer</v>
      </c>
      <c r="CP266" s="1579">
        <v>0</v>
      </c>
      <c r="CQ266" s="1579">
        <v>0</v>
      </c>
      <c r="CR266" s="1579">
        <v>35</v>
      </c>
      <c r="CS266" s="1579">
        <f t="shared" si="28"/>
        <v>10.66</v>
      </c>
      <c r="CT266" s="1579">
        <v>13</v>
      </c>
      <c r="CU266" s="2">
        <f t="shared" si="29"/>
        <v>13</v>
      </c>
      <c r="CV266" s="2" t="str">
        <f t="shared" si="26"/>
        <v>Content &amp; SEO - Associate Web Content Analyst</v>
      </c>
      <c r="CW266" s="2" t="str">
        <f>_xlfn.XLOOKUP(CL266,'[1]Rates &amp; Drop Downs INT'!D$373:D$430,'[1]Rates &amp; Drop Downs INT'!C$373:C$430,"X",1)</f>
        <v>Cloud &amp; Engineering - 2 | Associate Engineer</v>
      </c>
    </row>
    <row r="267" spans="2:101" ht="13.05" customHeight="1" x14ac:dyDescent="0.25">
      <c r="B267" s="346" t="s">
        <v>430</v>
      </c>
      <c r="C267" s="346" t="s">
        <v>554</v>
      </c>
      <c r="D267" s="346"/>
      <c r="E267" s="346" t="s">
        <v>554</v>
      </c>
      <c r="F267" s="346" t="s">
        <v>555</v>
      </c>
      <c r="G267" s="347">
        <v>162.5</v>
      </c>
      <c r="H267" s="346" t="s">
        <v>119</v>
      </c>
      <c r="I267" s="348">
        <v>275</v>
      </c>
      <c r="J267" s="353"/>
      <c r="CG267" s="2" t="s">
        <v>262</v>
      </c>
      <c r="CH267" s="2" t="s">
        <v>262</v>
      </c>
      <c r="CI267" s="2" t="s">
        <v>1207</v>
      </c>
      <c r="CJ267" s="2" t="s">
        <v>3336</v>
      </c>
      <c r="CK267" s="2" t="s">
        <v>720</v>
      </c>
      <c r="CL267" s="2" t="s">
        <v>3546</v>
      </c>
      <c r="CM267" s="39">
        <v>5</v>
      </c>
      <c r="CN267" s="2" t="str">
        <f t="shared" si="27"/>
        <v>TADigital NA | Management - Associate Practice Director</v>
      </c>
      <c r="CO267" s="2" t="str">
        <f t="shared" si="25"/>
        <v>TADigital India Consulting | Cloud &amp; Engineering - L2 / B1-B3 | Associate Engineer</v>
      </c>
      <c r="CP267" s="1579">
        <v>290</v>
      </c>
      <c r="CQ267" s="1579">
        <v>140</v>
      </c>
      <c r="CR267" s="1579">
        <v>105</v>
      </c>
      <c r="CS267" s="1579">
        <f t="shared" si="28"/>
        <v>45.1</v>
      </c>
      <c r="CT267" s="1579">
        <v>55</v>
      </c>
      <c r="CU267" s="2">
        <f t="shared" si="29"/>
        <v>13</v>
      </c>
      <c r="CV267" s="2" t="str">
        <f t="shared" si="26"/>
        <v>Management - Associate Practice Director</v>
      </c>
      <c r="CW267" s="2" t="str">
        <f>_xlfn.XLOOKUP(CL267,'[1]Rates &amp; Drop Downs INT'!D$373:D$430,'[1]Rates &amp; Drop Downs INT'!C$373:C$430,"X",1)</f>
        <v>Cloud &amp; Engineering - 2 | Associate Engineer</v>
      </c>
    </row>
    <row r="268" spans="2:101" ht="13.05" customHeight="1" x14ac:dyDescent="0.25">
      <c r="B268" s="4" t="s">
        <v>430</v>
      </c>
      <c r="C268" s="4" t="s">
        <v>556</v>
      </c>
      <c r="D268" s="4"/>
      <c r="E268" s="4" t="s">
        <v>556</v>
      </c>
      <c r="F268" s="4" t="s">
        <v>557</v>
      </c>
      <c r="G268" s="343">
        <v>162.5</v>
      </c>
      <c r="H268" s="4" t="s">
        <v>119</v>
      </c>
      <c r="I268" s="344">
        <v>290</v>
      </c>
      <c r="J268" s="345"/>
      <c r="CG268" s="2" t="s">
        <v>262</v>
      </c>
      <c r="CH268" s="2" t="s">
        <v>262</v>
      </c>
      <c r="CI268" s="2" t="s">
        <v>1207</v>
      </c>
      <c r="CJ268" s="2" t="s">
        <v>3336</v>
      </c>
      <c r="CK268" s="2" t="s">
        <v>580</v>
      </c>
      <c r="CL268" s="2" t="s">
        <v>3551</v>
      </c>
      <c r="CM268" s="39">
        <v>4</v>
      </c>
      <c r="CN268" s="2" t="str">
        <f t="shared" si="27"/>
        <v>TADigital NA Consulting - Sr. Project Manager</v>
      </c>
      <c r="CO268" s="2" t="str">
        <f t="shared" si="25"/>
        <v>TADigital India Consulting | Cloud &amp; Engineering - L2 / B1-B3 | Associate Engineer</v>
      </c>
      <c r="CP268" s="1579">
        <v>235</v>
      </c>
      <c r="CQ268" s="1579">
        <v>120</v>
      </c>
      <c r="CR268" s="1579">
        <v>90</v>
      </c>
      <c r="CS268" s="1579">
        <f t="shared" si="28"/>
        <v>36.900000000000006</v>
      </c>
      <c r="CT268" s="1579">
        <v>45</v>
      </c>
      <c r="CU268" s="2">
        <f t="shared" si="29"/>
        <v>13</v>
      </c>
      <c r="CV268" s="2" t="str">
        <f t="shared" si="26"/>
        <v>Sr. Project Manager</v>
      </c>
      <c r="CW268" s="2" t="str">
        <f>_xlfn.XLOOKUP(CL268,'[1]Rates &amp; Drop Downs INT'!D$373:D$430,'[1]Rates &amp; Drop Downs INT'!C$373:C$430,"X",1)</f>
        <v>Cloud &amp; Engineering - 2 | Associate Engineer</v>
      </c>
    </row>
    <row r="269" spans="2:101" ht="13.05" customHeight="1" x14ac:dyDescent="0.25">
      <c r="B269" s="346" t="s">
        <v>430</v>
      </c>
      <c r="C269" s="346" t="s">
        <v>558</v>
      </c>
      <c r="D269" s="346"/>
      <c r="E269" s="346" t="s">
        <v>558</v>
      </c>
      <c r="F269" s="346" t="s">
        <v>559</v>
      </c>
      <c r="G269" s="347">
        <v>162.5</v>
      </c>
      <c r="H269" s="346" t="s">
        <v>119</v>
      </c>
      <c r="I269" s="348">
        <v>315</v>
      </c>
      <c r="J269" s="353"/>
      <c r="CG269" s="2" t="s">
        <v>262</v>
      </c>
      <c r="CH269" s="2" t="s">
        <v>262</v>
      </c>
      <c r="CI269" s="2" t="s">
        <v>1207</v>
      </c>
      <c r="CJ269" s="2" t="s">
        <v>3336</v>
      </c>
      <c r="CK269" s="2" t="s">
        <v>329</v>
      </c>
      <c r="CL269" s="2" t="s">
        <v>3552</v>
      </c>
      <c r="CM269" s="39">
        <v>2</v>
      </c>
      <c r="CN269" s="2" t="str">
        <f t="shared" si="27"/>
        <v>TADigital NA Digital - DevOps Engineer</v>
      </c>
      <c r="CO269" s="2" t="str">
        <f t="shared" si="25"/>
        <v>TADigital India Consulting | Cloud &amp; Engineering - L2 / B1-B3 | Associate Engineer</v>
      </c>
      <c r="CP269" s="1579">
        <v>130</v>
      </c>
      <c r="CQ269" s="1579">
        <v>70</v>
      </c>
      <c r="CR269" s="1579">
        <v>55</v>
      </c>
      <c r="CS269" s="1579">
        <f t="shared" si="28"/>
        <v>14.760000000000002</v>
      </c>
      <c r="CT269" s="1579">
        <v>18</v>
      </c>
      <c r="CU269" s="2">
        <f t="shared" si="29"/>
        <v>13</v>
      </c>
      <c r="CV269" s="2" t="str">
        <f t="shared" si="26"/>
        <v>DevOps Engineer</v>
      </c>
      <c r="CW269" s="2" t="str">
        <f>_xlfn.XLOOKUP(CL269,'[1]Rates &amp; Drop Downs INT'!D$373:D$430,'[1]Rates &amp; Drop Downs INT'!C$373:C$430,"X",1)</f>
        <v>Cloud &amp; Engineering - 2 | Associate Engineer</v>
      </c>
    </row>
    <row r="270" spans="2:101" ht="13.05" customHeight="1" x14ac:dyDescent="0.25">
      <c r="B270" s="4" t="s">
        <v>430</v>
      </c>
      <c r="C270" s="4" t="s">
        <v>560</v>
      </c>
      <c r="D270" s="4"/>
      <c r="E270" s="4" t="s">
        <v>560</v>
      </c>
      <c r="F270" s="4" t="s">
        <v>561</v>
      </c>
      <c r="G270" s="343">
        <v>207.5</v>
      </c>
      <c r="H270" s="4" t="s">
        <v>119</v>
      </c>
      <c r="I270" s="344">
        <v>370</v>
      </c>
      <c r="J270" s="345"/>
      <c r="CG270" s="2" t="s">
        <v>262</v>
      </c>
      <c r="CH270" s="2" t="s">
        <v>262</v>
      </c>
      <c r="CI270" s="2" t="s">
        <v>1207</v>
      </c>
      <c r="CJ270" s="2" t="s">
        <v>3336</v>
      </c>
      <c r="CK270" s="2" t="s">
        <v>578</v>
      </c>
      <c r="CL270" s="2" t="s">
        <v>3553</v>
      </c>
      <c r="CM270" s="39">
        <v>3</v>
      </c>
      <c r="CN270" s="2" t="str">
        <f t="shared" si="27"/>
        <v>TADigital NA Digital - Technical Lead</v>
      </c>
      <c r="CO270" s="2" t="str">
        <f t="shared" si="25"/>
        <v>TADigital India Consulting | Cloud &amp; Engineering - L2 / B1-B3 | Associate Engineer</v>
      </c>
      <c r="CP270" s="1579">
        <v>185</v>
      </c>
      <c r="CQ270" s="1579">
        <v>105</v>
      </c>
      <c r="CR270" s="1579">
        <v>80</v>
      </c>
      <c r="CS270" s="1579">
        <f t="shared" si="28"/>
        <v>22.55</v>
      </c>
      <c r="CT270" s="1579">
        <v>27.5</v>
      </c>
      <c r="CU270" s="2">
        <f t="shared" si="29"/>
        <v>13</v>
      </c>
      <c r="CV270" s="2" t="str">
        <f t="shared" si="26"/>
        <v>Technical Lead</v>
      </c>
      <c r="CW270" s="2" t="str">
        <f>_xlfn.XLOOKUP(CL270,'[1]Rates &amp; Drop Downs INT'!D$373:D$430,'[1]Rates &amp; Drop Downs INT'!C$373:C$430,"X",1)</f>
        <v>Cloud &amp; Engineering - 2 | Associate Engineer</v>
      </c>
    </row>
    <row r="271" spans="2:101" ht="13.05" customHeight="1" x14ac:dyDescent="0.25">
      <c r="B271" s="346" t="s">
        <v>430</v>
      </c>
      <c r="C271" s="346" t="s">
        <v>380</v>
      </c>
      <c r="D271" s="346"/>
      <c r="E271" s="346" t="s">
        <v>380</v>
      </c>
      <c r="F271" s="346" t="s">
        <v>562</v>
      </c>
      <c r="G271" s="347">
        <v>97.5</v>
      </c>
      <c r="H271" s="346" t="s">
        <v>119</v>
      </c>
      <c r="I271" s="348">
        <v>160</v>
      </c>
      <c r="J271" s="353"/>
      <c r="CG271" s="2" t="s">
        <v>262</v>
      </c>
      <c r="CH271" s="2" t="s">
        <v>262</v>
      </c>
      <c r="CI271" s="2" t="s">
        <v>1207</v>
      </c>
      <c r="CJ271" s="2" t="s">
        <v>3336</v>
      </c>
      <c r="CK271" s="2" t="s">
        <v>582</v>
      </c>
      <c r="CL271" s="2">
        <v>0</v>
      </c>
      <c r="CM271" s="39">
        <v>5</v>
      </c>
      <c r="CN271" s="2" t="str">
        <f t="shared" si="27"/>
        <v>TADigital NA Consulting - Delivery Manager</v>
      </c>
      <c r="CO271" s="2" t="str">
        <f t="shared" si="25"/>
        <v>TADigital India Consulting | Cloud &amp; Engineering - L2 / B1-B3 | Associate Engineer</v>
      </c>
      <c r="CP271" s="1579">
        <v>265</v>
      </c>
      <c r="CQ271" s="1579">
        <v>132.5</v>
      </c>
      <c r="CR271" s="1579">
        <v>105</v>
      </c>
      <c r="CS271" s="1579">
        <f t="shared" si="28"/>
        <v>41</v>
      </c>
      <c r="CT271" s="1579">
        <v>50</v>
      </c>
      <c r="CU271" s="2">
        <f t="shared" si="29"/>
        <v>13</v>
      </c>
      <c r="CV271" s="2" t="str">
        <f t="shared" si="26"/>
        <v>Delivery Manager</v>
      </c>
      <c r="CW271" s="2" t="str">
        <f>_xlfn.XLOOKUP(CL271,'[1]Rates &amp; Drop Downs INT'!D$373:D$430,'[1]Rates &amp; Drop Downs INT'!C$373:C$430,"X",1)</f>
        <v>Cloud &amp; Engineering - 2 | Associate Engineer</v>
      </c>
    </row>
    <row r="272" spans="2:101" ht="13.05" customHeight="1" x14ac:dyDescent="0.25">
      <c r="B272" s="4" t="s">
        <v>430</v>
      </c>
      <c r="C272" s="4" t="s">
        <v>563</v>
      </c>
      <c r="D272" s="4"/>
      <c r="E272" s="4" t="s">
        <v>563</v>
      </c>
      <c r="F272" s="4" t="s">
        <v>564</v>
      </c>
      <c r="G272" s="343">
        <v>105</v>
      </c>
      <c r="H272" s="4" t="s">
        <v>119</v>
      </c>
      <c r="I272" s="344">
        <v>185</v>
      </c>
      <c r="J272" s="345"/>
      <c r="CG272" s="2" t="s">
        <v>262</v>
      </c>
      <c r="CH272" s="2" t="s">
        <v>262</v>
      </c>
      <c r="CI272" s="2" t="s">
        <v>1207</v>
      </c>
      <c r="CJ272" s="2" t="s">
        <v>3336</v>
      </c>
      <c r="CK272" s="2" t="s">
        <v>3352</v>
      </c>
      <c r="CL272" s="2" t="s">
        <v>3549</v>
      </c>
      <c r="CM272" s="39">
        <v>5</v>
      </c>
      <c r="CN272" s="2" t="str">
        <f t="shared" si="27"/>
        <v>TADigital NA | Management - Practice Director / Delivery Director</v>
      </c>
      <c r="CO272" s="2" t="str">
        <f t="shared" si="25"/>
        <v>TADigital India Consulting | Cloud &amp; Engineering - L2 / B1-B3 | Associate Engineer</v>
      </c>
      <c r="CP272" s="1579">
        <v>315</v>
      </c>
      <c r="CQ272" s="1579">
        <v>165</v>
      </c>
      <c r="CR272" s="1579">
        <v>115</v>
      </c>
      <c r="CS272" s="1579">
        <f t="shared" si="28"/>
        <v>45.1</v>
      </c>
      <c r="CT272" s="1579">
        <v>55</v>
      </c>
      <c r="CU272" s="2">
        <f t="shared" si="29"/>
        <v>13</v>
      </c>
      <c r="CV272" s="2" t="str">
        <f t="shared" si="26"/>
        <v>Management - Practice Director / Delivery Director</v>
      </c>
      <c r="CW272" s="2" t="str">
        <f>_xlfn.XLOOKUP(CL272,'[1]Rates &amp; Drop Downs INT'!D$373:D$430,'[1]Rates &amp; Drop Downs INT'!C$373:C$430,"X",1)</f>
        <v>Cloud &amp; Engineering - 2 | Associate Engineer</v>
      </c>
    </row>
    <row r="273" spans="2:101" ht="13.05" customHeight="1" x14ac:dyDescent="0.25">
      <c r="B273" s="346" t="s">
        <v>430</v>
      </c>
      <c r="C273" s="346" t="s">
        <v>565</v>
      </c>
      <c r="D273" s="346"/>
      <c r="E273" s="346" t="s">
        <v>565</v>
      </c>
      <c r="F273" s="346" t="s">
        <v>566</v>
      </c>
      <c r="G273" s="347">
        <v>107.5</v>
      </c>
      <c r="H273" s="346" t="s">
        <v>119</v>
      </c>
      <c r="I273" s="348">
        <v>195</v>
      </c>
      <c r="J273" s="353"/>
      <c r="CG273" s="2" t="s">
        <v>262</v>
      </c>
      <c r="CH273" s="2" t="s">
        <v>262</v>
      </c>
      <c r="CI273" s="2" t="s">
        <v>1207</v>
      </c>
      <c r="CJ273" s="2" t="s">
        <v>3336</v>
      </c>
      <c r="CK273" s="2" t="s">
        <v>446</v>
      </c>
      <c r="CL273" s="2" t="s">
        <v>3546</v>
      </c>
      <c r="CM273" s="39">
        <v>4</v>
      </c>
      <c r="CN273" s="2" t="str">
        <f t="shared" si="27"/>
        <v>TADigital NA Consulting - Sr. Project Manager</v>
      </c>
      <c r="CO273" s="2" t="str">
        <f t="shared" si="25"/>
        <v>TADigital India Consulting | Cloud &amp; Engineering - L2 / B1-B3 | Associate Engineer</v>
      </c>
      <c r="CP273" s="1579">
        <v>235</v>
      </c>
      <c r="CQ273" s="1579">
        <v>130</v>
      </c>
      <c r="CR273" s="1579">
        <v>80</v>
      </c>
      <c r="CS273" s="1579">
        <f t="shared" si="28"/>
        <v>38.950000000000003</v>
      </c>
      <c r="CT273" s="1579">
        <v>47.5</v>
      </c>
      <c r="CU273" s="2">
        <f t="shared" si="29"/>
        <v>13</v>
      </c>
      <c r="CV273" s="2" t="str">
        <f t="shared" si="26"/>
        <v>Sr. Project Manager</v>
      </c>
      <c r="CW273" s="2" t="str">
        <f>_xlfn.XLOOKUP(CL273,'[1]Rates &amp; Drop Downs INT'!D$373:D$430,'[1]Rates &amp; Drop Downs INT'!C$373:C$430,"X",1)</f>
        <v>Cloud &amp; Engineering - 2 | Associate Engineer</v>
      </c>
    </row>
    <row r="274" spans="2:101" ht="13.05" customHeight="1" x14ac:dyDescent="0.25">
      <c r="B274" s="4" t="s">
        <v>430</v>
      </c>
      <c r="C274" s="4" t="s">
        <v>567</v>
      </c>
      <c r="D274" s="4"/>
      <c r="E274" s="4" t="s">
        <v>567</v>
      </c>
      <c r="F274" s="4" t="s">
        <v>568</v>
      </c>
      <c r="G274" s="343">
        <v>75</v>
      </c>
      <c r="H274" s="4" t="s">
        <v>119</v>
      </c>
      <c r="I274" s="344">
        <v>125</v>
      </c>
      <c r="J274" s="345"/>
      <c r="CG274" s="2" t="s">
        <v>262</v>
      </c>
      <c r="CH274" s="2" t="s">
        <v>262</v>
      </c>
      <c r="CI274" s="2" t="s">
        <v>1207</v>
      </c>
      <c r="CJ274" s="2" t="s">
        <v>3336</v>
      </c>
      <c r="CK274" s="2" t="s">
        <v>3353</v>
      </c>
      <c r="CL274" s="2" t="s">
        <v>3549</v>
      </c>
      <c r="CM274" s="39">
        <v>6</v>
      </c>
      <c r="CN274" s="2" t="str">
        <f t="shared" si="27"/>
        <v>TADigital NA | Management - Practice VP / Delivery VP</v>
      </c>
      <c r="CO274" s="2" t="str">
        <f t="shared" si="25"/>
        <v>TADigital India Consulting | Cloud &amp; Engineering - L2 / B1-B3 | Associate Engineer</v>
      </c>
      <c r="CP274" s="1579">
        <v>370</v>
      </c>
      <c r="CQ274" s="1579">
        <v>172.5</v>
      </c>
      <c r="CR274" s="1579">
        <v>135</v>
      </c>
      <c r="CS274" s="1579">
        <f t="shared" si="28"/>
        <v>51.250000000000007</v>
      </c>
      <c r="CT274" s="1579">
        <v>62.5</v>
      </c>
      <c r="CU274" s="2">
        <f t="shared" si="29"/>
        <v>13</v>
      </c>
      <c r="CV274" s="2" t="str">
        <f t="shared" si="26"/>
        <v>Management - Practice VP / Delivery VP</v>
      </c>
      <c r="CW274" s="2" t="str">
        <f>_xlfn.XLOOKUP(CL274,'[1]Rates &amp; Drop Downs INT'!D$373:D$430,'[1]Rates &amp; Drop Downs INT'!C$373:C$430,"X",1)</f>
        <v>Cloud &amp; Engineering - 2 | Associate Engineer</v>
      </c>
    </row>
    <row r="275" spans="2:101" ht="13.05" customHeight="1" x14ac:dyDescent="0.25">
      <c r="B275" s="346" t="s">
        <v>430</v>
      </c>
      <c r="C275" s="346" t="s">
        <v>569</v>
      </c>
      <c r="D275" s="346"/>
      <c r="E275" s="346" t="s">
        <v>569</v>
      </c>
      <c r="F275" s="346" t="s">
        <v>570</v>
      </c>
      <c r="G275" s="347">
        <v>80</v>
      </c>
      <c r="H275" s="346" t="s">
        <v>119</v>
      </c>
      <c r="I275" s="348">
        <v>145</v>
      </c>
      <c r="J275" s="353"/>
      <c r="CG275" s="2" t="s">
        <v>262</v>
      </c>
      <c r="CH275" s="2" t="s">
        <v>262</v>
      </c>
      <c r="CI275" s="2" t="s">
        <v>1207</v>
      </c>
      <c r="CJ275" s="2" t="s">
        <v>3336</v>
      </c>
      <c r="CK275" s="2" t="s">
        <v>576</v>
      </c>
      <c r="CL275" s="2" t="s">
        <v>3554</v>
      </c>
      <c r="CM275" s="39">
        <v>2</v>
      </c>
      <c r="CN275" s="2" t="str">
        <f t="shared" si="27"/>
        <v>TADigital NA Consulting | Content &amp; SEO - Associate Content Strategist</v>
      </c>
      <c r="CO275" s="2" t="str">
        <f t="shared" si="25"/>
        <v>TADigital India Consulting | Cloud &amp; Engineering - L2 / B1-B3 | Associate Engineer</v>
      </c>
      <c r="CP275" s="1579">
        <v>160</v>
      </c>
      <c r="CQ275" s="1579">
        <v>80</v>
      </c>
      <c r="CR275" s="1579">
        <v>65</v>
      </c>
      <c r="CS275" s="1579">
        <f t="shared" si="28"/>
        <v>16.400000000000002</v>
      </c>
      <c r="CT275" s="1579">
        <v>20</v>
      </c>
      <c r="CU275" s="2">
        <f t="shared" si="29"/>
        <v>13</v>
      </c>
      <c r="CV275" s="2" t="str">
        <f t="shared" si="26"/>
        <v>Content &amp; SEO - Associate Content Strategist</v>
      </c>
      <c r="CW275" s="2" t="str">
        <f>_xlfn.XLOOKUP(CL275,'[1]Rates &amp; Drop Downs INT'!D$373:D$430,'[1]Rates &amp; Drop Downs INT'!C$373:C$430,"X",1)</f>
        <v>Cloud &amp; Engineering - 2 | Associate Engineer</v>
      </c>
    </row>
    <row r="276" spans="2:101" ht="13.05" customHeight="1" x14ac:dyDescent="0.25">
      <c r="B276" s="4" t="s">
        <v>430</v>
      </c>
      <c r="C276" s="4" t="s">
        <v>571</v>
      </c>
      <c r="D276" s="4"/>
      <c r="E276" s="4" t="s">
        <v>571</v>
      </c>
      <c r="F276" s="4" t="s">
        <v>572</v>
      </c>
      <c r="G276" s="343">
        <v>82.5</v>
      </c>
      <c r="H276" s="4" t="s">
        <v>119</v>
      </c>
      <c r="I276" s="344">
        <v>170</v>
      </c>
      <c r="J276" s="345"/>
      <c r="CG276" s="2" t="s">
        <v>262</v>
      </c>
      <c r="CH276" s="2" t="s">
        <v>262</v>
      </c>
      <c r="CI276" s="2" t="s">
        <v>1207</v>
      </c>
      <c r="CJ276" s="2" t="s">
        <v>3336</v>
      </c>
      <c r="CK276" s="2" t="s">
        <v>3354</v>
      </c>
      <c r="CL276" s="2" t="s">
        <v>3549</v>
      </c>
      <c r="CM276" s="39">
        <v>5</v>
      </c>
      <c r="CN276" s="2" t="str">
        <f t="shared" si="27"/>
        <v>TADigital NA | Management - Sr. Practice Director / Sr. Delivery Director</v>
      </c>
      <c r="CO276" s="2" t="str">
        <f t="shared" si="25"/>
        <v>TADigital India Consulting | Cloud &amp; Engineering - L2 / B1-B3 | Associate Engineer</v>
      </c>
      <c r="CP276" s="1579">
        <v>340</v>
      </c>
      <c r="CQ276" s="1579">
        <v>170</v>
      </c>
      <c r="CR276" s="1579">
        <v>125</v>
      </c>
      <c r="CS276" s="1579">
        <f t="shared" si="28"/>
        <v>49.2</v>
      </c>
      <c r="CT276" s="1579">
        <v>60</v>
      </c>
      <c r="CU276" s="2">
        <f t="shared" si="29"/>
        <v>13</v>
      </c>
      <c r="CV276" s="2" t="str">
        <f t="shared" si="26"/>
        <v>Management - Sr. Practice Director / Sr. Delivery Director</v>
      </c>
      <c r="CW276" s="2" t="str">
        <f>_xlfn.XLOOKUP(CL276,'[1]Rates &amp; Drop Downs INT'!D$373:D$430,'[1]Rates &amp; Drop Downs INT'!C$373:C$430,"X",1)</f>
        <v>Cloud &amp; Engineering - 2 | Associate Engineer</v>
      </c>
    </row>
    <row r="277" spans="2:101" ht="13.05" customHeight="1" x14ac:dyDescent="0.25">
      <c r="B277" s="346" t="s">
        <v>430</v>
      </c>
      <c r="C277" s="346" t="s">
        <v>573</v>
      </c>
      <c r="D277" s="346"/>
      <c r="E277" s="346" t="s">
        <v>573</v>
      </c>
      <c r="F277" s="346" t="s">
        <v>574</v>
      </c>
      <c r="G277" s="347">
        <v>85</v>
      </c>
      <c r="H277" s="346" t="s">
        <v>119</v>
      </c>
      <c r="I277" s="348">
        <v>190</v>
      </c>
      <c r="J277" s="353"/>
      <c r="CG277" s="2" t="s">
        <v>262</v>
      </c>
      <c r="CH277" s="2" t="s">
        <v>262</v>
      </c>
      <c r="CI277" s="2" t="s">
        <v>1207</v>
      </c>
      <c r="CJ277" s="2" t="s">
        <v>3336</v>
      </c>
      <c r="CK277" s="2" t="s">
        <v>448</v>
      </c>
      <c r="CL277" s="2" t="s">
        <v>3546</v>
      </c>
      <c r="CM277" s="39">
        <v>5</v>
      </c>
      <c r="CN277" s="2" t="str">
        <f t="shared" si="27"/>
        <v>TADigital NA Consulting - Delivery Manager</v>
      </c>
      <c r="CO277" s="2" t="str">
        <f t="shared" si="25"/>
        <v>TADigital India Consulting | Cloud &amp; Engineering - L2 / B1-B3 | Associate Engineer</v>
      </c>
      <c r="CP277" s="1579">
        <v>265</v>
      </c>
      <c r="CQ277" s="1579">
        <v>137.5</v>
      </c>
      <c r="CR277" s="1579">
        <v>90</v>
      </c>
      <c r="CS277" s="1579">
        <f t="shared" si="28"/>
        <v>38.950000000000003</v>
      </c>
      <c r="CT277" s="1579">
        <v>47.5</v>
      </c>
      <c r="CU277" s="2">
        <f t="shared" si="29"/>
        <v>13</v>
      </c>
      <c r="CV277" s="2" t="str">
        <f t="shared" si="26"/>
        <v>Delivery Manager</v>
      </c>
      <c r="CW277" s="2" t="str">
        <f>_xlfn.XLOOKUP(CL277,'[1]Rates &amp; Drop Downs INT'!D$373:D$430,'[1]Rates &amp; Drop Downs INT'!C$373:C$430,"X",1)</f>
        <v>Cloud &amp; Engineering - 2 | Associate Engineer</v>
      </c>
    </row>
    <row r="278" spans="2:101" ht="13.05" customHeight="1" x14ac:dyDescent="0.25">
      <c r="B278" s="4" t="s">
        <v>430</v>
      </c>
      <c r="C278" s="4" t="s">
        <v>329</v>
      </c>
      <c r="D278" s="4"/>
      <c r="E278" s="4" t="s">
        <v>329</v>
      </c>
      <c r="F278" s="4" t="s">
        <v>575</v>
      </c>
      <c r="G278" s="343">
        <v>70</v>
      </c>
      <c r="H278" s="4" t="s">
        <v>119</v>
      </c>
      <c r="I278" s="344">
        <v>130</v>
      </c>
      <c r="J278" s="345"/>
      <c r="CG278" s="2" t="s">
        <v>262</v>
      </c>
      <c r="CH278" s="2" t="s">
        <v>262</v>
      </c>
      <c r="CI278" s="2" t="s">
        <v>1208</v>
      </c>
      <c r="CJ278" s="2" t="s">
        <v>3337</v>
      </c>
      <c r="CK278" s="2" t="s">
        <v>720</v>
      </c>
      <c r="CL278" s="2" t="s">
        <v>3546</v>
      </c>
      <c r="CM278" s="39">
        <v>5</v>
      </c>
      <c r="CN278" s="2" t="str">
        <f t="shared" si="27"/>
        <v>TADigital NA | Management - Associate Practice Director</v>
      </c>
      <c r="CO278" s="2" t="str">
        <f t="shared" si="25"/>
        <v>TADigital India Consulting | Cloud &amp; Engineering - L2 / B1-B3 | Associate Engineer</v>
      </c>
      <c r="CP278" s="1579">
        <v>290</v>
      </c>
      <c r="CQ278" s="1579">
        <v>140</v>
      </c>
      <c r="CR278" s="1579">
        <v>105</v>
      </c>
      <c r="CS278" s="1579">
        <f t="shared" si="28"/>
        <v>45.1</v>
      </c>
      <c r="CT278" s="1579">
        <v>55</v>
      </c>
      <c r="CU278" s="2">
        <f t="shared" si="29"/>
        <v>13</v>
      </c>
      <c r="CV278" s="2" t="str">
        <f t="shared" si="26"/>
        <v>Management - Associate Practice Director</v>
      </c>
      <c r="CW278" s="2" t="str">
        <f>_xlfn.XLOOKUP(CL278,'[1]Rates &amp; Drop Downs INT'!D$373:D$430,'[1]Rates &amp; Drop Downs INT'!C$373:C$430,"X",1)</f>
        <v>Cloud &amp; Engineering - 2 | Associate Engineer</v>
      </c>
    </row>
    <row r="279" spans="2:101" ht="13.05" customHeight="1" x14ac:dyDescent="0.25">
      <c r="B279" s="346" t="s">
        <v>430</v>
      </c>
      <c r="C279" s="346" t="s">
        <v>576</v>
      </c>
      <c r="D279" s="346"/>
      <c r="E279" s="346" t="s">
        <v>576</v>
      </c>
      <c r="F279" s="346" t="s">
        <v>577</v>
      </c>
      <c r="G279" s="347">
        <v>80</v>
      </c>
      <c r="H279" s="346" t="s">
        <v>119</v>
      </c>
      <c r="I279" s="348">
        <v>160</v>
      </c>
      <c r="J279" s="353"/>
      <c r="CG279" s="2" t="s">
        <v>262</v>
      </c>
      <c r="CH279" s="2" t="s">
        <v>262</v>
      </c>
      <c r="CI279" s="2" t="s">
        <v>1208</v>
      </c>
      <c r="CJ279" s="2" t="s">
        <v>3337</v>
      </c>
      <c r="CK279" s="2" t="s">
        <v>3364</v>
      </c>
      <c r="CL279" s="2" t="s">
        <v>3545</v>
      </c>
      <c r="CM279" s="39">
        <v>2</v>
      </c>
      <c r="CN279" s="2" t="str">
        <f t="shared" si="27"/>
        <v>TADigital NA Consulting | Content &amp; SEO - Associate Web Content Analyst</v>
      </c>
      <c r="CO279" s="2" t="str">
        <f t="shared" si="25"/>
        <v>TADigital India Consulting | Cloud &amp; Engineering - L2 / B1-B3 | Associate Engineer</v>
      </c>
      <c r="CP279" s="1579">
        <v>0</v>
      </c>
      <c r="CQ279" s="1579">
        <v>0</v>
      </c>
      <c r="CR279" s="1579">
        <v>30</v>
      </c>
      <c r="CS279" s="1579">
        <f t="shared" si="28"/>
        <v>10.66</v>
      </c>
      <c r="CT279" s="1579">
        <v>13</v>
      </c>
      <c r="CU279" s="2">
        <f t="shared" si="29"/>
        <v>13</v>
      </c>
      <c r="CV279" s="2" t="str">
        <f t="shared" si="26"/>
        <v>Content &amp; SEO - Associate Web Content Analyst</v>
      </c>
      <c r="CW279" s="2" t="str">
        <f>_xlfn.XLOOKUP(CL279,'[1]Rates &amp; Drop Downs INT'!D$373:D$430,'[1]Rates &amp; Drop Downs INT'!C$373:C$430,"X",1)</f>
        <v>Cloud &amp; Engineering - 2 | Associate Engineer</v>
      </c>
    </row>
    <row r="280" spans="2:101" ht="13.05" customHeight="1" x14ac:dyDescent="0.25">
      <c r="B280" s="4" t="s">
        <v>430</v>
      </c>
      <c r="C280" s="4" t="s">
        <v>578</v>
      </c>
      <c r="D280" s="4"/>
      <c r="E280" s="4" t="s">
        <v>578</v>
      </c>
      <c r="F280" s="4" t="s">
        <v>579</v>
      </c>
      <c r="G280" s="343">
        <v>105</v>
      </c>
      <c r="H280" s="4" t="s">
        <v>119</v>
      </c>
      <c r="I280" s="344">
        <v>185</v>
      </c>
      <c r="J280" s="345"/>
      <c r="CG280" s="2" t="s">
        <v>262</v>
      </c>
      <c r="CH280" s="2" t="s">
        <v>262</v>
      </c>
      <c r="CI280" s="2" t="s">
        <v>1208</v>
      </c>
      <c r="CJ280" s="2" t="s">
        <v>3337</v>
      </c>
      <c r="CK280" s="2" t="s">
        <v>3352</v>
      </c>
      <c r="CL280" s="2" t="s">
        <v>3549</v>
      </c>
      <c r="CM280" s="39">
        <v>5</v>
      </c>
      <c r="CN280" s="2" t="str">
        <f t="shared" si="27"/>
        <v>TADigital NA | Management - Practice Director / Delivery Director</v>
      </c>
      <c r="CO280" s="2" t="str">
        <f t="shared" si="25"/>
        <v>TADigital India Consulting | Cloud &amp; Engineering - L2 / B1-B3 | Associate Engineer</v>
      </c>
      <c r="CP280" s="1579">
        <v>315</v>
      </c>
      <c r="CQ280" s="1579">
        <v>165</v>
      </c>
      <c r="CR280" s="1579">
        <v>115</v>
      </c>
      <c r="CS280" s="1579">
        <f t="shared" si="28"/>
        <v>45.1</v>
      </c>
      <c r="CT280" s="1579">
        <v>55</v>
      </c>
      <c r="CU280" s="2">
        <f t="shared" si="29"/>
        <v>13</v>
      </c>
      <c r="CV280" s="2" t="str">
        <f t="shared" si="26"/>
        <v>Management - Practice Director / Delivery Director</v>
      </c>
      <c r="CW280" s="2" t="str">
        <f>_xlfn.XLOOKUP(CL280,'[1]Rates &amp; Drop Downs INT'!D$373:D$430,'[1]Rates &amp; Drop Downs INT'!C$373:C$430,"X",1)</f>
        <v>Cloud &amp; Engineering - 2 | Associate Engineer</v>
      </c>
    </row>
    <row r="281" spans="2:101" ht="13.05" customHeight="1" x14ac:dyDescent="0.25">
      <c r="B281" s="346" t="s">
        <v>430</v>
      </c>
      <c r="C281" s="346" t="s">
        <v>580</v>
      </c>
      <c r="D281" s="346"/>
      <c r="E281" s="346" t="s">
        <v>580</v>
      </c>
      <c r="F281" s="346" t="s">
        <v>581</v>
      </c>
      <c r="G281" s="347">
        <v>120</v>
      </c>
      <c r="H281" s="346" t="s">
        <v>119</v>
      </c>
      <c r="I281" s="348">
        <v>235</v>
      </c>
      <c r="J281" s="353"/>
      <c r="CG281" s="2" t="s">
        <v>262</v>
      </c>
      <c r="CH281" s="2" t="s">
        <v>262</v>
      </c>
      <c r="CI281" s="2" t="s">
        <v>1208</v>
      </c>
      <c r="CJ281" s="2" t="s">
        <v>3337</v>
      </c>
      <c r="CK281" s="2" t="s">
        <v>3353</v>
      </c>
      <c r="CL281" s="2" t="s">
        <v>3549</v>
      </c>
      <c r="CM281" s="39">
        <v>6</v>
      </c>
      <c r="CN281" s="2" t="str">
        <f t="shared" si="27"/>
        <v>TADigital NA | Management - Practice VP / Delivery VP</v>
      </c>
      <c r="CO281" s="2" t="str">
        <f t="shared" si="25"/>
        <v>TADigital India Consulting | Cloud &amp; Engineering - L2 / B1-B3 | Associate Engineer</v>
      </c>
      <c r="CP281" s="1579">
        <v>370</v>
      </c>
      <c r="CQ281" s="1579">
        <v>172.5</v>
      </c>
      <c r="CR281" s="1579">
        <v>135</v>
      </c>
      <c r="CS281" s="1579">
        <f t="shared" si="28"/>
        <v>51.250000000000007</v>
      </c>
      <c r="CT281" s="1579">
        <v>62.5</v>
      </c>
      <c r="CU281" s="2">
        <f t="shared" si="29"/>
        <v>13</v>
      </c>
      <c r="CV281" s="2" t="str">
        <f t="shared" si="26"/>
        <v>Management - Practice VP / Delivery VP</v>
      </c>
      <c r="CW281" s="2" t="str">
        <f>_xlfn.XLOOKUP(CL281,'[1]Rates &amp; Drop Downs INT'!D$373:D$430,'[1]Rates &amp; Drop Downs INT'!C$373:C$430,"X",1)</f>
        <v>Cloud &amp; Engineering - 2 | Associate Engineer</v>
      </c>
    </row>
    <row r="282" spans="2:101" ht="13.05" customHeight="1" x14ac:dyDescent="0.25">
      <c r="B282" s="4" t="s">
        <v>430</v>
      </c>
      <c r="C282" s="4" t="s">
        <v>582</v>
      </c>
      <c r="D282" s="4"/>
      <c r="E282" s="4" t="s">
        <v>582</v>
      </c>
      <c r="F282" s="4" t="s">
        <v>583</v>
      </c>
      <c r="G282" s="343">
        <v>132.5</v>
      </c>
      <c r="H282" s="4" t="s">
        <v>119</v>
      </c>
      <c r="I282" s="344">
        <v>265</v>
      </c>
      <c r="J282" s="345"/>
      <c r="CG282" s="2" t="s">
        <v>262</v>
      </c>
      <c r="CH282" s="2" t="s">
        <v>262</v>
      </c>
      <c r="CI282" s="2" t="s">
        <v>1208</v>
      </c>
      <c r="CJ282" s="2" t="s">
        <v>3337</v>
      </c>
      <c r="CK282" s="2" t="s">
        <v>567</v>
      </c>
      <c r="CL282" s="2" t="s">
        <v>3555</v>
      </c>
      <c r="CM282" s="39">
        <v>2</v>
      </c>
      <c r="CN282" s="2" t="str">
        <f t="shared" si="27"/>
        <v>TADigital NA Consulting | Content &amp; SEO - Content Analyst</v>
      </c>
      <c r="CO282" s="2" t="str">
        <f t="shared" si="25"/>
        <v>TADigital India Consulting | Cloud &amp; Engineering - L2 / B1-B3 | Associate Engineer</v>
      </c>
      <c r="CP282" s="1579">
        <v>125</v>
      </c>
      <c r="CQ282" s="1579">
        <v>75</v>
      </c>
      <c r="CR282" s="1579">
        <v>40</v>
      </c>
      <c r="CS282" s="1579">
        <f t="shared" si="28"/>
        <v>14.760000000000002</v>
      </c>
      <c r="CT282" s="1579">
        <v>18</v>
      </c>
      <c r="CU282" s="2">
        <f t="shared" si="29"/>
        <v>13</v>
      </c>
      <c r="CV282" s="2" t="str">
        <f t="shared" si="26"/>
        <v>Content &amp; SEO - Content Analyst</v>
      </c>
      <c r="CW282" s="2" t="str">
        <f>_xlfn.XLOOKUP(CL282,'[1]Rates &amp; Drop Downs INT'!D$373:D$430,'[1]Rates &amp; Drop Downs INT'!C$373:C$430,"X",1)</f>
        <v>Cloud &amp; Engineering - 2 | Associate Engineer</v>
      </c>
    </row>
    <row r="283" spans="2:101" ht="13.05" customHeight="1" x14ac:dyDescent="0.25">
      <c r="B283" s="346" t="s">
        <v>430</v>
      </c>
      <c r="C283" s="346" t="s">
        <v>584</v>
      </c>
      <c r="D283" s="346"/>
      <c r="E283" s="346" t="s">
        <v>584</v>
      </c>
      <c r="F283" s="346" t="s">
        <v>585</v>
      </c>
      <c r="G283" s="347">
        <v>80</v>
      </c>
      <c r="H283" s="346" t="s">
        <v>119</v>
      </c>
      <c r="I283" s="348">
        <v>135</v>
      </c>
      <c r="J283" s="353"/>
      <c r="CG283" s="2" t="s">
        <v>262</v>
      </c>
      <c r="CH283" s="2" t="s">
        <v>262</v>
      </c>
      <c r="CI283" s="2" t="s">
        <v>1208</v>
      </c>
      <c r="CJ283" s="2" t="s">
        <v>3337</v>
      </c>
      <c r="CK283" s="2" t="s">
        <v>571</v>
      </c>
      <c r="CL283" s="2" t="s">
        <v>3556</v>
      </c>
      <c r="CM283" s="39">
        <v>3</v>
      </c>
      <c r="CN283" s="2" t="str">
        <f t="shared" si="27"/>
        <v>TADigital NA Consulting | Content &amp; SEO - Content Strategist</v>
      </c>
      <c r="CO283" s="2" t="str">
        <f t="shared" si="25"/>
        <v>TADigital India Consulting | Cloud &amp; Engineering - L2 / B1-B3 | Associate Engineer</v>
      </c>
      <c r="CP283" s="1579">
        <v>170</v>
      </c>
      <c r="CQ283" s="1579">
        <v>82.5</v>
      </c>
      <c r="CR283" s="1579">
        <v>70</v>
      </c>
      <c r="CS283" s="1579">
        <f t="shared" si="28"/>
        <v>20.5</v>
      </c>
      <c r="CT283" s="1579">
        <v>25</v>
      </c>
      <c r="CU283" s="2">
        <f t="shared" si="29"/>
        <v>13</v>
      </c>
      <c r="CV283" s="2" t="str">
        <f t="shared" si="26"/>
        <v>Content &amp; SEO - Content Strategist</v>
      </c>
      <c r="CW283" s="2" t="str">
        <f>_xlfn.XLOOKUP(CL283,'[1]Rates &amp; Drop Downs INT'!D$373:D$430,'[1]Rates &amp; Drop Downs INT'!C$373:C$430,"X",1)</f>
        <v>Cloud &amp; Engineering - 2 | Associate Engineer</v>
      </c>
    </row>
    <row r="284" spans="2:101" ht="13.05" customHeight="1" x14ac:dyDescent="0.25">
      <c r="B284" s="4" t="s">
        <v>430</v>
      </c>
      <c r="C284" s="4" t="s">
        <v>586</v>
      </c>
      <c r="D284" s="4"/>
      <c r="E284" s="4" t="s">
        <v>586</v>
      </c>
      <c r="F284" s="4" t="s">
        <v>587</v>
      </c>
      <c r="G284" s="343">
        <v>90</v>
      </c>
      <c r="H284" s="4" t="s">
        <v>119</v>
      </c>
      <c r="I284" s="344">
        <v>160</v>
      </c>
      <c r="J284" s="345"/>
      <c r="CG284" s="2" t="s">
        <v>262</v>
      </c>
      <c r="CH284" s="2" t="s">
        <v>262</v>
      </c>
      <c r="CI284" s="2" t="s">
        <v>1208</v>
      </c>
      <c r="CJ284" s="2" t="s">
        <v>3337</v>
      </c>
      <c r="CK284" s="2" t="s">
        <v>573</v>
      </c>
      <c r="CL284" s="2" t="s">
        <v>3557</v>
      </c>
      <c r="CM284" s="39">
        <v>4</v>
      </c>
      <c r="CN284" s="2" t="str">
        <f t="shared" si="27"/>
        <v>TADigital NA Consulting - Project Manager / Product Manager</v>
      </c>
      <c r="CO284" s="2" t="str">
        <f t="shared" si="25"/>
        <v>TADigital India Consulting | Cloud &amp; Engineering - L2 / B1-B3 | Associate Engineer</v>
      </c>
      <c r="CP284" s="1579">
        <v>190</v>
      </c>
      <c r="CQ284" s="1579">
        <v>85</v>
      </c>
      <c r="CR284" s="1579">
        <v>80</v>
      </c>
      <c r="CS284" s="1579">
        <f t="shared" si="28"/>
        <v>26.650000000000002</v>
      </c>
      <c r="CT284" s="1579">
        <v>32.5</v>
      </c>
      <c r="CU284" s="2">
        <f t="shared" si="29"/>
        <v>13</v>
      </c>
      <c r="CV284" s="2" t="str">
        <f t="shared" si="26"/>
        <v>Project Manager / Product Manager</v>
      </c>
      <c r="CW284" s="2" t="str">
        <f>_xlfn.XLOOKUP(CL284,'[1]Rates &amp; Drop Downs INT'!D$373:D$430,'[1]Rates &amp; Drop Downs INT'!C$373:C$430,"X",1)</f>
        <v>Cloud &amp; Engineering - 2 | Associate Engineer</v>
      </c>
    </row>
    <row r="285" spans="2:101" ht="13.05" customHeight="1" x14ac:dyDescent="0.25">
      <c r="B285" s="346" t="s">
        <v>430</v>
      </c>
      <c r="C285" s="346" t="s">
        <v>588</v>
      </c>
      <c r="D285" s="346"/>
      <c r="E285" s="346" t="s">
        <v>588</v>
      </c>
      <c r="F285" s="346" t="s">
        <v>589</v>
      </c>
      <c r="G285" s="347">
        <v>105</v>
      </c>
      <c r="H285" s="346" t="s">
        <v>119</v>
      </c>
      <c r="I285" s="348">
        <v>185</v>
      </c>
      <c r="J285" s="353"/>
      <c r="CG285" s="2" t="s">
        <v>262</v>
      </c>
      <c r="CH285" s="2" t="s">
        <v>262</v>
      </c>
      <c r="CI285" s="2" t="s">
        <v>1208</v>
      </c>
      <c r="CJ285" s="2" t="s">
        <v>3337</v>
      </c>
      <c r="CK285" s="2" t="s">
        <v>3354</v>
      </c>
      <c r="CL285" s="2" t="s">
        <v>3549</v>
      </c>
      <c r="CM285" s="39">
        <v>5</v>
      </c>
      <c r="CN285" s="2" t="str">
        <f t="shared" si="27"/>
        <v>TADigital NA | Management - Sr. Practice Director / Sr. Delivery Director</v>
      </c>
      <c r="CO285" s="2" t="str">
        <f t="shared" si="25"/>
        <v>TADigital India Consulting | Cloud &amp; Engineering - L2 / B1-B3 | Associate Engineer</v>
      </c>
      <c r="CP285" s="1579">
        <v>340</v>
      </c>
      <c r="CQ285" s="1579">
        <v>170</v>
      </c>
      <c r="CR285" s="1579">
        <v>125</v>
      </c>
      <c r="CS285" s="1579">
        <f t="shared" si="28"/>
        <v>49.2</v>
      </c>
      <c r="CT285" s="1579">
        <v>60</v>
      </c>
      <c r="CU285" s="2">
        <f t="shared" si="29"/>
        <v>13</v>
      </c>
      <c r="CV285" s="2" t="str">
        <f t="shared" si="26"/>
        <v>Management - Sr. Practice Director / Sr. Delivery Director</v>
      </c>
      <c r="CW285" s="2" t="str">
        <f>_xlfn.XLOOKUP(CL285,'[1]Rates &amp; Drop Downs INT'!D$373:D$430,'[1]Rates &amp; Drop Downs INT'!C$373:C$430,"X",1)</f>
        <v>Cloud &amp; Engineering - 2 | Associate Engineer</v>
      </c>
    </row>
    <row r="286" spans="2:101" ht="13.05" customHeight="1" x14ac:dyDescent="0.25">
      <c r="B286" s="4" t="s">
        <v>430</v>
      </c>
      <c r="C286" s="4" t="s">
        <v>590</v>
      </c>
      <c r="D286" s="4"/>
      <c r="E286" s="4" t="s">
        <v>590</v>
      </c>
      <c r="F286" s="4" t="s">
        <v>591</v>
      </c>
      <c r="G286" s="343">
        <v>120</v>
      </c>
      <c r="H286" s="4" t="s">
        <v>119</v>
      </c>
      <c r="I286" s="344">
        <v>210</v>
      </c>
      <c r="J286" s="345"/>
      <c r="CG286" s="2" t="s">
        <v>262</v>
      </c>
      <c r="CH286" s="2" t="s">
        <v>262</v>
      </c>
      <c r="CI286" s="2" t="s">
        <v>1208</v>
      </c>
      <c r="CJ286" s="2" t="s">
        <v>3337</v>
      </c>
      <c r="CK286" s="2" t="s">
        <v>569</v>
      </c>
      <c r="CL286" s="2" t="s">
        <v>3550</v>
      </c>
      <c r="CM286" s="39">
        <v>2</v>
      </c>
      <c r="CN286" s="2" t="str">
        <f t="shared" si="27"/>
        <v>TADigital NA Consulting | Content &amp; SEO - Content Strategist</v>
      </c>
      <c r="CO286" s="2" t="str">
        <f t="shared" si="25"/>
        <v>TADigital India Consulting | Cloud &amp; Engineering - L2 / B1-B3 | Associate Engineer</v>
      </c>
      <c r="CP286" s="1579">
        <v>165</v>
      </c>
      <c r="CQ286" s="1579">
        <v>80</v>
      </c>
      <c r="CR286" s="1579">
        <v>60</v>
      </c>
      <c r="CS286" s="1579">
        <f t="shared" si="28"/>
        <v>16.400000000000002</v>
      </c>
      <c r="CT286" s="1579">
        <v>20</v>
      </c>
      <c r="CU286" s="2">
        <f t="shared" si="29"/>
        <v>13</v>
      </c>
      <c r="CV286" s="2" t="str">
        <f t="shared" si="26"/>
        <v>Content &amp; SEO - Content Strategist</v>
      </c>
      <c r="CW286" s="2" t="str">
        <f>_xlfn.XLOOKUP(CL286,'[1]Rates &amp; Drop Downs INT'!D$373:D$430,'[1]Rates &amp; Drop Downs INT'!C$373:C$430,"X",1)</f>
        <v>Cloud &amp; Engineering - 2 | Associate Engineer</v>
      </c>
    </row>
    <row r="287" spans="2:101" ht="13.05" customHeight="1" x14ac:dyDescent="0.25">
      <c r="B287" s="346" t="s">
        <v>430</v>
      </c>
      <c r="C287" s="346" t="s">
        <v>592</v>
      </c>
      <c r="D287" s="346"/>
      <c r="E287" s="346" t="s">
        <v>592</v>
      </c>
      <c r="F287" s="346" t="s">
        <v>593</v>
      </c>
      <c r="G287" s="347">
        <v>172.5</v>
      </c>
      <c r="H287" s="346" t="s">
        <v>119</v>
      </c>
      <c r="I287" s="348">
        <v>370</v>
      </c>
      <c r="J287" s="353"/>
      <c r="CG287" s="2" t="s">
        <v>262</v>
      </c>
      <c r="CH287" s="2" t="s">
        <v>262</v>
      </c>
      <c r="CI287" s="2" t="s">
        <v>1209</v>
      </c>
      <c r="CJ287" s="2" t="s">
        <v>3338</v>
      </c>
      <c r="CK287" s="2" t="s">
        <v>3351</v>
      </c>
      <c r="CL287" s="2" t="s">
        <v>3545</v>
      </c>
      <c r="CM287" s="39">
        <v>2</v>
      </c>
      <c r="CN287" s="2" t="str">
        <f t="shared" si="27"/>
        <v>TADigital NA Consulting | Content &amp; SEO - Associate Web Content Analyst</v>
      </c>
      <c r="CO287" s="2" t="str">
        <f t="shared" si="25"/>
        <v>TADigital India Consulting | Cloud &amp; Engineering - L2 / B1-B3 | Associate Engineer</v>
      </c>
      <c r="CP287" s="1579">
        <v>0</v>
      </c>
      <c r="CQ287" s="1579">
        <v>0</v>
      </c>
      <c r="CR287" s="1579">
        <v>35</v>
      </c>
      <c r="CS287" s="1579">
        <f t="shared" si="28"/>
        <v>10.66</v>
      </c>
      <c r="CT287" s="1579">
        <v>13</v>
      </c>
      <c r="CU287" s="2">
        <f t="shared" si="29"/>
        <v>13</v>
      </c>
      <c r="CV287" s="2" t="str">
        <f t="shared" si="26"/>
        <v>Content &amp; SEO - Associate Web Content Analyst</v>
      </c>
      <c r="CW287" s="2" t="str">
        <f>_xlfn.XLOOKUP(CL287,'[1]Rates &amp; Drop Downs INT'!D$373:D$430,'[1]Rates &amp; Drop Downs INT'!C$373:C$430,"X",1)</f>
        <v>Cloud &amp; Engineering - 2 | Associate Engineer</v>
      </c>
    </row>
    <row r="288" spans="2:101" ht="13.05" customHeight="1" x14ac:dyDescent="0.25">
      <c r="B288" s="4" t="s">
        <v>283</v>
      </c>
      <c r="C288" s="4" t="s">
        <v>1469</v>
      </c>
      <c r="D288" s="4"/>
      <c r="E288" s="4"/>
      <c r="F288" s="4" t="s">
        <v>1485</v>
      </c>
      <c r="G288" s="343">
        <v>45</v>
      </c>
      <c r="H288" s="4" t="s">
        <v>120</v>
      </c>
      <c r="I288" s="344">
        <v>120</v>
      </c>
      <c r="J288" s="345">
        <v>2</v>
      </c>
      <c r="CG288" s="2" t="s">
        <v>262</v>
      </c>
      <c r="CH288" s="2" t="s">
        <v>262</v>
      </c>
      <c r="CI288" s="2" t="s">
        <v>1209</v>
      </c>
      <c r="CJ288" s="2" t="s">
        <v>3338</v>
      </c>
      <c r="CK288" s="2" t="s">
        <v>720</v>
      </c>
      <c r="CL288" s="2" t="s">
        <v>3546</v>
      </c>
      <c r="CM288" s="39">
        <v>5</v>
      </c>
      <c r="CN288" s="2" t="str">
        <f t="shared" si="27"/>
        <v>TADigital NA | Management - Associate Practice Director</v>
      </c>
      <c r="CO288" s="2" t="str">
        <f t="shared" si="25"/>
        <v>TADigital India Consulting | Cloud &amp; Engineering - L2 / B1-B3 | Associate Engineer</v>
      </c>
      <c r="CP288" s="1579">
        <v>290</v>
      </c>
      <c r="CQ288" s="1579">
        <v>140</v>
      </c>
      <c r="CR288" s="1579">
        <v>105</v>
      </c>
      <c r="CS288" s="1579">
        <f t="shared" si="28"/>
        <v>45.1</v>
      </c>
      <c r="CT288" s="1579">
        <v>55</v>
      </c>
      <c r="CU288" s="2">
        <f t="shared" si="29"/>
        <v>13</v>
      </c>
      <c r="CV288" s="2" t="str">
        <f t="shared" si="26"/>
        <v>Management - Associate Practice Director</v>
      </c>
      <c r="CW288" s="2" t="str">
        <f>_xlfn.XLOOKUP(CL288,'[1]Rates &amp; Drop Downs INT'!D$373:D$430,'[1]Rates &amp; Drop Downs INT'!C$373:C$430,"X",1)</f>
        <v>Cloud &amp; Engineering - 2 | Associate Engineer</v>
      </c>
    </row>
    <row r="289" spans="2:101" ht="13.05" customHeight="1" x14ac:dyDescent="0.25">
      <c r="B289" s="346" t="s">
        <v>283</v>
      </c>
      <c r="C289" s="346" t="s">
        <v>1470</v>
      </c>
      <c r="D289" s="346"/>
      <c r="E289" s="346"/>
      <c r="F289" s="346" t="s">
        <v>1486</v>
      </c>
      <c r="G289" s="347">
        <v>45</v>
      </c>
      <c r="H289" s="346" t="s">
        <v>120</v>
      </c>
      <c r="I289" s="348">
        <v>120</v>
      </c>
      <c r="J289" s="351">
        <v>2</v>
      </c>
      <c r="CG289" s="2" t="s">
        <v>262</v>
      </c>
      <c r="CH289" s="2" t="s">
        <v>262</v>
      </c>
      <c r="CI289" s="2" t="s">
        <v>1209</v>
      </c>
      <c r="CJ289" s="2" t="s">
        <v>3338</v>
      </c>
      <c r="CK289" s="2" t="s">
        <v>532</v>
      </c>
      <c r="CL289" s="2" t="s">
        <v>3547</v>
      </c>
      <c r="CM289" s="39">
        <v>2</v>
      </c>
      <c r="CN289" s="2" t="str">
        <f t="shared" si="27"/>
        <v>TADigital NA Consulting | Content &amp; SEO - Associate Content Strategist</v>
      </c>
      <c r="CO289" s="2" t="str">
        <f t="shared" si="25"/>
        <v>TADigital India Consulting | Cloud &amp; Engineering - L2 / B1-B3 | Associate Engineer</v>
      </c>
      <c r="CP289" s="1579">
        <v>160</v>
      </c>
      <c r="CQ289" s="1579">
        <v>80</v>
      </c>
      <c r="CR289" s="1579">
        <v>55</v>
      </c>
      <c r="CS289" s="1579">
        <f t="shared" si="28"/>
        <v>14.760000000000002</v>
      </c>
      <c r="CT289" s="1579">
        <v>18</v>
      </c>
      <c r="CU289" s="2">
        <f t="shared" si="29"/>
        <v>13</v>
      </c>
      <c r="CV289" s="2" t="str">
        <f t="shared" si="26"/>
        <v>Content &amp; SEO - Associate Content Strategist</v>
      </c>
      <c r="CW289" s="2" t="str">
        <f>_xlfn.XLOOKUP(CL289,'[1]Rates &amp; Drop Downs INT'!D$373:D$430,'[1]Rates &amp; Drop Downs INT'!C$373:C$430,"X",1)</f>
        <v>Cloud &amp; Engineering - 2 | Associate Engineer</v>
      </c>
    </row>
    <row r="290" spans="2:101" ht="13.05" customHeight="1" x14ac:dyDescent="0.25">
      <c r="B290" s="4" t="s">
        <v>283</v>
      </c>
      <c r="C290" s="4" t="s">
        <v>1522</v>
      </c>
      <c r="D290" s="4"/>
      <c r="E290" s="4"/>
      <c r="F290" s="4" t="s">
        <v>1539</v>
      </c>
      <c r="G290" s="343">
        <v>45</v>
      </c>
      <c r="H290" s="4" t="s">
        <v>120</v>
      </c>
      <c r="I290" s="344">
        <v>120</v>
      </c>
      <c r="J290" s="345">
        <v>3</v>
      </c>
      <c r="CG290" s="2" t="s">
        <v>262</v>
      </c>
      <c r="CH290" s="2" t="s">
        <v>262</v>
      </c>
      <c r="CI290" s="2" t="s">
        <v>1209</v>
      </c>
      <c r="CJ290" s="2" t="s">
        <v>3338</v>
      </c>
      <c r="CK290" s="2" t="s">
        <v>542</v>
      </c>
      <c r="CL290" s="2" t="s">
        <v>3548</v>
      </c>
      <c r="CM290" s="39">
        <v>5</v>
      </c>
      <c r="CN290" s="2" t="str">
        <f t="shared" si="27"/>
        <v>TADigital NA | Management - Associate Practice Director</v>
      </c>
      <c r="CO290" s="2" t="str">
        <f t="shared" si="25"/>
        <v>TADigital India Consulting | Cloud &amp; Engineering - L2 / B1-B3 | Associate Engineer</v>
      </c>
      <c r="CP290" s="1579">
        <v>290</v>
      </c>
      <c r="CQ290" s="1579">
        <v>167.5</v>
      </c>
      <c r="CR290" s="1579">
        <v>125</v>
      </c>
      <c r="CS290" s="1579">
        <f t="shared" si="28"/>
        <v>51.250000000000007</v>
      </c>
      <c r="CT290" s="1579">
        <v>62.5</v>
      </c>
      <c r="CU290" s="2">
        <f t="shared" si="29"/>
        <v>13</v>
      </c>
      <c r="CV290" s="2" t="str">
        <f t="shared" si="26"/>
        <v>Management - Associate Practice Director</v>
      </c>
      <c r="CW290" s="2" t="str">
        <f>_xlfn.XLOOKUP(CL290,'[1]Rates &amp; Drop Downs INT'!D$373:D$430,'[1]Rates &amp; Drop Downs INT'!C$373:C$430,"X",1)</f>
        <v>Cloud &amp; Engineering - 2 | Associate Engineer</v>
      </c>
    </row>
    <row r="291" spans="2:101" ht="13.05" customHeight="1" x14ac:dyDescent="0.25">
      <c r="B291" s="346" t="s">
        <v>283</v>
      </c>
      <c r="C291" s="346" t="s">
        <v>1523</v>
      </c>
      <c r="D291" s="346"/>
      <c r="E291" s="346"/>
      <c r="F291" s="346" t="s">
        <v>1540</v>
      </c>
      <c r="G291" s="347">
        <v>45</v>
      </c>
      <c r="H291" s="346" t="s">
        <v>120</v>
      </c>
      <c r="I291" s="348">
        <v>120</v>
      </c>
      <c r="J291" s="351">
        <v>3</v>
      </c>
      <c r="CG291" s="2" t="s">
        <v>262</v>
      </c>
      <c r="CH291" s="2" t="s">
        <v>262</v>
      </c>
      <c r="CI291" s="2" t="s">
        <v>1209</v>
      </c>
      <c r="CJ291" s="2" t="s">
        <v>3338</v>
      </c>
      <c r="CK291" s="2" t="s">
        <v>3352</v>
      </c>
      <c r="CL291" s="2" t="s">
        <v>3549</v>
      </c>
      <c r="CM291" s="39">
        <v>5</v>
      </c>
      <c r="CN291" s="2" t="str">
        <f t="shared" si="27"/>
        <v>TADigital NA | Management - Practice Director / Delivery Director</v>
      </c>
      <c r="CO291" s="2" t="str">
        <f t="shared" si="25"/>
        <v>TADigital India Consulting | Cloud &amp; Engineering - L2 / B1-B3 | Associate Engineer</v>
      </c>
      <c r="CP291" s="1579">
        <v>315</v>
      </c>
      <c r="CQ291" s="1579">
        <v>165</v>
      </c>
      <c r="CR291" s="1579">
        <v>115</v>
      </c>
      <c r="CS291" s="1579">
        <f t="shared" si="28"/>
        <v>45.1</v>
      </c>
      <c r="CT291" s="1579">
        <v>55</v>
      </c>
      <c r="CU291" s="2">
        <f t="shared" si="29"/>
        <v>13</v>
      </c>
      <c r="CV291" s="2" t="str">
        <f t="shared" si="26"/>
        <v>Management - Practice Director / Delivery Director</v>
      </c>
      <c r="CW291" s="2" t="str">
        <f>_xlfn.XLOOKUP(CL291,'[1]Rates &amp; Drop Downs INT'!D$373:D$430,'[1]Rates &amp; Drop Downs INT'!C$373:C$430,"X",1)</f>
        <v>Cloud &amp; Engineering - 2 | Associate Engineer</v>
      </c>
    </row>
    <row r="292" spans="2:101" ht="13.05" customHeight="1" x14ac:dyDescent="0.25">
      <c r="B292" s="4" t="s">
        <v>283</v>
      </c>
      <c r="C292" s="4" t="s">
        <v>1603</v>
      </c>
      <c r="D292" s="4"/>
      <c r="E292" s="4"/>
      <c r="F292" s="4" t="s">
        <v>1580</v>
      </c>
      <c r="G292" s="343">
        <v>60</v>
      </c>
      <c r="H292" s="4" t="s">
        <v>120</v>
      </c>
      <c r="I292" s="344">
        <v>134</v>
      </c>
      <c r="J292" s="345">
        <v>4</v>
      </c>
      <c r="CG292" s="2" t="s">
        <v>262</v>
      </c>
      <c r="CH292" s="2" t="s">
        <v>262</v>
      </c>
      <c r="CI292" s="2" t="s">
        <v>1209</v>
      </c>
      <c r="CJ292" s="2" t="s">
        <v>3338</v>
      </c>
      <c r="CK292" s="2" t="s">
        <v>446</v>
      </c>
      <c r="CL292" s="2" t="s">
        <v>3546</v>
      </c>
      <c r="CM292" s="39">
        <v>4</v>
      </c>
      <c r="CN292" s="2" t="str">
        <f t="shared" si="27"/>
        <v>TADigital NA Consulting - Sr. Project Manager</v>
      </c>
      <c r="CO292" s="2" t="str">
        <f t="shared" si="25"/>
        <v>TADigital India Consulting | Cloud &amp; Engineering - L2 / B1-B3 | Associate Engineer</v>
      </c>
      <c r="CP292" s="1579">
        <v>235</v>
      </c>
      <c r="CQ292" s="1579">
        <v>130</v>
      </c>
      <c r="CR292" s="1579">
        <v>80</v>
      </c>
      <c r="CS292" s="1579">
        <f t="shared" si="28"/>
        <v>38.950000000000003</v>
      </c>
      <c r="CT292" s="1579">
        <v>47.5</v>
      </c>
      <c r="CU292" s="2">
        <f t="shared" si="29"/>
        <v>13</v>
      </c>
      <c r="CV292" s="2" t="str">
        <f t="shared" si="26"/>
        <v>Sr. Project Manager</v>
      </c>
      <c r="CW292" s="2" t="str">
        <f>_xlfn.XLOOKUP(CL292,'[1]Rates &amp; Drop Downs INT'!D$373:D$430,'[1]Rates &amp; Drop Downs INT'!C$373:C$430,"X",1)</f>
        <v>Cloud &amp; Engineering - 2 | Associate Engineer</v>
      </c>
    </row>
    <row r="293" spans="2:101" ht="13.05" customHeight="1" x14ac:dyDescent="0.25">
      <c r="B293" s="346" t="s">
        <v>283</v>
      </c>
      <c r="C293" s="346" t="s">
        <v>1612</v>
      </c>
      <c r="D293" s="346"/>
      <c r="E293" s="346"/>
      <c r="F293" s="346" t="s">
        <v>1622</v>
      </c>
      <c r="G293" s="347">
        <v>70</v>
      </c>
      <c r="H293" s="346" t="s">
        <v>120</v>
      </c>
      <c r="I293" s="348">
        <v>140</v>
      </c>
      <c r="J293" s="353">
        <v>5</v>
      </c>
      <c r="CG293" s="2" t="s">
        <v>262</v>
      </c>
      <c r="CH293" s="2" t="s">
        <v>262</v>
      </c>
      <c r="CI293" s="2" t="s">
        <v>1209</v>
      </c>
      <c r="CJ293" s="2" t="s">
        <v>3338</v>
      </c>
      <c r="CK293" s="2" t="s">
        <v>3353</v>
      </c>
      <c r="CL293" s="2" t="s">
        <v>3549</v>
      </c>
      <c r="CM293" s="39">
        <v>6</v>
      </c>
      <c r="CN293" s="2" t="str">
        <f t="shared" si="27"/>
        <v>TADigital NA | Management - Practice VP / Delivery VP</v>
      </c>
      <c r="CO293" s="2" t="str">
        <f t="shared" si="25"/>
        <v>TADigital India Consulting | Cloud &amp; Engineering - L2 / B1-B3 | Associate Engineer</v>
      </c>
      <c r="CP293" s="1579">
        <v>370</v>
      </c>
      <c r="CQ293" s="1579">
        <v>172.5</v>
      </c>
      <c r="CR293" s="1579">
        <v>135</v>
      </c>
      <c r="CS293" s="1579">
        <f t="shared" si="28"/>
        <v>51.250000000000007</v>
      </c>
      <c r="CT293" s="1579">
        <v>62.5</v>
      </c>
      <c r="CU293" s="2">
        <f t="shared" si="29"/>
        <v>13</v>
      </c>
      <c r="CV293" s="2" t="str">
        <f t="shared" si="26"/>
        <v>Management - Practice VP / Delivery VP</v>
      </c>
      <c r="CW293" s="2" t="str">
        <f>_xlfn.XLOOKUP(CL293,'[1]Rates &amp; Drop Downs INT'!D$373:D$430,'[1]Rates &amp; Drop Downs INT'!C$373:C$430,"X",1)</f>
        <v>Cloud &amp; Engineering - 2 | Associate Engineer</v>
      </c>
    </row>
    <row r="294" spans="2:101" ht="13.05" customHeight="1" x14ac:dyDescent="0.25">
      <c r="B294" s="4" t="s">
        <v>283</v>
      </c>
      <c r="C294" s="4" t="s">
        <v>1662</v>
      </c>
      <c r="D294" s="4"/>
      <c r="E294" s="4"/>
      <c r="F294" s="4" t="s">
        <v>1644</v>
      </c>
      <c r="G294" s="343">
        <v>85</v>
      </c>
      <c r="H294" s="4" t="s">
        <v>120</v>
      </c>
      <c r="I294" s="344">
        <v>155</v>
      </c>
      <c r="J294" s="345">
        <v>6</v>
      </c>
      <c r="CG294" s="2" t="s">
        <v>262</v>
      </c>
      <c r="CH294" s="2" t="s">
        <v>262</v>
      </c>
      <c r="CI294" s="2" t="s">
        <v>1209</v>
      </c>
      <c r="CJ294" s="2" t="s">
        <v>3338</v>
      </c>
      <c r="CK294" s="2" t="s">
        <v>534</v>
      </c>
      <c r="CL294" s="2" t="s">
        <v>3550</v>
      </c>
      <c r="CM294" s="39">
        <v>2</v>
      </c>
      <c r="CN294" s="2" t="str">
        <f t="shared" si="27"/>
        <v>TADigital NA Consulting | Content &amp; SEO - Content Strategist</v>
      </c>
      <c r="CO294" s="2" t="str">
        <f t="shared" si="25"/>
        <v>TADigital India Consulting | Cloud &amp; Engineering - L2 / B1-B3 | Associate Engineer</v>
      </c>
      <c r="CP294" s="1579">
        <v>170</v>
      </c>
      <c r="CQ294" s="1579">
        <v>82.5</v>
      </c>
      <c r="CR294" s="1579">
        <v>65</v>
      </c>
      <c r="CS294" s="1579">
        <f t="shared" si="28"/>
        <v>18.450000000000003</v>
      </c>
      <c r="CT294" s="1579">
        <v>22.5</v>
      </c>
      <c r="CU294" s="2">
        <f t="shared" si="29"/>
        <v>13</v>
      </c>
      <c r="CV294" s="2" t="str">
        <f t="shared" si="26"/>
        <v>Content &amp; SEO - Content Strategist</v>
      </c>
      <c r="CW294" s="2" t="str">
        <f>_xlfn.XLOOKUP(CL294,'[1]Rates &amp; Drop Downs INT'!D$373:D$430,'[1]Rates &amp; Drop Downs INT'!C$373:C$430,"X",1)</f>
        <v>Cloud &amp; Engineering - 2 | Associate Engineer</v>
      </c>
    </row>
    <row r="295" spans="2:101" ht="13.05" customHeight="1" x14ac:dyDescent="0.25">
      <c r="B295" s="346" t="s">
        <v>283</v>
      </c>
      <c r="C295" s="346" t="s">
        <v>1471</v>
      </c>
      <c r="D295" s="346"/>
      <c r="E295" s="346"/>
      <c r="F295" s="346" t="s">
        <v>1487</v>
      </c>
      <c r="G295" s="347">
        <v>45</v>
      </c>
      <c r="H295" s="346" t="s">
        <v>120</v>
      </c>
      <c r="I295" s="348">
        <v>120</v>
      </c>
      <c r="J295" s="351">
        <v>2</v>
      </c>
      <c r="CG295" s="2" t="s">
        <v>262</v>
      </c>
      <c r="CH295" s="2" t="s">
        <v>262</v>
      </c>
      <c r="CI295" s="2" t="s">
        <v>1209</v>
      </c>
      <c r="CJ295" s="2" t="s">
        <v>3338</v>
      </c>
      <c r="CK295" s="2" t="s">
        <v>3354</v>
      </c>
      <c r="CL295" s="2" t="s">
        <v>3549</v>
      </c>
      <c r="CM295" s="39">
        <v>5</v>
      </c>
      <c r="CN295" s="2" t="str">
        <f t="shared" si="27"/>
        <v>TADigital NA | Management - Sr. Practice Director / Sr. Delivery Director</v>
      </c>
      <c r="CO295" s="2" t="str">
        <f t="shared" si="25"/>
        <v>TADigital India Consulting | Cloud &amp; Engineering - L2 / B1-B3 | Associate Engineer</v>
      </c>
      <c r="CP295" s="1579">
        <v>340</v>
      </c>
      <c r="CQ295" s="1579">
        <v>170</v>
      </c>
      <c r="CR295" s="1579">
        <v>125</v>
      </c>
      <c r="CS295" s="1579">
        <f t="shared" si="28"/>
        <v>49.2</v>
      </c>
      <c r="CT295" s="1579">
        <v>60</v>
      </c>
      <c r="CU295" s="2">
        <f t="shared" si="29"/>
        <v>13</v>
      </c>
      <c r="CV295" s="2" t="str">
        <f t="shared" si="26"/>
        <v>Management - Sr. Practice Director / Sr. Delivery Director</v>
      </c>
      <c r="CW295" s="2" t="str">
        <f>_xlfn.XLOOKUP(CL295,'[1]Rates &amp; Drop Downs INT'!D$373:D$430,'[1]Rates &amp; Drop Downs INT'!C$373:C$430,"X",1)</f>
        <v>Cloud &amp; Engineering - 2 | Associate Engineer</v>
      </c>
    </row>
    <row r="296" spans="2:101" ht="13.05" customHeight="1" x14ac:dyDescent="0.25">
      <c r="B296" s="4" t="s">
        <v>283</v>
      </c>
      <c r="C296" s="4" t="s">
        <v>1472</v>
      </c>
      <c r="D296" s="4"/>
      <c r="E296" s="4"/>
      <c r="F296" s="4" t="s">
        <v>1488</v>
      </c>
      <c r="G296" s="343">
        <v>45</v>
      </c>
      <c r="H296" s="4" t="s">
        <v>120</v>
      </c>
      <c r="I296" s="344">
        <v>120</v>
      </c>
      <c r="J296" s="345">
        <v>2</v>
      </c>
      <c r="CG296" s="2" t="s">
        <v>262</v>
      </c>
      <c r="CH296" s="2" t="s">
        <v>262</v>
      </c>
      <c r="CI296" s="2" t="s">
        <v>1209</v>
      </c>
      <c r="CJ296" s="2" t="s">
        <v>3338</v>
      </c>
      <c r="CK296" s="2" t="s">
        <v>448</v>
      </c>
      <c r="CL296" s="2" t="s">
        <v>3546</v>
      </c>
      <c r="CM296" s="39">
        <v>5</v>
      </c>
      <c r="CN296" s="2" t="str">
        <f t="shared" si="27"/>
        <v>TADigital NA Consulting - Delivery Manager</v>
      </c>
      <c r="CO296" s="2" t="str">
        <f t="shared" si="25"/>
        <v>TADigital India Consulting | Cloud &amp; Engineering - L2 / B1-B3 | Associate Engineer</v>
      </c>
      <c r="CP296" s="1579">
        <v>265</v>
      </c>
      <c r="CQ296" s="1579">
        <v>137.5</v>
      </c>
      <c r="CR296" s="1579">
        <v>90</v>
      </c>
      <c r="CS296" s="1579">
        <f t="shared" si="28"/>
        <v>38.950000000000003</v>
      </c>
      <c r="CT296" s="1579">
        <v>47.5</v>
      </c>
      <c r="CU296" s="2">
        <f t="shared" si="29"/>
        <v>13</v>
      </c>
      <c r="CV296" s="2" t="str">
        <f t="shared" si="26"/>
        <v>Delivery Manager</v>
      </c>
      <c r="CW296" s="2" t="str">
        <f>_xlfn.XLOOKUP(CL296,'[1]Rates &amp; Drop Downs INT'!D$373:D$430,'[1]Rates &amp; Drop Downs INT'!C$373:C$430,"X",1)</f>
        <v>Cloud &amp; Engineering - 2 | Associate Engineer</v>
      </c>
    </row>
    <row r="297" spans="2:101" ht="13.05" customHeight="1" x14ac:dyDescent="0.25">
      <c r="B297" s="346" t="s">
        <v>283</v>
      </c>
      <c r="C297" s="346" t="s">
        <v>1524</v>
      </c>
      <c r="D297" s="346"/>
      <c r="E297" s="346"/>
      <c r="F297" s="346" t="s">
        <v>1541</v>
      </c>
      <c r="G297" s="347">
        <v>45</v>
      </c>
      <c r="H297" s="346" t="s">
        <v>120</v>
      </c>
      <c r="I297" s="348">
        <v>120</v>
      </c>
      <c r="J297" s="351">
        <v>3</v>
      </c>
      <c r="CG297" s="2" t="s">
        <v>262</v>
      </c>
      <c r="CH297" s="2" t="s">
        <v>262</v>
      </c>
      <c r="CI297" s="2" t="s">
        <v>1209</v>
      </c>
      <c r="CJ297" s="2" t="s">
        <v>3338</v>
      </c>
      <c r="CK297" s="2" t="s">
        <v>540</v>
      </c>
      <c r="CL297" s="2" t="s">
        <v>538</v>
      </c>
      <c r="CM297" s="39">
        <v>5</v>
      </c>
      <c r="CN297" s="2" t="str">
        <f t="shared" si="27"/>
        <v>TADigital NA Digital - Sr. Technical Architect</v>
      </c>
      <c r="CO297" s="2" t="str">
        <f t="shared" si="25"/>
        <v>TADigital India Consulting | Cloud &amp; Engineering - L2 / B1-B3 | Associate Engineer</v>
      </c>
      <c r="CP297" s="1579">
        <v>275</v>
      </c>
      <c r="CQ297" s="1579">
        <v>155</v>
      </c>
      <c r="CR297" s="1579">
        <v>105</v>
      </c>
      <c r="CS297" s="1579">
        <f t="shared" si="28"/>
        <v>36.900000000000006</v>
      </c>
      <c r="CT297" s="1579">
        <v>45</v>
      </c>
      <c r="CU297" s="2">
        <f t="shared" si="29"/>
        <v>13</v>
      </c>
      <c r="CV297" s="2" t="str">
        <f t="shared" si="26"/>
        <v>Sr. Technical Architect</v>
      </c>
      <c r="CW297" s="2" t="str">
        <f>_xlfn.XLOOKUP(CL297,'[1]Rates &amp; Drop Downs INT'!D$373:D$430,'[1]Rates &amp; Drop Downs INT'!C$373:C$430,"X",1)</f>
        <v>Cloud &amp; Engineering - 2 | Associate Engineer</v>
      </c>
    </row>
    <row r="298" spans="2:101" ht="13.05" customHeight="1" x14ac:dyDescent="0.25">
      <c r="B298" s="4" t="s">
        <v>283</v>
      </c>
      <c r="C298" s="4" t="s">
        <v>1525</v>
      </c>
      <c r="D298" s="4"/>
      <c r="E298" s="4"/>
      <c r="F298" s="4" t="s">
        <v>1542</v>
      </c>
      <c r="G298" s="343">
        <v>45</v>
      </c>
      <c r="H298" s="4" t="s">
        <v>120</v>
      </c>
      <c r="I298" s="344">
        <v>120</v>
      </c>
      <c r="J298" s="345">
        <v>3</v>
      </c>
      <c r="CG298" s="2" t="s">
        <v>262</v>
      </c>
      <c r="CH298" s="2" t="s">
        <v>262</v>
      </c>
      <c r="CI298" s="2" t="s">
        <v>1209</v>
      </c>
      <c r="CJ298" s="2" t="s">
        <v>3338</v>
      </c>
      <c r="CK298" s="2" t="s">
        <v>538</v>
      </c>
      <c r="CL298" s="2" t="s">
        <v>538</v>
      </c>
      <c r="CM298" s="39">
        <v>4</v>
      </c>
      <c r="CN298" s="2" t="str">
        <f t="shared" si="27"/>
        <v>TADigital NA Consulting - Sr. Project Manager</v>
      </c>
      <c r="CO298" s="2" t="str">
        <f t="shared" si="25"/>
        <v>TADigital India Consulting | Cloud &amp; Engineering - L2 / B1-B3 | Associate Engineer</v>
      </c>
      <c r="CP298" s="1579">
        <v>235</v>
      </c>
      <c r="CQ298" s="1579">
        <v>132.5</v>
      </c>
      <c r="CR298" s="1579">
        <v>95</v>
      </c>
      <c r="CS298" s="1579">
        <f t="shared" si="28"/>
        <v>32.800000000000004</v>
      </c>
      <c r="CT298" s="1579">
        <v>40</v>
      </c>
      <c r="CU298" s="2">
        <f t="shared" si="29"/>
        <v>13</v>
      </c>
      <c r="CV298" s="2" t="str">
        <f t="shared" si="26"/>
        <v>Sr. Project Manager</v>
      </c>
      <c r="CW298" s="2" t="str">
        <f>_xlfn.XLOOKUP(CL298,'[1]Rates &amp; Drop Downs INT'!D$373:D$430,'[1]Rates &amp; Drop Downs INT'!C$373:C$430,"X",1)</f>
        <v>Cloud &amp; Engineering - 2 | Associate Engineer</v>
      </c>
    </row>
    <row r="299" spans="2:101" ht="13.05" customHeight="1" x14ac:dyDescent="0.25">
      <c r="B299" s="346" t="s">
        <v>283</v>
      </c>
      <c r="C299" s="346" t="s">
        <v>1604</v>
      </c>
      <c r="D299" s="346"/>
      <c r="E299" s="346"/>
      <c r="F299" s="346" t="s">
        <v>1581</v>
      </c>
      <c r="G299" s="347">
        <v>60</v>
      </c>
      <c r="H299" s="346" t="s">
        <v>120</v>
      </c>
      <c r="I299" s="348">
        <v>134</v>
      </c>
      <c r="J299" s="351">
        <v>4</v>
      </c>
      <c r="CG299" s="2" t="s">
        <v>262</v>
      </c>
      <c r="CH299" s="2" t="s">
        <v>262</v>
      </c>
      <c r="CI299" s="2" t="s">
        <v>1209</v>
      </c>
      <c r="CJ299" s="2" t="s">
        <v>3338</v>
      </c>
      <c r="CK299" s="2" t="s">
        <v>536</v>
      </c>
      <c r="CL299" s="2" t="s">
        <v>536</v>
      </c>
      <c r="CM299" s="39">
        <v>3</v>
      </c>
      <c r="CN299" s="2" t="str">
        <f t="shared" si="27"/>
        <v>TADigital NA Digital - Technical Lead</v>
      </c>
      <c r="CO299" s="2" t="str">
        <f t="shared" ref="CO299:CO340" si="30">_xlfn.XLOOKUP(CW299,$C$373:$C$430,$F$373:$F$430,"X",1)</f>
        <v>TADigital India Consulting | Cloud &amp; Engineering - L2 / B1-B3 | Associate Engineer</v>
      </c>
      <c r="CP299" s="1579">
        <v>185</v>
      </c>
      <c r="CQ299" s="1579">
        <v>90</v>
      </c>
      <c r="CR299" s="1579">
        <v>85</v>
      </c>
      <c r="CS299" s="1579">
        <f t="shared" si="28"/>
        <v>24.6</v>
      </c>
      <c r="CT299" s="1579">
        <v>30</v>
      </c>
      <c r="CU299" s="2">
        <f t="shared" si="29"/>
        <v>13</v>
      </c>
      <c r="CV299" s="2" t="str">
        <f t="shared" si="26"/>
        <v>Technical Lead</v>
      </c>
      <c r="CW299" s="2" t="str">
        <f>_xlfn.XLOOKUP(CL299,'[1]Rates &amp; Drop Downs INT'!D$373:D$430,'[1]Rates &amp; Drop Downs INT'!C$373:C$430,"X",1)</f>
        <v>Cloud &amp; Engineering - 2 | Associate Engineer</v>
      </c>
    </row>
    <row r="300" spans="2:101" ht="13.05" customHeight="1" x14ac:dyDescent="0.25">
      <c r="B300" s="4" t="s">
        <v>283</v>
      </c>
      <c r="C300" s="4" t="s">
        <v>1613</v>
      </c>
      <c r="D300" s="4"/>
      <c r="E300" s="4"/>
      <c r="F300" s="4" t="s">
        <v>1623</v>
      </c>
      <c r="G300" s="343">
        <v>70</v>
      </c>
      <c r="H300" s="4" t="s">
        <v>120</v>
      </c>
      <c r="I300" s="344">
        <v>140</v>
      </c>
      <c r="J300" s="355">
        <v>5</v>
      </c>
      <c r="CG300" s="2" t="s">
        <v>262</v>
      </c>
      <c r="CH300" s="2" t="s">
        <v>262</v>
      </c>
      <c r="CI300" s="2" t="s">
        <v>2536</v>
      </c>
      <c r="CJ300" s="2" t="s">
        <v>1790</v>
      </c>
      <c r="CK300" s="2" t="s">
        <v>3355</v>
      </c>
      <c r="CL300" s="2" t="s">
        <v>3547</v>
      </c>
      <c r="CM300" s="39">
        <v>2</v>
      </c>
      <c r="CN300" s="2" t="str">
        <f t="shared" si="27"/>
        <v>TADigital NA Consulting | Content &amp; SEO - Associate Web Content Analyst</v>
      </c>
      <c r="CO300" s="2" t="str">
        <f t="shared" si="30"/>
        <v>TADigital India Consulting | Cloud &amp; Engineering - L2 / B1-B3 | Associate Engineer</v>
      </c>
      <c r="CP300" s="1579">
        <v>0</v>
      </c>
      <c r="CQ300" s="1579">
        <v>0</v>
      </c>
      <c r="CR300" s="1579">
        <v>35</v>
      </c>
      <c r="CS300" s="1579">
        <f t="shared" si="28"/>
        <v>10.66</v>
      </c>
      <c r="CT300" s="1579">
        <v>13</v>
      </c>
      <c r="CU300" s="2">
        <f t="shared" si="29"/>
        <v>13</v>
      </c>
      <c r="CV300" s="2" t="str">
        <f t="shared" si="26"/>
        <v>Content &amp; SEO - Associate Web Content Analyst</v>
      </c>
      <c r="CW300" s="2" t="str">
        <f>_xlfn.XLOOKUP(CL300,'[1]Rates &amp; Drop Downs INT'!D$373:D$430,'[1]Rates &amp; Drop Downs INT'!C$373:C$430,"X",1)</f>
        <v>Cloud &amp; Engineering - 2 | Associate Engineer</v>
      </c>
    </row>
    <row r="301" spans="2:101" ht="13.05" customHeight="1" x14ac:dyDescent="0.25">
      <c r="B301" s="346" t="s">
        <v>283</v>
      </c>
      <c r="C301" s="346" t="s">
        <v>1663</v>
      </c>
      <c r="D301" s="346"/>
      <c r="E301" s="346"/>
      <c r="F301" s="346" t="s">
        <v>1645</v>
      </c>
      <c r="G301" s="347">
        <v>85</v>
      </c>
      <c r="H301" s="346" t="s">
        <v>120</v>
      </c>
      <c r="I301" s="348">
        <v>155</v>
      </c>
      <c r="J301" s="351">
        <v>6</v>
      </c>
      <c r="CG301" s="2" t="s">
        <v>262</v>
      </c>
      <c r="CH301" s="2" t="s">
        <v>262</v>
      </c>
      <c r="CI301" s="2" t="s">
        <v>2536</v>
      </c>
      <c r="CJ301" s="2" t="s">
        <v>1790</v>
      </c>
      <c r="CK301" s="2" t="s">
        <v>3356</v>
      </c>
      <c r="CL301" s="2" t="s">
        <v>3545</v>
      </c>
      <c r="CM301" s="39">
        <v>2</v>
      </c>
      <c r="CN301" s="2" t="str">
        <f t="shared" si="27"/>
        <v>TADigital NA Consulting | Content &amp; SEO - Associate Web Content Analyst</v>
      </c>
      <c r="CO301" s="2" t="str">
        <f t="shared" si="30"/>
        <v>TADigital India Consulting | Cloud &amp; Engineering - L2 / B1-B3 | Associate Engineer</v>
      </c>
      <c r="CP301" s="1579">
        <v>0</v>
      </c>
      <c r="CQ301" s="1579">
        <v>0</v>
      </c>
      <c r="CR301" s="1579">
        <v>35</v>
      </c>
      <c r="CS301" s="1579">
        <f t="shared" si="28"/>
        <v>10.66</v>
      </c>
      <c r="CT301" s="1579">
        <v>13</v>
      </c>
      <c r="CU301" s="2">
        <f t="shared" si="29"/>
        <v>13</v>
      </c>
      <c r="CV301" s="2" t="str">
        <f t="shared" si="26"/>
        <v>Content &amp; SEO - Associate Web Content Analyst</v>
      </c>
      <c r="CW301" s="2" t="str">
        <f>_xlfn.XLOOKUP(CL301,'[1]Rates &amp; Drop Downs INT'!D$373:D$430,'[1]Rates &amp; Drop Downs INT'!C$373:C$430,"X",1)</f>
        <v>Cloud &amp; Engineering - 2 | Associate Engineer</v>
      </c>
    </row>
    <row r="302" spans="2:101" ht="13.05" customHeight="1" x14ac:dyDescent="0.25">
      <c r="B302" s="4" t="s">
        <v>283</v>
      </c>
      <c r="C302" s="4" t="s">
        <v>1473</v>
      </c>
      <c r="D302" s="4"/>
      <c r="E302" s="4"/>
      <c r="F302" s="4" t="s">
        <v>1489</v>
      </c>
      <c r="G302" s="343">
        <v>45</v>
      </c>
      <c r="H302" s="4" t="s">
        <v>120</v>
      </c>
      <c r="I302" s="344">
        <v>122</v>
      </c>
      <c r="J302" s="345">
        <v>2</v>
      </c>
      <c r="CG302" s="2" t="s">
        <v>262</v>
      </c>
      <c r="CH302" s="2" t="s">
        <v>262</v>
      </c>
      <c r="CI302" s="2" t="s">
        <v>2536</v>
      </c>
      <c r="CJ302" s="2" t="s">
        <v>1790</v>
      </c>
      <c r="CK302" s="2" t="s">
        <v>720</v>
      </c>
      <c r="CL302" s="2" t="s">
        <v>3546</v>
      </c>
      <c r="CM302" s="39">
        <v>5</v>
      </c>
      <c r="CN302" s="2" t="str">
        <f t="shared" si="27"/>
        <v>TADigital NA | Management - Associate Practice Director</v>
      </c>
      <c r="CO302" s="2" t="str">
        <f t="shared" si="30"/>
        <v>TADigital India Consulting | Cloud &amp; Engineering - L2 / B1-B3 | Associate Engineer</v>
      </c>
      <c r="CP302" s="1579">
        <v>290</v>
      </c>
      <c r="CQ302" s="1579">
        <v>140</v>
      </c>
      <c r="CR302" s="1579">
        <v>105</v>
      </c>
      <c r="CS302" s="1579">
        <f t="shared" si="28"/>
        <v>45.1</v>
      </c>
      <c r="CT302" s="1579">
        <v>55</v>
      </c>
      <c r="CU302" s="2">
        <f t="shared" si="29"/>
        <v>13</v>
      </c>
      <c r="CV302" s="2" t="str">
        <f t="shared" si="26"/>
        <v>Management - Associate Practice Director</v>
      </c>
      <c r="CW302" s="2" t="str">
        <f>_xlfn.XLOOKUP(CL302,'[1]Rates &amp; Drop Downs INT'!D$373:D$430,'[1]Rates &amp; Drop Downs INT'!C$373:C$430,"X",1)</f>
        <v>Cloud &amp; Engineering - 2 | Associate Engineer</v>
      </c>
    </row>
    <row r="303" spans="2:101" ht="13.05" customHeight="1" x14ac:dyDescent="0.25">
      <c r="B303" s="346" t="s">
        <v>283</v>
      </c>
      <c r="C303" s="346" t="s">
        <v>1526</v>
      </c>
      <c r="D303" s="346"/>
      <c r="E303" s="346"/>
      <c r="F303" s="346" t="s">
        <v>1543</v>
      </c>
      <c r="G303" s="347">
        <v>50</v>
      </c>
      <c r="H303" s="346" t="s">
        <v>120</v>
      </c>
      <c r="I303" s="348">
        <v>136</v>
      </c>
      <c r="J303" s="351">
        <v>3</v>
      </c>
      <c r="CG303" s="2" t="s">
        <v>262</v>
      </c>
      <c r="CH303" s="2" t="s">
        <v>262</v>
      </c>
      <c r="CI303" s="2" t="s">
        <v>2536</v>
      </c>
      <c r="CJ303" s="2" t="s">
        <v>1790</v>
      </c>
      <c r="CK303" s="2" t="s">
        <v>367</v>
      </c>
      <c r="CL303" s="2" t="s">
        <v>536</v>
      </c>
      <c r="CM303" s="39">
        <v>2</v>
      </c>
      <c r="CN303" s="2" t="str">
        <f t="shared" si="27"/>
        <v>TADigital NA Consulting | Content &amp; SEO - Associate Content Strategist</v>
      </c>
      <c r="CO303" s="2" t="str">
        <f t="shared" si="30"/>
        <v>TADigital India Consulting | Cloud &amp; Engineering - L2 / B1-B3 | Associate Engineer</v>
      </c>
      <c r="CP303" s="1579">
        <v>160</v>
      </c>
      <c r="CQ303" s="1579">
        <v>85</v>
      </c>
      <c r="CR303" s="1579">
        <v>55</v>
      </c>
      <c r="CS303" s="1579">
        <f t="shared" si="28"/>
        <v>14.760000000000002</v>
      </c>
      <c r="CT303" s="1579">
        <v>18</v>
      </c>
      <c r="CU303" s="2">
        <f t="shared" si="29"/>
        <v>13</v>
      </c>
      <c r="CV303" s="2" t="str">
        <f t="shared" si="26"/>
        <v>Content &amp; SEO - Associate Content Strategist</v>
      </c>
      <c r="CW303" s="2" t="str">
        <f>_xlfn.XLOOKUP(CL303,'[1]Rates &amp; Drop Downs INT'!D$373:D$430,'[1]Rates &amp; Drop Downs INT'!C$373:C$430,"X",1)</f>
        <v>Cloud &amp; Engineering - 2 | Associate Engineer</v>
      </c>
    </row>
    <row r="304" spans="2:101" ht="13.05" customHeight="1" x14ac:dyDescent="0.25">
      <c r="B304" s="4" t="s">
        <v>283</v>
      </c>
      <c r="C304" s="4" t="s">
        <v>1527</v>
      </c>
      <c r="D304" s="4"/>
      <c r="E304" s="4"/>
      <c r="F304" s="4" t="s">
        <v>1544</v>
      </c>
      <c r="G304" s="343">
        <v>50</v>
      </c>
      <c r="H304" s="4" t="s">
        <v>120</v>
      </c>
      <c r="I304" s="344">
        <v>136</v>
      </c>
      <c r="J304" s="345">
        <v>3</v>
      </c>
      <c r="CG304" s="2" t="s">
        <v>262</v>
      </c>
      <c r="CH304" s="2" t="s">
        <v>262</v>
      </c>
      <c r="CI304" s="2" t="s">
        <v>2536</v>
      </c>
      <c r="CJ304" s="2" t="s">
        <v>1790</v>
      </c>
      <c r="CK304" s="2" t="s">
        <v>348</v>
      </c>
      <c r="CL304" s="2" t="s">
        <v>538</v>
      </c>
      <c r="CM304" s="39">
        <v>4</v>
      </c>
      <c r="CN304" s="2" t="str">
        <f t="shared" si="27"/>
        <v>TADigital NA Consulting - Sr. Project Manager</v>
      </c>
      <c r="CO304" s="2" t="str">
        <f t="shared" si="30"/>
        <v>TADigital India Consulting | Cloud &amp; Engineering - L2 / B1-B3 | Associate Engineer</v>
      </c>
      <c r="CP304" s="1579">
        <v>235</v>
      </c>
      <c r="CQ304" s="1579">
        <v>115.5</v>
      </c>
      <c r="CR304" s="1579">
        <v>95</v>
      </c>
      <c r="CS304" s="1579">
        <f t="shared" si="28"/>
        <v>30.750000000000004</v>
      </c>
      <c r="CT304" s="1579">
        <v>37.5</v>
      </c>
      <c r="CU304" s="2">
        <f t="shared" si="29"/>
        <v>13</v>
      </c>
      <c r="CV304" s="2" t="str">
        <f t="shared" si="26"/>
        <v>Sr. Project Manager</v>
      </c>
      <c r="CW304" s="2" t="str">
        <f>_xlfn.XLOOKUP(CL304,'[1]Rates &amp; Drop Downs INT'!D$373:D$430,'[1]Rates &amp; Drop Downs INT'!C$373:C$430,"X",1)</f>
        <v>Cloud &amp; Engineering - 2 | Associate Engineer</v>
      </c>
    </row>
    <row r="305" spans="2:101" ht="13.05" customHeight="1" x14ac:dyDescent="0.25">
      <c r="B305" s="346" t="s">
        <v>283</v>
      </c>
      <c r="C305" s="346" t="s">
        <v>595</v>
      </c>
      <c r="D305" s="346"/>
      <c r="E305" s="346"/>
      <c r="F305" s="346" t="s">
        <v>1582</v>
      </c>
      <c r="G305" s="347">
        <v>55</v>
      </c>
      <c r="H305" s="346" t="s">
        <v>120</v>
      </c>
      <c r="I305" s="348">
        <v>138</v>
      </c>
      <c r="J305" s="351">
        <v>4</v>
      </c>
      <c r="CG305" s="2" t="s">
        <v>262</v>
      </c>
      <c r="CH305" s="2" t="s">
        <v>262</v>
      </c>
      <c r="CI305" s="2" t="s">
        <v>2536</v>
      </c>
      <c r="CJ305" s="2" t="s">
        <v>1790</v>
      </c>
      <c r="CK305" s="2" t="s">
        <v>315</v>
      </c>
      <c r="CL305" s="2" t="s">
        <v>3550</v>
      </c>
      <c r="CM305" s="39">
        <v>2</v>
      </c>
      <c r="CN305" s="2" t="str">
        <f t="shared" si="27"/>
        <v>TADigital NA Consulting | Content &amp; SEO - Associate Content Strategist</v>
      </c>
      <c r="CO305" s="2" t="str">
        <f t="shared" si="30"/>
        <v>TADigital India Consulting | Cloud &amp; Engineering - L2 / B1-B3 | Associate Engineer</v>
      </c>
      <c r="CP305" s="1579">
        <v>160</v>
      </c>
      <c r="CQ305" s="1579">
        <v>85</v>
      </c>
      <c r="CR305" s="1579">
        <v>55</v>
      </c>
      <c r="CS305" s="1579">
        <f t="shared" si="28"/>
        <v>14.760000000000002</v>
      </c>
      <c r="CT305" s="1579">
        <v>18</v>
      </c>
      <c r="CU305" s="2">
        <f t="shared" si="29"/>
        <v>13</v>
      </c>
      <c r="CV305" s="2" t="str">
        <f t="shared" si="26"/>
        <v>Content &amp; SEO - Associate Content Strategist</v>
      </c>
      <c r="CW305" s="2" t="str">
        <f>_xlfn.XLOOKUP(CL305,'[1]Rates &amp; Drop Downs INT'!D$373:D$430,'[1]Rates &amp; Drop Downs INT'!C$373:C$430,"X",1)</f>
        <v>Cloud &amp; Engineering - 2 | Associate Engineer</v>
      </c>
    </row>
    <row r="306" spans="2:101" ht="13.05" customHeight="1" x14ac:dyDescent="0.25">
      <c r="B306" s="4" t="s">
        <v>283</v>
      </c>
      <c r="C306" s="4" t="s">
        <v>596</v>
      </c>
      <c r="D306" s="4"/>
      <c r="E306" s="4"/>
      <c r="F306" s="4" t="s">
        <v>1545</v>
      </c>
      <c r="G306" s="343">
        <v>50</v>
      </c>
      <c r="H306" s="4" t="s">
        <v>120</v>
      </c>
      <c r="I306" s="344">
        <v>136</v>
      </c>
      <c r="J306" s="345">
        <v>3</v>
      </c>
      <c r="CG306" s="2" t="s">
        <v>262</v>
      </c>
      <c r="CH306" s="2" t="s">
        <v>262</v>
      </c>
      <c r="CI306" s="2" t="s">
        <v>2536</v>
      </c>
      <c r="CJ306" s="2" t="s">
        <v>1790</v>
      </c>
      <c r="CK306" s="2" t="s">
        <v>3357</v>
      </c>
      <c r="CL306" s="2" t="s">
        <v>536</v>
      </c>
      <c r="CM306" s="39">
        <v>3</v>
      </c>
      <c r="CN306" s="2" t="str">
        <f t="shared" si="27"/>
        <v>TADigital NA Consulting | Content &amp; SEO - Associate Manager</v>
      </c>
      <c r="CO306" s="2" t="str">
        <f t="shared" si="30"/>
        <v>TADigital India Consulting | Cloud &amp; Engineering - L2 / B1-B3 | Associate Engineer</v>
      </c>
      <c r="CP306" s="1579">
        <v>210</v>
      </c>
      <c r="CQ306" s="1579">
        <v>107.5</v>
      </c>
      <c r="CR306" s="1579">
        <v>85</v>
      </c>
      <c r="CS306" s="1579">
        <f t="shared" si="28"/>
        <v>28.700000000000003</v>
      </c>
      <c r="CT306" s="1579">
        <v>35</v>
      </c>
      <c r="CU306" s="2">
        <f t="shared" si="29"/>
        <v>13</v>
      </c>
      <c r="CV306" s="2" t="str">
        <f t="shared" si="26"/>
        <v>Content &amp; SEO - Associate Manager</v>
      </c>
      <c r="CW306" s="2" t="str">
        <f>_xlfn.XLOOKUP(CL306,'[1]Rates &amp; Drop Downs INT'!D$373:D$430,'[1]Rates &amp; Drop Downs INT'!C$373:C$430,"X",1)</f>
        <v>Cloud &amp; Engineering - 2 | Associate Engineer</v>
      </c>
    </row>
    <row r="307" spans="2:101" ht="13.05" customHeight="1" x14ac:dyDescent="0.25">
      <c r="B307" s="346" t="s">
        <v>283</v>
      </c>
      <c r="C307" s="356" t="s">
        <v>597</v>
      </c>
      <c r="D307" s="356"/>
      <c r="E307" s="356"/>
      <c r="F307" s="356" t="s">
        <v>1583</v>
      </c>
      <c r="G307" s="347">
        <v>55</v>
      </c>
      <c r="H307" s="346" t="s">
        <v>120</v>
      </c>
      <c r="I307" s="348">
        <v>138</v>
      </c>
      <c r="J307" s="351">
        <v>4</v>
      </c>
      <c r="CG307" s="2" t="s">
        <v>262</v>
      </c>
      <c r="CH307" s="2" t="s">
        <v>262</v>
      </c>
      <c r="CI307" s="2" t="s">
        <v>2536</v>
      </c>
      <c r="CJ307" s="2" t="s">
        <v>1790</v>
      </c>
      <c r="CK307" s="2" t="s">
        <v>370</v>
      </c>
      <c r="CL307" s="2" t="s">
        <v>3548</v>
      </c>
      <c r="CM307" s="39">
        <v>4</v>
      </c>
      <c r="CN307" s="2" t="str">
        <f t="shared" si="27"/>
        <v>TADigital NA Consulting - Sr. Project Manager</v>
      </c>
      <c r="CO307" s="2" t="str">
        <f t="shared" si="30"/>
        <v>TADigital India Consulting | Cloud &amp; Engineering - L2 / B1-B3 | Associate Engineer</v>
      </c>
      <c r="CP307" s="1579">
        <v>235</v>
      </c>
      <c r="CQ307" s="1579">
        <v>116</v>
      </c>
      <c r="CR307" s="1579">
        <v>95</v>
      </c>
      <c r="CS307" s="1579">
        <f t="shared" si="28"/>
        <v>31.160000000000004</v>
      </c>
      <c r="CT307" s="1579">
        <v>38</v>
      </c>
      <c r="CU307" s="2">
        <f t="shared" si="29"/>
        <v>13</v>
      </c>
      <c r="CV307" s="2" t="str">
        <f t="shared" si="26"/>
        <v>Sr. Project Manager</v>
      </c>
      <c r="CW307" s="2" t="str">
        <f>_xlfn.XLOOKUP(CL307,'[1]Rates &amp; Drop Downs INT'!D$373:D$430,'[1]Rates &amp; Drop Downs INT'!C$373:C$430,"X",1)</f>
        <v>Cloud &amp; Engineering - 2 | Associate Engineer</v>
      </c>
    </row>
    <row r="308" spans="2:101" ht="13.05" customHeight="1" x14ac:dyDescent="0.25">
      <c r="B308" s="4" t="s">
        <v>283</v>
      </c>
      <c r="C308" s="65" t="s">
        <v>1474</v>
      </c>
      <c r="D308" s="65"/>
      <c r="E308" s="65"/>
      <c r="F308" s="65" t="s">
        <v>1490</v>
      </c>
      <c r="G308" s="343">
        <v>45</v>
      </c>
      <c r="H308" s="4" t="s">
        <v>120</v>
      </c>
      <c r="I308" s="344">
        <v>120</v>
      </c>
      <c r="J308" s="345">
        <v>2</v>
      </c>
      <c r="CG308" s="2" t="s">
        <v>262</v>
      </c>
      <c r="CH308" s="2" t="s">
        <v>262</v>
      </c>
      <c r="CI308" s="2" t="s">
        <v>2536</v>
      </c>
      <c r="CJ308" s="2" t="s">
        <v>1790</v>
      </c>
      <c r="CK308" s="2" t="s">
        <v>3358</v>
      </c>
      <c r="CL308" s="2" t="s">
        <v>538</v>
      </c>
      <c r="CM308" s="39">
        <v>3</v>
      </c>
      <c r="CN308" s="2" t="str">
        <f t="shared" si="27"/>
        <v>TADigital NA Consulting | Content &amp; SEO - Associate Manager</v>
      </c>
      <c r="CO308" s="2" t="str">
        <f t="shared" si="30"/>
        <v>TADigital India Consulting | Cloud &amp; Engineering - L2 / B1-B3 | Associate Engineer</v>
      </c>
      <c r="CP308" s="1579">
        <v>210</v>
      </c>
      <c r="CQ308" s="1579">
        <v>108</v>
      </c>
      <c r="CR308" s="1579">
        <v>85</v>
      </c>
      <c r="CS308" s="1579">
        <f t="shared" si="28"/>
        <v>28.700000000000003</v>
      </c>
      <c r="CT308" s="1579">
        <v>35</v>
      </c>
      <c r="CU308" s="2">
        <f t="shared" si="29"/>
        <v>13</v>
      </c>
      <c r="CV308" s="2" t="str">
        <f t="shared" si="26"/>
        <v>Content &amp; SEO - Associate Manager</v>
      </c>
      <c r="CW308" s="2" t="str">
        <f>_xlfn.XLOOKUP(CL308,'[1]Rates &amp; Drop Downs INT'!D$373:D$430,'[1]Rates &amp; Drop Downs INT'!C$373:C$430,"X",1)</f>
        <v>Cloud &amp; Engineering - 2 | Associate Engineer</v>
      </c>
    </row>
    <row r="309" spans="2:101" ht="13.05" customHeight="1" x14ac:dyDescent="0.25">
      <c r="B309" s="346" t="s">
        <v>283</v>
      </c>
      <c r="C309" s="356" t="s">
        <v>1475</v>
      </c>
      <c r="D309" s="356"/>
      <c r="E309" s="356"/>
      <c r="F309" s="356" t="s">
        <v>1491</v>
      </c>
      <c r="G309" s="347">
        <v>45</v>
      </c>
      <c r="H309" s="346" t="s">
        <v>120</v>
      </c>
      <c r="I309" s="348">
        <v>120</v>
      </c>
      <c r="J309" s="351">
        <v>2</v>
      </c>
      <c r="CG309" s="2" t="s">
        <v>262</v>
      </c>
      <c r="CH309" s="2" t="s">
        <v>262</v>
      </c>
      <c r="CI309" s="2" t="s">
        <v>2536</v>
      </c>
      <c r="CJ309" s="2" t="s">
        <v>1790</v>
      </c>
      <c r="CK309" s="2" t="s">
        <v>3352</v>
      </c>
      <c r="CL309" s="2" t="s">
        <v>3549</v>
      </c>
      <c r="CM309" s="39">
        <v>5</v>
      </c>
      <c r="CN309" s="2" t="str">
        <f t="shared" si="27"/>
        <v>TADigital NA | Management - Practice Director / Delivery Director</v>
      </c>
      <c r="CO309" s="2" t="str">
        <f t="shared" si="30"/>
        <v>TADigital India Consulting | Cloud &amp; Engineering - L2 / B1-B3 | Associate Engineer</v>
      </c>
      <c r="CP309" s="1579">
        <v>315</v>
      </c>
      <c r="CQ309" s="1579">
        <v>165</v>
      </c>
      <c r="CR309" s="1579">
        <v>115</v>
      </c>
      <c r="CS309" s="1579">
        <f t="shared" si="28"/>
        <v>45.1</v>
      </c>
      <c r="CT309" s="1579">
        <v>55</v>
      </c>
      <c r="CU309" s="2">
        <f t="shared" si="29"/>
        <v>13</v>
      </c>
      <c r="CV309" s="2" t="str">
        <f t="shared" si="26"/>
        <v>Management - Practice Director / Delivery Director</v>
      </c>
      <c r="CW309" s="2" t="str">
        <f>_xlfn.XLOOKUP(CL309,'[1]Rates &amp; Drop Downs INT'!D$373:D$430,'[1]Rates &amp; Drop Downs INT'!C$373:C$430,"X",1)</f>
        <v>Cloud &amp; Engineering - 2 | Associate Engineer</v>
      </c>
    </row>
    <row r="310" spans="2:101" ht="13.05" customHeight="1" x14ac:dyDescent="0.25">
      <c r="B310" s="4" t="s">
        <v>283</v>
      </c>
      <c r="C310" s="65" t="s">
        <v>1528</v>
      </c>
      <c r="D310" s="65"/>
      <c r="E310" s="65"/>
      <c r="F310" s="65" t="s">
        <v>1546</v>
      </c>
      <c r="G310" s="343">
        <v>45</v>
      </c>
      <c r="H310" s="4" t="s">
        <v>120</v>
      </c>
      <c r="I310" s="344">
        <v>120</v>
      </c>
      <c r="J310" s="345">
        <v>3</v>
      </c>
      <c r="CG310" s="2" t="s">
        <v>262</v>
      </c>
      <c r="CH310" s="2" t="s">
        <v>262</v>
      </c>
      <c r="CI310" s="2" t="s">
        <v>2536</v>
      </c>
      <c r="CJ310" s="2" t="s">
        <v>1790</v>
      </c>
      <c r="CK310" s="2" t="s">
        <v>3353</v>
      </c>
      <c r="CL310" s="2" t="s">
        <v>3549</v>
      </c>
      <c r="CM310" s="39">
        <v>6</v>
      </c>
      <c r="CN310" s="2" t="str">
        <f t="shared" si="27"/>
        <v>TADigital NA | Management - Practice VP / Delivery VP</v>
      </c>
      <c r="CO310" s="2" t="str">
        <f t="shared" si="30"/>
        <v>TADigital India Consulting | Cloud &amp; Engineering - L2 / B1-B3 | Associate Engineer</v>
      </c>
      <c r="CP310" s="1579">
        <v>370</v>
      </c>
      <c r="CQ310" s="1579">
        <v>172.5</v>
      </c>
      <c r="CR310" s="1579">
        <v>135</v>
      </c>
      <c r="CS310" s="1579">
        <f t="shared" si="28"/>
        <v>51.250000000000007</v>
      </c>
      <c r="CT310" s="1579">
        <v>62.5</v>
      </c>
      <c r="CU310" s="2">
        <f t="shared" si="29"/>
        <v>13</v>
      </c>
      <c r="CV310" s="2" t="str">
        <f t="shared" si="26"/>
        <v>Management - Practice VP / Delivery VP</v>
      </c>
      <c r="CW310" s="2" t="str">
        <f>_xlfn.XLOOKUP(CL310,'[1]Rates &amp; Drop Downs INT'!D$373:D$430,'[1]Rates &amp; Drop Downs INT'!C$373:C$430,"X",1)</f>
        <v>Cloud &amp; Engineering - 2 | Associate Engineer</v>
      </c>
    </row>
    <row r="311" spans="2:101" ht="13.05" customHeight="1" x14ac:dyDescent="0.25">
      <c r="B311" s="346" t="s">
        <v>283</v>
      </c>
      <c r="C311" s="356" t="s">
        <v>1529</v>
      </c>
      <c r="D311" s="356"/>
      <c r="E311" s="356"/>
      <c r="F311" s="356" t="s">
        <v>1547</v>
      </c>
      <c r="G311" s="347">
        <v>45</v>
      </c>
      <c r="H311" s="346" t="s">
        <v>120</v>
      </c>
      <c r="I311" s="348">
        <v>120</v>
      </c>
      <c r="J311" s="351">
        <v>3</v>
      </c>
      <c r="CG311" s="2" t="s">
        <v>262</v>
      </c>
      <c r="CH311" s="2" t="s">
        <v>262</v>
      </c>
      <c r="CI311" s="2" t="s">
        <v>2536</v>
      </c>
      <c r="CJ311" s="2" t="s">
        <v>1790</v>
      </c>
      <c r="CK311" s="2" t="s">
        <v>3359</v>
      </c>
      <c r="CL311" s="2" t="s">
        <v>3550</v>
      </c>
      <c r="CM311" s="39">
        <v>2</v>
      </c>
      <c r="CN311" s="2" t="str">
        <f t="shared" si="27"/>
        <v>TADigital NA Consulting - Project Manager / Product Manager</v>
      </c>
      <c r="CO311" s="2" t="str">
        <f t="shared" si="30"/>
        <v>TADigital India Consulting | Cloud &amp; Engineering - L2 / B1-B3 | Associate Engineer</v>
      </c>
      <c r="CP311" s="1579">
        <v>190</v>
      </c>
      <c r="CQ311" s="1579">
        <v>105</v>
      </c>
      <c r="CR311" s="1579">
        <v>65</v>
      </c>
      <c r="CS311" s="1579">
        <f t="shared" si="28"/>
        <v>22.96</v>
      </c>
      <c r="CT311" s="1579">
        <v>28</v>
      </c>
      <c r="CU311" s="2">
        <f t="shared" si="29"/>
        <v>13</v>
      </c>
      <c r="CV311" s="2" t="str">
        <f t="shared" si="26"/>
        <v>Project Manager / Product Manager</v>
      </c>
      <c r="CW311" s="2" t="str">
        <f>_xlfn.XLOOKUP(CL311,'[1]Rates &amp; Drop Downs INT'!D$373:D$430,'[1]Rates &amp; Drop Downs INT'!C$373:C$430,"X",1)</f>
        <v>Cloud &amp; Engineering - 2 | Associate Engineer</v>
      </c>
    </row>
    <row r="312" spans="2:101" ht="13.05" customHeight="1" x14ac:dyDescent="0.25">
      <c r="B312" s="4" t="s">
        <v>283</v>
      </c>
      <c r="C312" s="65" t="s">
        <v>1605</v>
      </c>
      <c r="D312" s="65"/>
      <c r="E312" s="65"/>
      <c r="F312" s="65" t="s">
        <v>1584</v>
      </c>
      <c r="G312" s="343">
        <v>60</v>
      </c>
      <c r="H312" s="4" t="s">
        <v>120</v>
      </c>
      <c r="I312" s="344">
        <v>134</v>
      </c>
      <c r="J312" s="345">
        <v>4</v>
      </c>
      <c r="CG312" s="2" t="s">
        <v>262</v>
      </c>
      <c r="CH312" s="2" t="s">
        <v>262</v>
      </c>
      <c r="CI312" s="2" t="s">
        <v>2536</v>
      </c>
      <c r="CJ312" s="2" t="s">
        <v>1790</v>
      </c>
      <c r="CK312" s="2" t="s">
        <v>3360</v>
      </c>
      <c r="CL312" s="2" t="s">
        <v>3546</v>
      </c>
      <c r="CM312" s="39">
        <v>5</v>
      </c>
      <c r="CN312" s="2" t="str">
        <f t="shared" si="27"/>
        <v>TADigital NA Digital - Sr. Technical Architect</v>
      </c>
      <c r="CO312" s="2" t="str">
        <f t="shared" si="30"/>
        <v>TADigital India Consulting | Cloud &amp; Engineering - L2 / B1-B3 | Associate Engineer</v>
      </c>
      <c r="CP312" s="1579">
        <v>275</v>
      </c>
      <c r="CQ312" s="1579">
        <v>162.5</v>
      </c>
      <c r="CR312" s="1579">
        <v>105</v>
      </c>
      <c r="CS312" s="1579">
        <f t="shared" si="28"/>
        <v>41</v>
      </c>
      <c r="CT312" s="1579">
        <v>50</v>
      </c>
      <c r="CU312" s="2">
        <f t="shared" si="29"/>
        <v>13</v>
      </c>
      <c r="CV312" s="2" t="str">
        <f t="shared" si="26"/>
        <v>Sr. Technical Architect</v>
      </c>
      <c r="CW312" s="2" t="str">
        <f>_xlfn.XLOOKUP(CL312,'[1]Rates &amp; Drop Downs INT'!D$373:D$430,'[1]Rates &amp; Drop Downs INT'!C$373:C$430,"X",1)</f>
        <v>Cloud &amp; Engineering - 2 | Associate Engineer</v>
      </c>
    </row>
    <row r="313" spans="2:101" ht="13.05" customHeight="1" x14ac:dyDescent="0.25">
      <c r="B313" s="346" t="s">
        <v>283</v>
      </c>
      <c r="C313" s="356" t="s">
        <v>1614</v>
      </c>
      <c r="D313" s="356"/>
      <c r="E313" s="356"/>
      <c r="F313" s="356" t="s">
        <v>1624</v>
      </c>
      <c r="G313" s="347">
        <v>70</v>
      </c>
      <c r="H313" s="346" t="s">
        <v>120</v>
      </c>
      <c r="I313" s="348">
        <v>140</v>
      </c>
      <c r="J313" s="353">
        <v>5</v>
      </c>
      <c r="CG313" s="2" t="s">
        <v>262</v>
      </c>
      <c r="CH313" s="2" t="s">
        <v>262</v>
      </c>
      <c r="CI313" s="2" t="s">
        <v>2536</v>
      </c>
      <c r="CJ313" s="2" t="s">
        <v>1790</v>
      </c>
      <c r="CK313" s="2" t="s">
        <v>3361</v>
      </c>
      <c r="CL313" s="2" t="s">
        <v>3547</v>
      </c>
      <c r="CM313" s="39">
        <v>2</v>
      </c>
      <c r="CN313" s="2" t="str">
        <f t="shared" si="27"/>
        <v>TADigital NA Consulting - Project Manager / Product Manager</v>
      </c>
      <c r="CO313" s="2" t="str">
        <f t="shared" si="30"/>
        <v>TADigital India Consulting | Cloud &amp; Engineering - L2 / B1-B3 | Associate Engineer</v>
      </c>
      <c r="CP313" s="1579">
        <v>190</v>
      </c>
      <c r="CQ313" s="1579">
        <v>105</v>
      </c>
      <c r="CR313" s="1579">
        <v>65</v>
      </c>
      <c r="CS313" s="1579">
        <f t="shared" si="28"/>
        <v>22.55</v>
      </c>
      <c r="CT313" s="1579">
        <v>27.5</v>
      </c>
      <c r="CU313" s="2">
        <f t="shared" si="29"/>
        <v>13</v>
      </c>
      <c r="CV313" s="2" t="str">
        <f t="shared" si="26"/>
        <v>Project Manager / Product Manager</v>
      </c>
      <c r="CW313" s="2" t="str">
        <f>_xlfn.XLOOKUP(CL313,'[1]Rates &amp; Drop Downs INT'!D$373:D$430,'[1]Rates &amp; Drop Downs INT'!C$373:C$430,"X",1)</f>
        <v>Cloud &amp; Engineering - 2 | Associate Engineer</v>
      </c>
    </row>
    <row r="314" spans="2:101" ht="13.05" customHeight="1" x14ac:dyDescent="0.25">
      <c r="B314" s="4" t="s">
        <v>283</v>
      </c>
      <c r="C314" s="65" t="s">
        <v>1664</v>
      </c>
      <c r="D314" s="65"/>
      <c r="E314" s="65"/>
      <c r="F314" s="65" t="s">
        <v>1646</v>
      </c>
      <c r="G314" s="343">
        <v>85</v>
      </c>
      <c r="H314" s="4" t="s">
        <v>120</v>
      </c>
      <c r="I314" s="344">
        <v>155</v>
      </c>
      <c r="J314" s="345">
        <v>6</v>
      </c>
      <c r="CG314" s="2" t="s">
        <v>262</v>
      </c>
      <c r="CH314" s="2" t="s">
        <v>262</v>
      </c>
      <c r="CI314" s="2" t="s">
        <v>2536</v>
      </c>
      <c r="CJ314" s="2" t="s">
        <v>1790</v>
      </c>
      <c r="CK314" s="2" t="s">
        <v>3362</v>
      </c>
      <c r="CL314" s="2" t="s">
        <v>3546</v>
      </c>
      <c r="CM314" s="39">
        <v>5</v>
      </c>
      <c r="CN314" s="2" t="str">
        <f t="shared" si="27"/>
        <v>TADigital NA Digital - Sr. Technical Architect</v>
      </c>
      <c r="CO314" s="2" t="str">
        <f t="shared" si="30"/>
        <v>TADigital India Consulting | Cloud &amp; Engineering - L2 / B1-B3 | Associate Engineer</v>
      </c>
      <c r="CP314" s="1579">
        <v>275</v>
      </c>
      <c r="CQ314" s="1579">
        <v>162.5</v>
      </c>
      <c r="CR314" s="1579">
        <v>105</v>
      </c>
      <c r="CS314" s="1579">
        <f t="shared" si="28"/>
        <v>41</v>
      </c>
      <c r="CT314" s="1579">
        <v>50</v>
      </c>
      <c r="CU314" s="2">
        <f t="shared" si="29"/>
        <v>13</v>
      </c>
      <c r="CV314" s="2" t="str">
        <f t="shared" si="26"/>
        <v>Sr. Technical Architect</v>
      </c>
      <c r="CW314" s="2" t="str">
        <f>_xlfn.XLOOKUP(CL314,'[1]Rates &amp; Drop Downs INT'!D$373:D$430,'[1]Rates &amp; Drop Downs INT'!C$373:C$430,"X",1)</f>
        <v>Cloud &amp; Engineering - 2 | Associate Engineer</v>
      </c>
    </row>
    <row r="315" spans="2:101" ht="13.05" customHeight="1" x14ac:dyDescent="0.25">
      <c r="B315" s="346" t="s">
        <v>294</v>
      </c>
      <c r="C315" s="356" t="s">
        <v>1469</v>
      </c>
      <c r="D315" s="356"/>
      <c r="E315" s="356"/>
      <c r="F315" s="356" t="s">
        <v>1492</v>
      </c>
      <c r="G315" s="347">
        <v>13</v>
      </c>
      <c r="H315" s="346" t="s">
        <v>120</v>
      </c>
      <c r="I315" s="348">
        <v>36</v>
      </c>
      <c r="J315" s="351">
        <v>2</v>
      </c>
      <c r="CG315" s="2" t="s">
        <v>262</v>
      </c>
      <c r="CH315" s="2" t="s">
        <v>262</v>
      </c>
      <c r="CI315" s="2" t="s">
        <v>2536</v>
      </c>
      <c r="CJ315" s="2" t="s">
        <v>1790</v>
      </c>
      <c r="CK315" s="2" t="s">
        <v>3354</v>
      </c>
      <c r="CL315" s="2" t="s">
        <v>3549</v>
      </c>
      <c r="CM315" s="39">
        <v>5</v>
      </c>
      <c r="CN315" s="2" t="str">
        <f t="shared" si="27"/>
        <v>TADigital NA | Management - Sr. Practice Director / Sr. Delivery Director</v>
      </c>
      <c r="CO315" s="2" t="str">
        <f t="shared" si="30"/>
        <v>TADigital India Consulting | Cloud &amp; Engineering - L2 / B1-B3 | Associate Engineer</v>
      </c>
      <c r="CP315" s="1579">
        <v>340</v>
      </c>
      <c r="CQ315" s="1579">
        <v>170</v>
      </c>
      <c r="CR315" s="1579">
        <v>125</v>
      </c>
      <c r="CS315" s="1579">
        <f t="shared" si="28"/>
        <v>49.2</v>
      </c>
      <c r="CT315" s="1579">
        <v>60</v>
      </c>
      <c r="CU315" s="2">
        <f t="shared" si="29"/>
        <v>13</v>
      </c>
      <c r="CV315" s="2" t="str">
        <f t="shared" si="26"/>
        <v>Management - Sr. Practice Director / Sr. Delivery Director</v>
      </c>
      <c r="CW315" s="2" t="str">
        <f>_xlfn.XLOOKUP(CL315,'[1]Rates &amp; Drop Downs INT'!D$373:D$430,'[1]Rates &amp; Drop Downs INT'!C$373:C$430,"X",1)</f>
        <v>Cloud &amp; Engineering - 2 | Associate Engineer</v>
      </c>
    </row>
    <row r="316" spans="2:101" ht="13.05" customHeight="1" x14ac:dyDescent="0.25">
      <c r="B316" s="4" t="s">
        <v>294</v>
      </c>
      <c r="C316" s="65" t="s">
        <v>1470</v>
      </c>
      <c r="D316" s="65"/>
      <c r="E316" s="65"/>
      <c r="F316" s="65" t="s">
        <v>1493</v>
      </c>
      <c r="G316" s="343">
        <v>21</v>
      </c>
      <c r="H316" s="4" t="s">
        <v>120</v>
      </c>
      <c r="I316" s="344">
        <v>57</v>
      </c>
      <c r="J316" s="345">
        <v>2</v>
      </c>
      <c r="CG316" s="2" t="s">
        <v>262</v>
      </c>
      <c r="CH316" s="2" t="s">
        <v>262</v>
      </c>
      <c r="CI316" s="2" t="s">
        <v>1211</v>
      </c>
      <c r="CJ316" s="2" t="s">
        <v>1787</v>
      </c>
      <c r="CK316" s="2" t="s">
        <v>3355</v>
      </c>
      <c r="CL316" s="2" t="s">
        <v>3547</v>
      </c>
      <c r="CM316" s="39">
        <v>2</v>
      </c>
      <c r="CN316" s="2" t="str">
        <f t="shared" si="27"/>
        <v>TADigital NA Consulting | Content &amp; SEO - Associate Web Content Analyst</v>
      </c>
      <c r="CO316" s="2" t="str">
        <f t="shared" si="30"/>
        <v>TADigital India Consulting | Cloud &amp; Engineering - L2 / B1-B3 | Associate Engineer</v>
      </c>
      <c r="CP316" s="1579">
        <v>0</v>
      </c>
      <c r="CQ316" s="1579">
        <v>0</v>
      </c>
      <c r="CR316" s="1579">
        <v>35</v>
      </c>
      <c r="CS316" s="1579">
        <f t="shared" si="28"/>
        <v>10.66</v>
      </c>
      <c r="CT316" s="1579">
        <v>13</v>
      </c>
      <c r="CU316" s="2">
        <f t="shared" si="29"/>
        <v>13</v>
      </c>
      <c r="CV316" s="2" t="str">
        <f t="shared" si="26"/>
        <v>Content &amp; SEO - Associate Web Content Analyst</v>
      </c>
      <c r="CW316" s="2" t="str">
        <f>_xlfn.XLOOKUP(CL316,'[1]Rates &amp; Drop Downs INT'!D$373:D$430,'[1]Rates &amp; Drop Downs INT'!C$373:C$430,"X",1)</f>
        <v>Cloud &amp; Engineering - 2 | Associate Engineer</v>
      </c>
    </row>
    <row r="317" spans="2:101" ht="13.05" customHeight="1" x14ac:dyDescent="0.25">
      <c r="B317" s="346" t="s">
        <v>294</v>
      </c>
      <c r="C317" s="346" t="s">
        <v>1522</v>
      </c>
      <c r="D317" s="346"/>
      <c r="E317" s="346"/>
      <c r="F317" s="346" t="s">
        <v>1548</v>
      </c>
      <c r="G317" s="347">
        <v>39</v>
      </c>
      <c r="H317" s="346" t="s">
        <v>120</v>
      </c>
      <c r="I317" s="348">
        <v>87</v>
      </c>
      <c r="J317" s="351">
        <v>3</v>
      </c>
      <c r="CG317" s="2" t="s">
        <v>262</v>
      </c>
      <c r="CH317" s="2" t="s">
        <v>262</v>
      </c>
      <c r="CI317" s="2" t="s">
        <v>1211</v>
      </c>
      <c r="CJ317" s="2" t="s">
        <v>1787</v>
      </c>
      <c r="CK317" s="2" t="s">
        <v>3356</v>
      </c>
      <c r="CL317" s="2" t="s">
        <v>3545</v>
      </c>
      <c r="CM317" s="39">
        <v>2</v>
      </c>
      <c r="CN317" s="2" t="str">
        <f t="shared" si="27"/>
        <v>TADigital NA Consulting | Content &amp; SEO - Associate Web Content Analyst</v>
      </c>
      <c r="CO317" s="2" t="str">
        <f t="shared" si="30"/>
        <v>TADigital India Consulting | Cloud &amp; Engineering - L2 / B1-B3 | Associate Engineer</v>
      </c>
      <c r="CP317" s="1579">
        <v>0</v>
      </c>
      <c r="CQ317" s="1579">
        <v>0</v>
      </c>
      <c r="CR317" s="1579">
        <v>35</v>
      </c>
      <c r="CS317" s="1579">
        <f t="shared" si="28"/>
        <v>10.66</v>
      </c>
      <c r="CT317" s="1579">
        <v>13</v>
      </c>
      <c r="CU317" s="2">
        <f t="shared" si="29"/>
        <v>13</v>
      </c>
      <c r="CV317" s="2" t="str">
        <f t="shared" si="26"/>
        <v>Content &amp; SEO - Associate Web Content Analyst</v>
      </c>
      <c r="CW317" s="2" t="str">
        <f>_xlfn.XLOOKUP(CL317,'[1]Rates &amp; Drop Downs INT'!D$373:D$430,'[1]Rates &amp; Drop Downs INT'!C$373:C$430,"X",1)</f>
        <v>Cloud &amp; Engineering - 2 | Associate Engineer</v>
      </c>
    </row>
    <row r="318" spans="2:101" ht="13.05" customHeight="1" x14ac:dyDescent="0.25">
      <c r="B318" s="4" t="s">
        <v>294</v>
      </c>
      <c r="C318" s="4" t="s">
        <v>1523</v>
      </c>
      <c r="D318" s="4"/>
      <c r="E318" s="4"/>
      <c r="F318" s="4" t="s">
        <v>1549</v>
      </c>
      <c r="G318" s="343">
        <v>49</v>
      </c>
      <c r="H318" s="4" t="s">
        <v>120</v>
      </c>
      <c r="I318" s="344">
        <v>103</v>
      </c>
      <c r="J318" s="345">
        <v>3</v>
      </c>
      <c r="CG318" s="2" t="s">
        <v>262</v>
      </c>
      <c r="CH318" s="2" t="s">
        <v>262</v>
      </c>
      <c r="CI318" s="2" t="s">
        <v>1211</v>
      </c>
      <c r="CJ318" s="2" t="s">
        <v>1787</v>
      </c>
      <c r="CK318" s="2" t="s">
        <v>3351</v>
      </c>
      <c r="CL318" s="2" t="s">
        <v>3545</v>
      </c>
      <c r="CM318" s="39">
        <v>2</v>
      </c>
      <c r="CN318" s="2" t="str">
        <f t="shared" si="27"/>
        <v>TADigital NA Consulting | Content &amp; SEO - Associate Web Content Analyst</v>
      </c>
      <c r="CO318" s="2" t="str">
        <f t="shared" si="30"/>
        <v>TADigital India Consulting | Cloud &amp; Engineering - L2 / B1-B3 | Associate Engineer</v>
      </c>
      <c r="CP318" s="1579">
        <v>0</v>
      </c>
      <c r="CQ318" s="1579">
        <v>0</v>
      </c>
      <c r="CR318" s="1579">
        <v>35</v>
      </c>
      <c r="CS318" s="1579">
        <f t="shared" si="28"/>
        <v>10.66</v>
      </c>
      <c r="CT318" s="1579">
        <v>13</v>
      </c>
      <c r="CU318" s="2">
        <f t="shared" si="29"/>
        <v>13</v>
      </c>
      <c r="CV318" s="2" t="str">
        <f t="shared" si="26"/>
        <v>Content &amp; SEO - Associate Web Content Analyst</v>
      </c>
      <c r="CW318" s="2" t="str">
        <f>_xlfn.XLOOKUP(CL318,'[1]Rates &amp; Drop Downs INT'!D$373:D$430,'[1]Rates &amp; Drop Downs INT'!C$373:C$430,"X",1)</f>
        <v>Cloud &amp; Engineering - 2 | Associate Engineer</v>
      </c>
    </row>
    <row r="319" spans="2:101" ht="13.05" customHeight="1" x14ac:dyDescent="0.25">
      <c r="B319" s="346" t="s">
        <v>294</v>
      </c>
      <c r="C319" s="346" t="s">
        <v>1603</v>
      </c>
      <c r="D319" s="346"/>
      <c r="E319" s="346"/>
      <c r="F319" s="346" t="s">
        <v>1585</v>
      </c>
      <c r="G319" s="347">
        <v>60</v>
      </c>
      <c r="H319" s="346" t="s">
        <v>120</v>
      </c>
      <c r="I319" s="348">
        <v>120</v>
      </c>
      <c r="J319" s="351">
        <v>4</v>
      </c>
      <c r="CG319" s="2" t="s">
        <v>262</v>
      </c>
      <c r="CH319" s="2" t="s">
        <v>262</v>
      </c>
      <c r="CI319" s="2" t="s">
        <v>1211</v>
      </c>
      <c r="CJ319" s="2" t="s">
        <v>1787</v>
      </c>
      <c r="CK319" s="2" t="s">
        <v>720</v>
      </c>
      <c r="CL319" s="2" t="s">
        <v>3546</v>
      </c>
      <c r="CM319" s="39">
        <v>5</v>
      </c>
      <c r="CN319" s="2" t="str">
        <f t="shared" si="27"/>
        <v>TADigital NA | Management - Associate Practice Director</v>
      </c>
      <c r="CO319" s="2" t="str">
        <f t="shared" si="30"/>
        <v>TADigital India Consulting | Cloud &amp; Engineering - L2 / B1-B3 | Associate Engineer</v>
      </c>
      <c r="CP319" s="1579">
        <v>290</v>
      </c>
      <c r="CQ319" s="1579">
        <v>140</v>
      </c>
      <c r="CR319" s="1579">
        <v>105</v>
      </c>
      <c r="CS319" s="1579">
        <f t="shared" si="28"/>
        <v>45.1</v>
      </c>
      <c r="CT319" s="1579">
        <v>55</v>
      </c>
      <c r="CU319" s="2">
        <f t="shared" si="29"/>
        <v>13</v>
      </c>
      <c r="CV319" s="2" t="str">
        <f t="shared" si="26"/>
        <v>Management - Associate Practice Director</v>
      </c>
      <c r="CW319" s="2" t="str">
        <f>_xlfn.XLOOKUP(CL319,'[1]Rates &amp; Drop Downs INT'!D$373:D$430,'[1]Rates &amp; Drop Downs INT'!C$373:C$430,"X",1)</f>
        <v>Cloud &amp; Engineering - 2 | Associate Engineer</v>
      </c>
    </row>
    <row r="320" spans="2:101" ht="13.05" customHeight="1" x14ac:dyDescent="0.25">
      <c r="B320" s="4" t="s">
        <v>294</v>
      </c>
      <c r="C320" s="4" t="s">
        <v>1612</v>
      </c>
      <c r="D320" s="4"/>
      <c r="E320" s="4"/>
      <c r="F320" s="4" t="s">
        <v>1625</v>
      </c>
      <c r="G320" s="343">
        <v>81</v>
      </c>
      <c r="H320" s="4" t="s">
        <v>120</v>
      </c>
      <c r="I320" s="344">
        <v>148</v>
      </c>
      <c r="J320" s="355">
        <v>5</v>
      </c>
      <c r="CG320" s="2" t="s">
        <v>262</v>
      </c>
      <c r="CH320" s="2" t="s">
        <v>262</v>
      </c>
      <c r="CI320" s="2" t="s">
        <v>1211</v>
      </c>
      <c r="CJ320" s="2" t="s">
        <v>1787</v>
      </c>
      <c r="CK320" s="2" t="s">
        <v>367</v>
      </c>
      <c r="CL320" s="2" t="s">
        <v>536</v>
      </c>
      <c r="CM320" s="39">
        <v>2</v>
      </c>
      <c r="CN320" s="2" t="str">
        <f t="shared" si="27"/>
        <v>TADigital NA Consulting | Content &amp; SEO - Associate Content Strategist</v>
      </c>
      <c r="CO320" s="2" t="str">
        <f t="shared" si="30"/>
        <v>TADigital India Consulting | Cloud &amp; Engineering - L2 / B1-B3 | Associate Engineer</v>
      </c>
      <c r="CP320" s="1579">
        <v>160</v>
      </c>
      <c r="CQ320" s="1579">
        <v>85</v>
      </c>
      <c r="CR320" s="1579">
        <v>55</v>
      </c>
      <c r="CS320" s="1579">
        <f t="shared" si="28"/>
        <v>14.760000000000002</v>
      </c>
      <c r="CT320" s="1579">
        <v>18</v>
      </c>
      <c r="CU320" s="2">
        <f t="shared" si="29"/>
        <v>13</v>
      </c>
      <c r="CV320" s="2" t="str">
        <f t="shared" si="26"/>
        <v>Content &amp; SEO - Associate Content Strategist</v>
      </c>
      <c r="CW320" s="2" t="str">
        <f>_xlfn.XLOOKUP(CL320,'[1]Rates &amp; Drop Downs INT'!D$373:D$430,'[1]Rates &amp; Drop Downs INT'!C$373:C$430,"X",1)</f>
        <v>Cloud &amp; Engineering - 2 | Associate Engineer</v>
      </c>
    </row>
    <row r="321" spans="2:101" ht="13.05" customHeight="1" x14ac:dyDescent="0.25">
      <c r="B321" s="346" t="s">
        <v>294</v>
      </c>
      <c r="C321" s="346" t="s">
        <v>1662</v>
      </c>
      <c r="D321" s="346"/>
      <c r="E321" s="346"/>
      <c r="F321" s="346" t="s">
        <v>1647</v>
      </c>
      <c r="G321" s="347">
        <v>99</v>
      </c>
      <c r="H321" s="346" t="s">
        <v>120</v>
      </c>
      <c r="I321" s="348">
        <v>165</v>
      </c>
      <c r="J321" s="351">
        <v>6</v>
      </c>
      <c r="CG321" s="2" t="s">
        <v>262</v>
      </c>
      <c r="CH321" s="2" t="s">
        <v>262</v>
      </c>
      <c r="CI321" s="2" t="s">
        <v>1211</v>
      </c>
      <c r="CJ321" s="2" t="s">
        <v>1787</v>
      </c>
      <c r="CK321" s="2" t="s">
        <v>348</v>
      </c>
      <c r="CL321" s="2" t="s">
        <v>538</v>
      </c>
      <c r="CM321" s="39">
        <v>4</v>
      </c>
      <c r="CN321" s="2" t="str">
        <f t="shared" si="27"/>
        <v>TADigital NA Consulting - Sr. Project Manager</v>
      </c>
      <c r="CO321" s="2" t="str">
        <f t="shared" si="30"/>
        <v>TADigital India Consulting | Cloud &amp; Engineering - L2 / B1-B3 | Associate Engineer</v>
      </c>
      <c r="CP321" s="1579">
        <v>235</v>
      </c>
      <c r="CQ321" s="1579">
        <v>115.5</v>
      </c>
      <c r="CR321" s="1579">
        <v>95</v>
      </c>
      <c r="CS321" s="1579">
        <f t="shared" si="28"/>
        <v>30.750000000000004</v>
      </c>
      <c r="CT321" s="1579">
        <v>37.5</v>
      </c>
      <c r="CU321" s="2">
        <f t="shared" si="29"/>
        <v>13</v>
      </c>
      <c r="CV321" s="2" t="str">
        <f t="shared" si="26"/>
        <v>Sr. Project Manager</v>
      </c>
      <c r="CW321" s="2" t="str">
        <f>_xlfn.XLOOKUP(CL321,'[1]Rates &amp; Drop Downs INT'!D$373:D$430,'[1]Rates &amp; Drop Downs INT'!C$373:C$430,"X",1)</f>
        <v>Cloud &amp; Engineering - 2 | Associate Engineer</v>
      </c>
    </row>
    <row r="322" spans="2:101" ht="13.05" customHeight="1" x14ac:dyDescent="0.25">
      <c r="B322" s="4" t="s">
        <v>294</v>
      </c>
      <c r="C322" s="4" t="s">
        <v>1476</v>
      </c>
      <c r="D322" s="4"/>
      <c r="E322" s="4"/>
      <c r="F322" s="4" t="s">
        <v>1494</v>
      </c>
      <c r="G322" s="343">
        <v>11</v>
      </c>
      <c r="H322" s="4" t="s">
        <v>120</v>
      </c>
      <c r="I322" s="344">
        <v>30</v>
      </c>
      <c r="J322" s="345">
        <v>2</v>
      </c>
      <c r="CG322" s="2" t="s">
        <v>262</v>
      </c>
      <c r="CH322" s="2" t="s">
        <v>262</v>
      </c>
      <c r="CI322" s="2" t="s">
        <v>1211</v>
      </c>
      <c r="CJ322" s="2" t="s">
        <v>1787</v>
      </c>
      <c r="CK322" s="2" t="s">
        <v>315</v>
      </c>
      <c r="CL322" s="2" t="s">
        <v>3550</v>
      </c>
      <c r="CM322" s="39">
        <v>2</v>
      </c>
      <c r="CN322" s="2" t="str">
        <f t="shared" si="27"/>
        <v>TADigital NA Consulting | Content &amp; SEO - Associate Content Strategist</v>
      </c>
      <c r="CO322" s="2" t="str">
        <f t="shared" si="30"/>
        <v>TADigital India Consulting | Cloud &amp; Engineering - L2 / B1-B3 | Associate Engineer</v>
      </c>
      <c r="CP322" s="1579">
        <v>160</v>
      </c>
      <c r="CQ322" s="1579">
        <v>85</v>
      </c>
      <c r="CR322" s="1579">
        <v>55</v>
      </c>
      <c r="CS322" s="1579">
        <f t="shared" si="28"/>
        <v>14.760000000000002</v>
      </c>
      <c r="CT322" s="1579">
        <v>18</v>
      </c>
      <c r="CU322" s="2">
        <f t="shared" si="29"/>
        <v>13</v>
      </c>
      <c r="CV322" s="2" t="str">
        <f t="shared" si="26"/>
        <v>Content &amp; SEO - Associate Content Strategist</v>
      </c>
      <c r="CW322" s="2" t="str">
        <f>_xlfn.XLOOKUP(CL322,'[1]Rates &amp; Drop Downs INT'!D$373:D$430,'[1]Rates &amp; Drop Downs INT'!C$373:C$430,"X",1)</f>
        <v>Cloud &amp; Engineering - 2 | Associate Engineer</v>
      </c>
    </row>
    <row r="323" spans="2:101" ht="13.05" customHeight="1" x14ac:dyDescent="0.25">
      <c r="B323" s="346" t="s">
        <v>294</v>
      </c>
      <c r="C323" s="346" t="s">
        <v>1477</v>
      </c>
      <c r="D323" s="346"/>
      <c r="E323" s="346"/>
      <c r="F323" s="346" t="s">
        <v>1495</v>
      </c>
      <c r="G323" s="347">
        <v>18</v>
      </c>
      <c r="H323" s="346" t="s">
        <v>120</v>
      </c>
      <c r="I323" s="348">
        <v>49</v>
      </c>
      <c r="J323" s="351">
        <v>2</v>
      </c>
      <c r="CG323" s="2" t="s">
        <v>262</v>
      </c>
      <c r="CH323" s="2" t="s">
        <v>262</v>
      </c>
      <c r="CI323" s="2" t="s">
        <v>1211</v>
      </c>
      <c r="CJ323" s="2" t="s">
        <v>1787</v>
      </c>
      <c r="CK323" s="2" t="s">
        <v>3357</v>
      </c>
      <c r="CL323" s="2" t="s">
        <v>536</v>
      </c>
      <c r="CM323" s="39">
        <v>3</v>
      </c>
      <c r="CN323" s="2" t="str">
        <f t="shared" si="27"/>
        <v>TADigital NA Consulting | Content &amp; SEO - Associate Manager</v>
      </c>
      <c r="CO323" s="2" t="str">
        <f t="shared" si="30"/>
        <v>TADigital India Consulting | Cloud &amp; Engineering - L2 / B1-B3 | Associate Engineer</v>
      </c>
      <c r="CP323" s="1579">
        <v>210</v>
      </c>
      <c r="CQ323" s="1579">
        <v>107.5</v>
      </c>
      <c r="CR323" s="1579">
        <v>85</v>
      </c>
      <c r="CS323" s="1579">
        <f t="shared" si="28"/>
        <v>28.700000000000003</v>
      </c>
      <c r="CT323" s="1579">
        <v>35</v>
      </c>
      <c r="CU323" s="2">
        <f t="shared" si="29"/>
        <v>13</v>
      </c>
      <c r="CV323" s="2" t="str">
        <f t="shared" si="26"/>
        <v>Content &amp; SEO - Associate Manager</v>
      </c>
      <c r="CW323" s="2" t="str">
        <f>_xlfn.XLOOKUP(CL323,'[1]Rates &amp; Drop Downs INT'!D$373:D$430,'[1]Rates &amp; Drop Downs INT'!C$373:C$430,"X",1)</f>
        <v>Cloud &amp; Engineering - 2 | Associate Engineer</v>
      </c>
    </row>
    <row r="324" spans="2:101" ht="13.05" customHeight="1" x14ac:dyDescent="0.25">
      <c r="B324" s="4" t="s">
        <v>294</v>
      </c>
      <c r="C324" s="4" t="s">
        <v>1530</v>
      </c>
      <c r="D324" s="4"/>
      <c r="E324" s="4"/>
      <c r="F324" s="4" t="s">
        <v>1550</v>
      </c>
      <c r="G324" s="343">
        <v>25</v>
      </c>
      <c r="H324" s="4" t="s">
        <v>120</v>
      </c>
      <c r="I324" s="344">
        <v>56</v>
      </c>
      <c r="J324" s="345">
        <v>3</v>
      </c>
      <c r="CG324" s="2" t="s">
        <v>262</v>
      </c>
      <c r="CH324" s="2" t="s">
        <v>262</v>
      </c>
      <c r="CI324" s="2" t="s">
        <v>1211</v>
      </c>
      <c r="CJ324" s="2" t="s">
        <v>1787</v>
      </c>
      <c r="CK324" s="2" t="s">
        <v>370</v>
      </c>
      <c r="CL324" s="2" t="s">
        <v>3548</v>
      </c>
      <c r="CM324" s="39">
        <v>4</v>
      </c>
      <c r="CN324" s="2" t="str">
        <f t="shared" si="27"/>
        <v>TADigital NA Consulting - Sr. Project Manager</v>
      </c>
      <c r="CO324" s="2" t="str">
        <f t="shared" si="30"/>
        <v>TADigital India Consulting | Cloud &amp; Engineering - L2 / B1-B3 | Associate Engineer</v>
      </c>
      <c r="CP324" s="1579">
        <v>235</v>
      </c>
      <c r="CQ324" s="1579">
        <v>116</v>
      </c>
      <c r="CR324" s="1579">
        <v>95</v>
      </c>
      <c r="CS324" s="1579">
        <f t="shared" si="28"/>
        <v>31.160000000000004</v>
      </c>
      <c r="CT324" s="1579">
        <v>38</v>
      </c>
      <c r="CU324" s="2">
        <f t="shared" si="29"/>
        <v>13</v>
      </c>
      <c r="CV324" s="2" t="str">
        <f t="shared" si="26"/>
        <v>Sr. Project Manager</v>
      </c>
      <c r="CW324" s="2" t="str">
        <f>_xlfn.XLOOKUP(CL324,'[1]Rates &amp; Drop Downs INT'!D$373:D$430,'[1]Rates &amp; Drop Downs INT'!C$373:C$430,"X",1)</f>
        <v>Cloud &amp; Engineering - 2 | Associate Engineer</v>
      </c>
    </row>
    <row r="325" spans="2:101" ht="13.05" customHeight="1" x14ac:dyDescent="0.25">
      <c r="B325" s="346" t="s">
        <v>294</v>
      </c>
      <c r="C325" s="346" t="s">
        <v>1531</v>
      </c>
      <c r="D325" s="346"/>
      <c r="E325" s="346"/>
      <c r="F325" s="346" t="s">
        <v>1551</v>
      </c>
      <c r="G325" s="347">
        <v>33</v>
      </c>
      <c r="H325" s="346" t="s">
        <v>120</v>
      </c>
      <c r="I325" s="348">
        <v>69</v>
      </c>
      <c r="J325" s="351">
        <v>3</v>
      </c>
      <c r="CG325" s="2" t="s">
        <v>262</v>
      </c>
      <c r="CH325" s="2" t="s">
        <v>262</v>
      </c>
      <c r="CI325" s="2" t="s">
        <v>1211</v>
      </c>
      <c r="CJ325" s="2" t="s">
        <v>1787</v>
      </c>
      <c r="CK325" s="2" t="s">
        <v>532</v>
      </c>
      <c r="CL325" s="2" t="s">
        <v>3547</v>
      </c>
      <c r="CM325" s="39">
        <v>2</v>
      </c>
      <c r="CN325" s="2" t="str">
        <f t="shared" si="27"/>
        <v>TADigital NA Consulting | Content &amp; SEO - Associate Content Strategist</v>
      </c>
      <c r="CO325" s="2" t="str">
        <f t="shared" si="30"/>
        <v>TADigital India Consulting | Cloud &amp; Engineering - L2 / B1-B3 | Associate Engineer</v>
      </c>
      <c r="CP325" s="1579">
        <v>160</v>
      </c>
      <c r="CQ325" s="1579">
        <v>80</v>
      </c>
      <c r="CR325" s="1579">
        <v>55</v>
      </c>
      <c r="CS325" s="1579">
        <f t="shared" si="28"/>
        <v>14.760000000000002</v>
      </c>
      <c r="CT325" s="1579">
        <v>18</v>
      </c>
      <c r="CU325" s="2">
        <f t="shared" si="29"/>
        <v>13</v>
      </c>
      <c r="CV325" s="2" t="str">
        <f t="shared" si="26"/>
        <v>Content &amp; SEO - Associate Content Strategist</v>
      </c>
      <c r="CW325" s="2" t="str">
        <f>_xlfn.XLOOKUP(CL325,'[1]Rates &amp; Drop Downs INT'!D$373:D$430,'[1]Rates &amp; Drop Downs INT'!C$373:C$430,"X",1)</f>
        <v>Cloud &amp; Engineering - 2 | Associate Engineer</v>
      </c>
    </row>
    <row r="326" spans="2:101" ht="13.05" customHeight="1" x14ac:dyDescent="0.25">
      <c r="B326" s="4" t="s">
        <v>294</v>
      </c>
      <c r="C326" s="4" t="s">
        <v>1471</v>
      </c>
      <c r="D326" s="4"/>
      <c r="E326" s="4"/>
      <c r="F326" s="4" t="s">
        <v>1496</v>
      </c>
      <c r="G326" s="343">
        <v>13</v>
      </c>
      <c r="H326" s="4" t="s">
        <v>120</v>
      </c>
      <c r="I326" s="344">
        <v>36</v>
      </c>
      <c r="J326" s="345">
        <v>2</v>
      </c>
      <c r="CG326" s="2" t="s">
        <v>262</v>
      </c>
      <c r="CH326" s="2" t="s">
        <v>262</v>
      </c>
      <c r="CI326" s="2" t="s">
        <v>1211</v>
      </c>
      <c r="CJ326" s="2" t="s">
        <v>1787</v>
      </c>
      <c r="CK326" s="2" t="s">
        <v>3358</v>
      </c>
      <c r="CL326" s="2" t="s">
        <v>538</v>
      </c>
      <c r="CM326" s="39">
        <v>3</v>
      </c>
      <c r="CN326" s="2" t="str">
        <f t="shared" si="27"/>
        <v>TADigital NA Consulting | Content &amp; SEO - Associate Manager</v>
      </c>
      <c r="CO326" s="2" t="str">
        <f t="shared" si="30"/>
        <v>TADigital India Consulting | Cloud &amp; Engineering - L2 / B1-B3 | Associate Engineer</v>
      </c>
      <c r="CP326" s="1579">
        <v>210</v>
      </c>
      <c r="CQ326" s="1579">
        <v>108</v>
      </c>
      <c r="CR326" s="1579">
        <v>85</v>
      </c>
      <c r="CS326" s="1579">
        <f t="shared" si="28"/>
        <v>28.700000000000003</v>
      </c>
      <c r="CT326" s="1579">
        <v>35</v>
      </c>
      <c r="CU326" s="2">
        <f t="shared" si="29"/>
        <v>13</v>
      </c>
      <c r="CV326" s="2" t="str">
        <f t="shared" ref="CV326:CV389" si="31">_xlfn.XLOOKUP(CN326,$F$205:$F$287,TADNorthAmerica,"X",1)</f>
        <v>Content &amp; SEO - Associate Manager</v>
      </c>
      <c r="CW326" s="2" t="str">
        <f>_xlfn.XLOOKUP(CL326,'[1]Rates &amp; Drop Downs INT'!D$373:D$430,'[1]Rates &amp; Drop Downs INT'!C$373:C$430,"X",1)</f>
        <v>Cloud &amp; Engineering - 2 | Associate Engineer</v>
      </c>
    </row>
    <row r="327" spans="2:101" ht="13.05" customHeight="1" x14ac:dyDescent="0.25">
      <c r="B327" s="346" t="s">
        <v>294</v>
      </c>
      <c r="C327" s="346" t="s">
        <v>1472</v>
      </c>
      <c r="D327" s="346"/>
      <c r="E327" s="346"/>
      <c r="F327" s="346" t="s">
        <v>1497</v>
      </c>
      <c r="G327" s="347">
        <v>23</v>
      </c>
      <c r="H327" s="346" t="s">
        <v>120</v>
      </c>
      <c r="I327" s="348">
        <v>63</v>
      </c>
      <c r="J327" s="351">
        <v>2</v>
      </c>
      <c r="CG327" s="2" t="s">
        <v>262</v>
      </c>
      <c r="CH327" s="2" t="s">
        <v>262</v>
      </c>
      <c r="CI327" s="2" t="s">
        <v>1211</v>
      </c>
      <c r="CJ327" s="2" t="s">
        <v>1787</v>
      </c>
      <c r="CK327" s="2" t="s">
        <v>542</v>
      </c>
      <c r="CL327" s="2" t="s">
        <v>3548</v>
      </c>
      <c r="CM327" s="39">
        <v>5</v>
      </c>
      <c r="CN327" s="2" t="str">
        <f t="shared" ref="CN327:CN390" si="32">_xlfn.XLOOKUP(CP327,$I$205:$I$287,$F$205:$F$287,"X",1)</f>
        <v>TADigital NA | Management - Associate Practice Director</v>
      </c>
      <c r="CO327" s="2" t="str">
        <f t="shared" si="30"/>
        <v>TADigital India Consulting | Cloud &amp; Engineering - L2 / B1-B3 | Associate Engineer</v>
      </c>
      <c r="CP327" s="1579">
        <v>290</v>
      </c>
      <c r="CQ327" s="1579">
        <v>167.5</v>
      </c>
      <c r="CR327" s="1579">
        <v>125</v>
      </c>
      <c r="CS327" s="1579">
        <f t="shared" ref="CS327:CS390" si="33">CT327*(1-0.18)</f>
        <v>51.250000000000007</v>
      </c>
      <c r="CT327" s="1579">
        <v>62.5</v>
      </c>
      <c r="CU327" s="2">
        <f t="shared" ref="CU327:CU390" si="34">_xlfn.XLOOKUP(CW327,$C$373:$C$430,$G$373:$G$430,"X",1)</f>
        <v>13</v>
      </c>
      <c r="CV327" s="2" t="str">
        <f t="shared" si="31"/>
        <v>Management - Associate Practice Director</v>
      </c>
      <c r="CW327" s="2" t="str">
        <f>_xlfn.XLOOKUP(CL327,'[1]Rates &amp; Drop Downs INT'!D$373:D$430,'[1]Rates &amp; Drop Downs INT'!C$373:C$430,"X",1)</f>
        <v>Cloud &amp; Engineering - 2 | Associate Engineer</v>
      </c>
    </row>
    <row r="328" spans="2:101" ht="13.05" customHeight="1" x14ac:dyDescent="0.25">
      <c r="B328" s="4" t="s">
        <v>294</v>
      </c>
      <c r="C328" s="4" t="s">
        <v>1524</v>
      </c>
      <c r="D328" s="4"/>
      <c r="E328" s="4"/>
      <c r="F328" s="4" t="s">
        <v>1552</v>
      </c>
      <c r="G328" s="343">
        <v>43</v>
      </c>
      <c r="H328" s="4" t="s">
        <v>120</v>
      </c>
      <c r="I328" s="344">
        <v>96</v>
      </c>
      <c r="J328" s="345">
        <v>3</v>
      </c>
      <c r="CG328" s="2" t="s">
        <v>262</v>
      </c>
      <c r="CH328" s="2" t="s">
        <v>262</v>
      </c>
      <c r="CI328" s="2" t="s">
        <v>1211</v>
      </c>
      <c r="CJ328" s="2" t="s">
        <v>1787</v>
      </c>
      <c r="CK328" s="2" t="s">
        <v>3352</v>
      </c>
      <c r="CL328" s="2" t="s">
        <v>3549</v>
      </c>
      <c r="CM328" s="39">
        <v>5</v>
      </c>
      <c r="CN328" s="2" t="str">
        <f t="shared" si="32"/>
        <v>TADigital NA | Management - Practice Director / Delivery Director</v>
      </c>
      <c r="CO328" s="2" t="str">
        <f t="shared" si="30"/>
        <v>TADigital India Consulting | Cloud &amp; Engineering - L2 / B1-B3 | Associate Engineer</v>
      </c>
      <c r="CP328" s="1579">
        <v>315</v>
      </c>
      <c r="CQ328" s="1579">
        <v>165</v>
      </c>
      <c r="CR328" s="1579">
        <v>115</v>
      </c>
      <c r="CS328" s="1579">
        <f t="shared" si="33"/>
        <v>45.1</v>
      </c>
      <c r="CT328" s="1579">
        <v>55</v>
      </c>
      <c r="CU328" s="2">
        <f t="shared" si="34"/>
        <v>13</v>
      </c>
      <c r="CV328" s="2" t="str">
        <f t="shared" si="31"/>
        <v>Management - Practice Director / Delivery Director</v>
      </c>
      <c r="CW328" s="2" t="str">
        <f>_xlfn.XLOOKUP(CL328,'[1]Rates &amp; Drop Downs INT'!D$373:D$430,'[1]Rates &amp; Drop Downs INT'!C$373:C$430,"X",1)</f>
        <v>Cloud &amp; Engineering - 2 | Associate Engineer</v>
      </c>
    </row>
    <row r="329" spans="2:101" ht="13.05" customHeight="1" x14ac:dyDescent="0.25">
      <c r="B329" s="346" t="s">
        <v>294</v>
      </c>
      <c r="C329" s="346" t="s">
        <v>1525</v>
      </c>
      <c r="D329" s="346"/>
      <c r="E329" s="346"/>
      <c r="F329" s="346" t="s">
        <v>1553</v>
      </c>
      <c r="G329" s="347">
        <v>53</v>
      </c>
      <c r="H329" s="346" t="s">
        <v>120</v>
      </c>
      <c r="I329" s="348">
        <v>111</v>
      </c>
      <c r="J329" s="351">
        <v>3</v>
      </c>
      <c r="CG329" s="2" t="s">
        <v>262</v>
      </c>
      <c r="CH329" s="2" t="s">
        <v>262</v>
      </c>
      <c r="CI329" s="2" t="s">
        <v>1211</v>
      </c>
      <c r="CJ329" s="2" t="s">
        <v>1787</v>
      </c>
      <c r="CK329" s="2" t="s">
        <v>446</v>
      </c>
      <c r="CL329" s="2" t="s">
        <v>3546</v>
      </c>
      <c r="CM329" s="39">
        <v>4</v>
      </c>
      <c r="CN329" s="2" t="str">
        <f t="shared" si="32"/>
        <v>TADigital NA Consulting - Sr. Project Manager</v>
      </c>
      <c r="CO329" s="2" t="str">
        <f t="shared" si="30"/>
        <v>TADigital India Consulting | Cloud &amp; Engineering - L2 / B1-B3 | Associate Engineer</v>
      </c>
      <c r="CP329" s="1579">
        <v>235</v>
      </c>
      <c r="CQ329" s="1579">
        <v>130</v>
      </c>
      <c r="CR329" s="1579">
        <v>80</v>
      </c>
      <c r="CS329" s="1579">
        <f t="shared" si="33"/>
        <v>38.950000000000003</v>
      </c>
      <c r="CT329" s="1579">
        <v>47.5</v>
      </c>
      <c r="CU329" s="2">
        <f t="shared" si="34"/>
        <v>13</v>
      </c>
      <c r="CV329" s="2" t="str">
        <f t="shared" si="31"/>
        <v>Sr. Project Manager</v>
      </c>
      <c r="CW329" s="2" t="str">
        <f>_xlfn.XLOOKUP(CL329,'[1]Rates &amp; Drop Downs INT'!D$373:D$430,'[1]Rates &amp; Drop Downs INT'!C$373:C$430,"X",1)</f>
        <v>Cloud &amp; Engineering - 2 | Associate Engineer</v>
      </c>
    </row>
    <row r="330" spans="2:101" ht="13.05" customHeight="1" x14ac:dyDescent="0.25">
      <c r="B330" s="4" t="s">
        <v>294</v>
      </c>
      <c r="C330" s="4" t="s">
        <v>1604</v>
      </c>
      <c r="D330" s="4"/>
      <c r="E330" s="4"/>
      <c r="F330" s="4" t="s">
        <v>1586</v>
      </c>
      <c r="G330" s="343">
        <v>60</v>
      </c>
      <c r="H330" s="4" t="s">
        <v>120</v>
      </c>
      <c r="I330" s="344">
        <v>120</v>
      </c>
      <c r="J330" s="345">
        <v>4</v>
      </c>
      <c r="CG330" s="2" t="s">
        <v>262</v>
      </c>
      <c r="CH330" s="2" t="s">
        <v>262</v>
      </c>
      <c r="CI330" s="2" t="s">
        <v>1211</v>
      </c>
      <c r="CJ330" s="2" t="s">
        <v>1787</v>
      </c>
      <c r="CK330" s="2" t="s">
        <v>3353</v>
      </c>
      <c r="CL330" s="2" t="s">
        <v>3549</v>
      </c>
      <c r="CM330" s="39">
        <v>6</v>
      </c>
      <c r="CN330" s="2" t="str">
        <f t="shared" si="32"/>
        <v>TADigital NA | Management - Practice VP / Delivery VP</v>
      </c>
      <c r="CO330" s="2" t="str">
        <f t="shared" si="30"/>
        <v>TADigital India Consulting | Cloud &amp; Engineering - L2 / B1-B3 | Associate Engineer</v>
      </c>
      <c r="CP330" s="1579">
        <v>370</v>
      </c>
      <c r="CQ330" s="1579">
        <v>172.5</v>
      </c>
      <c r="CR330" s="1579">
        <v>135</v>
      </c>
      <c r="CS330" s="1579">
        <f t="shared" si="33"/>
        <v>51.250000000000007</v>
      </c>
      <c r="CT330" s="1579">
        <v>62.5</v>
      </c>
      <c r="CU330" s="2">
        <f t="shared" si="34"/>
        <v>13</v>
      </c>
      <c r="CV330" s="2" t="str">
        <f t="shared" si="31"/>
        <v>Management - Practice VP / Delivery VP</v>
      </c>
      <c r="CW330" s="2" t="str">
        <f>_xlfn.XLOOKUP(CL330,'[1]Rates &amp; Drop Downs INT'!D$373:D$430,'[1]Rates &amp; Drop Downs INT'!C$373:C$430,"X",1)</f>
        <v>Cloud &amp; Engineering - 2 | Associate Engineer</v>
      </c>
    </row>
    <row r="331" spans="2:101" ht="13.05" customHeight="1" x14ac:dyDescent="0.25">
      <c r="B331" s="346" t="s">
        <v>294</v>
      </c>
      <c r="C331" s="346" t="s">
        <v>1613</v>
      </c>
      <c r="D331" s="346"/>
      <c r="E331" s="346"/>
      <c r="F331" s="346" t="s">
        <v>1626</v>
      </c>
      <c r="G331" s="347">
        <v>81</v>
      </c>
      <c r="H331" s="346" t="s">
        <v>120</v>
      </c>
      <c r="I331" s="348">
        <v>148</v>
      </c>
      <c r="J331" s="353">
        <v>5</v>
      </c>
      <c r="CG331" s="2" t="s">
        <v>262</v>
      </c>
      <c r="CH331" s="2" t="s">
        <v>262</v>
      </c>
      <c r="CI331" s="2" t="s">
        <v>1211</v>
      </c>
      <c r="CJ331" s="2" t="s">
        <v>1787</v>
      </c>
      <c r="CK331" s="2" t="s">
        <v>3359</v>
      </c>
      <c r="CL331" s="2" t="s">
        <v>3550</v>
      </c>
      <c r="CM331" s="39">
        <v>2</v>
      </c>
      <c r="CN331" s="2" t="str">
        <f t="shared" si="32"/>
        <v>TADigital NA Consulting - Project Manager / Product Manager</v>
      </c>
      <c r="CO331" s="2" t="str">
        <f t="shared" si="30"/>
        <v>TADigital India Consulting | Cloud &amp; Engineering - L2 / B1-B3 | Associate Engineer</v>
      </c>
      <c r="CP331" s="1579">
        <v>190</v>
      </c>
      <c r="CQ331" s="1579">
        <v>105</v>
      </c>
      <c r="CR331" s="1579">
        <v>65</v>
      </c>
      <c r="CS331" s="1579">
        <f t="shared" si="33"/>
        <v>22.96</v>
      </c>
      <c r="CT331" s="1579">
        <v>28</v>
      </c>
      <c r="CU331" s="2">
        <f t="shared" si="34"/>
        <v>13</v>
      </c>
      <c r="CV331" s="2" t="str">
        <f t="shared" si="31"/>
        <v>Project Manager / Product Manager</v>
      </c>
      <c r="CW331" s="2" t="str">
        <f>_xlfn.XLOOKUP(CL331,'[1]Rates &amp; Drop Downs INT'!D$373:D$430,'[1]Rates &amp; Drop Downs INT'!C$373:C$430,"X",1)</f>
        <v>Cloud &amp; Engineering - 2 | Associate Engineer</v>
      </c>
    </row>
    <row r="332" spans="2:101" ht="13.05" customHeight="1" x14ac:dyDescent="0.25">
      <c r="B332" s="4" t="s">
        <v>294</v>
      </c>
      <c r="C332" s="4" t="s">
        <v>1663</v>
      </c>
      <c r="D332" s="4"/>
      <c r="E332" s="4"/>
      <c r="F332" s="4" t="s">
        <v>1648</v>
      </c>
      <c r="G332" s="343">
        <v>99</v>
      </c>
      <c r="H332" s="4" t="s">
        <v>120</v>
      </c>
      <c r="I332" s="344">
        <v>165</v>
      </c>
      <c r="J332" s="345">
        <v>6</v>
      </c>
      <c r="CG332" s="2" t="s">
        <v>262</v>
      </c>
      <c r="CH332" s="2" t="s">
        <v>262</v>
      </c>
      <c r="CI332" s="2" t="s">
        <v>1211</v>
      </c>
      <c r="CJ332" s="2" t="s">
        <v>1787</v>
      </c>
      <c r="CK332" s="2" t="s">
        <v>3360</v>
      </c>
      <c r="CL332" s="2" t="s">
        <v>3546</v>
      </c>
      <c r="CM332" s="39">
        <v>5</v>
      </c>
      <c r="CN332" s="2" t="str">
        <f t="shared" si="32"/>
        <v>TADigital NA Digital - Sr. Technical Architect</v>
      </c>
      <c r="CO332" s="2" t="str">
        <f t="shared" si="30"/>
        <v>TADigital India Consulting | Cloud &amp; Engineering - L2 / B1-B3 | Associate Engineer</v>
      </c>
      <c r="CP332" s="1579">
        <v>275</v>
      </c>
      <c r="CQ332" s="1579">
        <v>162.5</v>
      </c>
      <c r="CR332" s="1579">
        <v>105</v>
      </c>
      <c r="CS332" s="1579">
        <f t="shared" si="33"/>
        <v>41</v>
      </c>
      <c r="CT332" s="1579">
        <v>50</v>
      </c>
      <c r="CU332" s="2">
        <f t="shared" si="34"/>
        <v>13</v>
      </c>
      <c r="CV332" s="2" t="str">
        <f t="shared" si="31"/>
        <v>Sr. Technical Architect</v>
      </c>
      <c r="CW332" s="2" t="str">
        <f>_xlfn.XLOOKUP(CL332,'[1]Rates &amp; Drop Downs INT'!D$373:D$430,'[1]Rates &amp; Drop Downs INT'!C$373:C$430,"X",1)</f>
        <v>Cloud &amp; Engineering - 2 | Associate Engineer</v>
      </c>
    </row>
    <row r="333" spans="2:101" ht="13.05" customHeight="1" x14ac:dyDescent="0.25">
      <c r="B333" s="346" t="s">
        <v>294</v>
      </c>
      <c r="C333" s="346" t="s">
        <v>1478</v>
      </c>
      <c r="D333" s="346"/>
      <c r="E333" s="346"/>
      <c r="F333" s="346" t="s">
        <v>1498</v>
      </c>
      <c r="G333" s="347">
        <v>13</v>
      </c>
      <c r="H333" s="346" t="s">
        <v>120</v>
      </c>
      <c r="I333" s="348">
        <v>36</v>
      </c>
      <c r="J333" s="351">
        <v>2</v>
      </c>
      <c r="CG333" s="2" t="s">
        <v>262</v>
      </c>
      <c r="CH333" s="2" t="s">
        <v>262</v>
      </c>
      <c r="CI333" s="2" t="s">
        <v>1211</v>
      </c>
      <c r="CJ333" s="2" t="s">
        <v>1787</v>
      </c>
      <c r="CK333" s="2" t="s">
        <v>3361</v>
      </c>
      <c r="CL333" s="2" t="s">
        <v>3547</v>
      </c>
      <c r="CM333" s="39">
        <v>2</v>
      </c>
      <c r="CN333" s="2" t="str">
        <f t="shared" si="32"/>
        <v>TADigital NA Consulting - Project Manager / Product Manager</v>
      </c>
      <c r="CO333" s="2" t="str">
        <f t="shared" si="30"/>
        <v>TADigital India Consulting | Cloud &amp; Engineering - L2 / B1-B3 | Associate Engineer</v>
      </c>
      <c r="CP333" s="1579">
        <v>190</v>
      </c>
      <c r="CQ333" s="1579">
        <v>105</v>
      </c>
      <c r="CR333" s="1579">
        <v>65</v>
      </c>
      <c r="CS333" s="1579">
        <f t="shared" si="33"/>
        <v>22.55</v>
      </c>
      <c r="CT333" s="1579">
        <v>27.5</v>
      </c>
      <c r="CU333" s="2">
        <f t="shared" si="34"/>
        <v>13</v>
      </c>
      <c r="CV333" s="2" t="str">
        <f t="shared" si="31"/>
        <v>Project Manager / Product Manager</v>
      </c>
      <c r="CW333" s="2" t="str">
        <f>_xlfn.XLOOKUP(CL333,'[1]Rates &amp; Drop Downs INT'!D$373:D$430,'[1]Rates &amp; Drop Downs INT'!C$373:C$430,"X",1)</f>
        <v>Cloud &amp; Engineering - 2 | Associate Engineer</v>
      </c>
    </row>
    <row r="334" spans="2:101" ht="13.05" customHeight="1" x14ac:dyDescent="0.25">
      <c r="B334" s="4" t="s">
        <v>294</v>
      </c>
      <c r="C334" s="4" t="s">
        <v>1532</v>
      </c>
      <c r="D334" s="4"/>
      <c r="E334" s="4"/>
      <c r="F334" s="4" t="s">
        <v>1554</v>
      </c>
      <c r="G334" s="343">
        <v>27</v>
      </c>
      <c r="H334" s="4" t="s">
        <v>120</v>
      </c>
      <c r="I334" s="344">
        <v>73</v>
      </c>
      <c r="J334" s="345">
        <v>3</v>
      </c>
      <c r="CG334" s="2" t="s">
        <v>262</v>
      </c>
      <c r="CH334" s="2" t="s">
        <v>262</v>
      </c>
      <c r="CI334" s="2" t="s">
        <v>1211</v>
      </c>
      <c r="CJ334" s="2" t="s">
        <v>1787</v>
      </c>
      <c r="CK334" s="2" t="s">
        <v>3362</v>
      </c>
      <c r="CL334" s="2" t="s">
        <v>3546</v>
      </c>
      <c r="CM334" s="39">
        <v>5</v>
      </c>
      <c r="CN334" s="2" t="str">
        <f t="shared" si="32"/>
        <v>TADigital NA Digital - Sr. Technical Architect</v>
      </c>
      <c r="CO334" s="2" t="str">
        <f t="shared" si="30"/>
        <v>TADigital India Consulting | Cloud &amp; Engineering - L2 / B1-B3 | Associate Engineer</v>
      </c>
      <c r="CP334" s="1579">
        <v>275</v>
      </c>
      <c r="CQ334" s="1579">
        <v>162.5</v>
      </c>
      <c r="CR334" s="1579">
        <v>105</v>
      </c>
      <c r="CS334" s="1579">
        <f t="shared" si="33"/>
        <v>41</v>
      </c>
      <c r="CT334" s="1579">
        <v>50</v>
      </c>
      <c r="CU334" s="2">
        <f t="shared" si="34"/>
        <v>13</v>
      </c>
      <c r="CV334" s="2" t="str">
        <f t="shared" si="31"/>
        <v>Sr. Technical Architect</v>
      </c>
      <c r="CW334" s="2" t="str">
        <f>_xlfn.XLOOKUP(CL334,'[1]Rates &amp; Drop Downs INT'!D$373:D$430,'[1]Rates &amp; Drop Downs INT'!C$373:C$430,"X",1)</f>
        <v>Cloud &amp; Engineering - 2 | Associate Engineer</v>
      </c>
    </row>
    <row r="335" spans="2:101" ht="13.05" customHeight="1" x14ac:dyDescent="0.25">
      <c r="B335" s="346" t="s">
        <v>294</v>
      </c>
      <c r="C335" s="346" t="s">
        <v>1606</v>
      </c>
      <c r="D335" s="346"/>
      <c r="E335" s="346"/>
      <c r="F335" s="346" t="s">
        <v>1587</v>
      </c>
      <c r="G335" s="347">
        <v>41</v>
      </c>
      <c r="H335" s="346" t="s">
        <v>120</v>
      </c>
      <c r="I335" s="348">
        <v>86</v>
      </c>
      <c r="J335" s="351">
        <v>4</v>
      </c>
      <c r="CG335" s="2" t="s">
        <v>262</v>
      </c>
      <c r="CH335" s="2" t="s">
        <v>262</v>
      </c>
      <c r="CI335" s="2" t="s">
        <v>1211</v>
      </c>
      <c r="CJ335" s="2" t="s">
        <v>1787</v>
      </c>
      <c r="CK335" s="2" t="s">
        <v>534</v>
      </c>
      <c r="CL335" s="2" t="s">
        <v>3550</v>
      </c>
      <c r="CM335" s="39">
        <v>2</v>
      </c>
      <c r="CN335" s="2" t="str">
        <f t="shared" si="32"/>
        <v>TADigital NA Consulting | Content &amp; SEO - Content Strategist</v>
      </c>
      <c r="CO335" s="2" t="str">
        <f t="shared" si="30"/>
        <v>TADigital India Consulting | Cloud &amp; Engineering - L2 / B1-B3 | Associate Engineer</v>
      </c>
      <c r="CP335" s="1579">
        <v>170</v>
      </c>
      <c r="CQ335" s="1579">
        <v>82.5</v>
      </c>
      <c r="CR335" s="1579">
        <v>65</v>
      </c>
      <c r="CS335" s="1579">
        <f t="shared" si="33"/>
        <v>18.450000000000003</v>
      </c>
      <c r="CT335" s="1579">
        <v>22.5</v>
      </c>
      <c r="CU335" s="2">
        <f t="shared" si="34"/>
        <v>13</v>
      </c>
      <c r="CV335" s="2" t="str">
        <f t="shared" si="31"/>
        <v>Content &amp; SEO - Content Strategist</v>
      </c>
      <c r="CW335" s="2" t="str">
        <f>_xlfn.XLOOKUP(CL335,'[1]Rates &amp; Drop Downs INT'!D$373:D$430,'[1]Rates &amp; Drop Downs INT'!C$373:C$430,"X",1)</f>
        <v>Cloud &amp; Engineering - 2 | Associate Engineer</v>
      </c>
    </row>
    <row r="336" spans="2:101" ht="13.05" customHeight="1" x14ac:dyDescent="0.25">
      <c r="B336" s="4" t="s">
        <v>294</v>
      </c>
      <c r="C336" s="4" t="s">
        <v>1479</v>
      </c>
      <c r="D336" s="4"/>
      <c r="E336" s="4"/>
      <c r="F336" s="4" t="s">
        <v>1499</v>
      </c>
      <c r="G336" s="343">
        <v>13</v>
      </c>
      <c r="H336" s="4" t="s">
        <v>120</v>
      </c>
      <c r="I336" s="344">
        <v>36</v>
      </c>
      <c r="J336" s="345">
        <v>2</v>
      </c>
      <c r="CG336" s="2" t="s">
        <v>262</v>
      </c>
      <c r="CH336" s="2" t="s">
        <v>262</v>
      </c>
      <c r="CI336" s="2" t="s">
        <v>1211</v>
      </c>
      <c r="CJ336" s="2" t="s">
        <v>1787</v>
      </c>
      <c r="CK336" s="2" t="s">
        <v>3354</v>
      </c>
      <c r="CL336" s="2" t="s">
        <v>3549</v>
      </c>
      <c r="CM336" s="39">
        <v>5</v>
      </c>
      <c r="CN336" s="2" t="str">
        <f t="shared" si="32"/>
        <v>TADigital NA | Management - Sr. Practice Director / Sr. Delivery Director</v>
      </c>
      <c r="CO336" s="2" t="str">
        <f t="shared" si="30"/>
        <v>TADigital India Consulting | Cloud &amp; Engineering - L2 / B1-B3 | Associate Engineer</v>
      </c>
      <c r="CP336" s="1579">
        <v>340</v>
      </c>
      <c r="CQ336" s="1579">
        <v>170</v>
      </c>
      <c r="CR336" s="1579">
        <v>125</v>
      </c>
      <c r="CS336" s="1579">
        <f t="shared" si="33"/>
        <v>49.2</v>
      </c>
      <c r="CT336" s="1579">
        <v>60</v>
      </c>
      <c r="CU336" s="2">
        <f t="shared" si="34"/>
        <v>13</v>
      </c>
      <c r="CV336" s="2" t="str">
        <f t="shared" si="31"/>
        <v>Management - Sr. Practice Director / Sr. Delivery Director</v>
      </c>
      <c r="CW336" s="2" t="str">
        <f>_xlfn.XLOOKUP(CL336,'[1]Rates &amp; Drop Downs INT'!D$373:D$430,'[1]Rates &amp; Drop Downs INT'!C$373:C$430,"X",1)</f>
        <v>Cloud &amp; Engineering - 2 | Associate Engineer</v>
      </c>
    </row>
    <row r="337" spans="2:101" ht="13.05" customHeight="1" x14ac:dyDescent="0.25">
      <c r="B337" s="346" t="s">
        <v>294</v>
      </c>
      <c r="C337" s="346" t="s">
        <v>1533</v>
      </c>
      <c r="D337" s="346"/>
      <c r="E337" s="346"/>
      <c r="F337" s="346" t="s">
        <v>1555</v>
      </c>
      <c r="G337" s="347">
        <v>22</v>
      </c>
      <c r="H337" s="346" t="s">
        <v>120</v>
      </c>
      <c r="I337" s="348">
        <v>53</v>
      </c>
      <c r="J337" s="351">
        <v>3</v>
      </c>
      <c r="CG337" s="2" t="s">
        <v>262</v>
      </c>
      <c r="CH337" s="2" t="s">
        <v>262</v>
      </c>
      <c r="CI337" s="2" t="s">
        <v>1211</v>
      </c>
      <c r="CJ337" s="2" t="s">
        <v>1787</v>
      </c>
      <c r="CK337" s="2" t="s">
        <v>448</v>
      </c>
      <c r="CL337" s="2" t="s">
        <v>3546</v>
      </c>
      <c r="CM337" s="39">
        <v>5</v>
      </c>
      <c r="CN337" s="2" t="str">
        <f t="shared" si="32"/>
        <v>TADigital NA Consulting - Delivery Manager</v>
      </c>
      <c r="CO337" s="2" t="str">
        <f t="shared" si="30"/>
        <v>TADigital India Consulting | Cloud &amp; Engineering - L2 / B1-B3 | Associate Engineer</v>
      </c>
      <c r="CP337" s="1579">
        <v>265</v>
      </c>
      <c r="CQ337" s="1579">
        <v>137.5</v>
      </c>
      <c r="CR337" s="1579">
        <v>90</v>
      </c>
      <c r="CS337" s="1579">
        <f t="shared" si="33"/>
        <v>38.950000000000003</v>
      </c>
      <c r="CT337" s="1579">
        <v>47.5</v>
      </c>
      <c r="CU337" s="2">
        <f t="shared" si="34"/>
        <v>13</v>
      </c>
      <c r="CV337" s="2" t="str">
        <f t="shared" si="31"/>
        <v>Delivery Manager</v>
      </c>
      <c r="CW337" s="2" t="str">
        <f>_xlfn.XLOOKUP(CL337,'[1]Rates &amp; Drop Downs INT'!D$373:D$430,'[1]Rates &amp; Drop Downs INT'!C$373:C$430,"X",1)</f>
        <v>Cloud &amp; Engineering - 2 | Associate Engineer</v>
      </c>
    </row>
    <row r="338" spans="2:101" ht="13.05" customHeight="1" x14ac:dyDescent="0.25">
      <c r="B338" s="4" t="s">
        <v>294</v>
      </c>
      <c r="C338" s="4" t="s">
        <v>1607</v>
      </c>
      <c r="D338" s="4"/>
      <c r="E338" s="4"/>
      <c r="F338" s="4" t="s">
        <v>1588</v>
      </c>
      <c r="G338" s="343">
        <v>39</v>
      </c>
      <c r="H338" s="4" t="s">
        <v>120</v>
      </c>
      <c r="I338" s="344">
        <v>82</v>
      </c>
      <c r="J338" s="345">
        <v>4</v>
      </c>
      <c r="CG338" s="2" t="s">
        <v>262</v>
      </c>
      <c r="CH338" s="2" t="s">
        <v>262</v>
      </c>
      <c r="CI338" s="2" t="s">
        <v>1211</v>
      </c>
      <c r="CJ338" s="2" t="s">
        <v>1787</v>
      </c>
      <c r="CK338" s="2" t="s">
        <v>540</v>
      </c>
      <c r="CL338" s="2" t="s">
        <v>538</v>
      </c>
      <c r="CM338" s="39">
        <v>5</v>
      </c>
      <c r="CN338" s="2" t="str">
        <f t="shared" si="32"/>
        <v>TADigital NA Digital - Sr. Technical Architect</v>
      </c>
      <c r="CO338" s="2" t="str">
        <f t="shared" si="30"/>
        <v>TADigital India Consulting | Cloud &amp; Engineering - L2 / B1-B3 | Associate Engineer</v>
      </c>
      <c r="CP338" s="1579">
        <v>275</v>
      </c>
      <c r="CQ338" s="1579">
        <v>155</v>
      </c>
      <c r="CR338" s="1579">
        <v>105</v>
      </c>
      <c r="CS338" s="1579">
        <f t="shared" si="33"/>
        <v>36.900000000000006</v>
      </c>
      <c r="CT338" s="1579">
        <v>45</v>
      </c>
      <c r="CU338" s="2">
        <f t="shared" si="34"/>
        <v>13</v>
      </c>
      <c r="CV338" s="2" t="str">
        <f t="shared" si="31"/>
        <v>Sr. Technical Architect</v>
      </c>
      <c r="CW338" s="2" t="str">
        <f>_xlfn.XLOOKUP(CL338,'[1]Rates &amp; Drop Downs INT'!D$373:D$430,'[1]Rates &amp; Drop Downs INT'!C$373:C$430,"X",1)</f>
        <v>Cloud &amp; Engineering - 2 | Associate Engineer</v>
      </c>
    </row>
    <row r="339" spans="2:101" ht="13.05" customHeight="1" x14ac:dyDescent="0.25">
      <c r="B339" s="346" t="s">
        <v>294</v>
      </c>
      <c r="C339" s="346" t="s">
        <v>1615</v>
      </c>
      <c r="D339" s="346"/>
      <c r="E339" s="346"/>
      <c r="F339" s="346" t="s">
        <v>1627</v>
      </c>
      <c r="G339" s="347">
        <v>53</v>
      </c>
      <c r="H339" s="346" t="s">
        <v>120</v>
      </c>
      <c r="I339" s="348">
        <v>106</v>
      </c>
      <c r="J339" s="353">
        <v>5</v>
      </c>
      <c r="CG339" s="2" t="s">
        <v>262</v>
      </c>
      <c r="CH339" s="2" t="s">
        <v>262</v>
      </c>
      <c r="CI339" s="2" t="s">
        <v>1211</v>
      </c>
      <c r="CJ339" s="2" t="s">
        <v>1787</v>
      </c>
      <c r="CK339" s="2" t="s">
        <v>538</v>
      </c>
      <c r="CL339" s="2" t="s">
        <v>538</v>
      </c>
      <c r="CM339" s="39">
        <v>4</v>
      </c>
      <c r="CN339" s="2" t="str">
        <f t="shared" si="32"/>
        <v>TADigital NA Consulting - Sr. Project Manager</v>
      </c>
      <c r="CO339" s="2" t="str">
        <f t="shared" si="30"/>
        <v>TADigital India Consulting | Cloud &amp; Engineering - L2 / B1-B3 | Associate Engineer</v>
      </c>
      <c r="CP339" s="1579">
        <v>235</v>
      </c>
      <c r="CQ339" s="1579">
        <v>132.5</v>
      </c>
      <c r="CR339" s="1579">
        <v>95</v>
      </c>
      <c r="CS339" s="1579">
        <f t="shared" si="33"/>
        <v>32.800000000000004</v>
      </c>
      <c r="CT339" s="1579">
        <v>40</v>
      </c>
      <c r="CU339" s="2">
        <f t="shared" si="34"/>
        <v>13</v>
      </c>
      <c r="CV339" s="2" t="str">
        <f t="shared" si="31"/>
        <v>Sr. Project Manager</v>
      </c>
      <c r="CW339" s="2" t="str">
        <f>_xlfn.XLOOKUP(CL339,'[1]Rates &amp; Drop Downs INT'!D$373:D$430,'[1]Rates &amp; Drop Downs INT'!C$373:C$430,"X",1)</f>
        <v>Cloud &amp; Engineering - 2 | Associate Engineer</v>
      </c>
    </row>
    <row r="340" spans="2:101" ht="13.05" customHeight="1" x14ac:dyDescent="0.25">
      <c r="B340" s="4" t="s">
        <v>294</v>
      </c>
      <c r="C340" s="4" t="s">
        <v>1616</v>
      </c>
      <c r="D340" s="4"/>
      <c r="E340" s="4"/>
      <c r="F340" s="4" t="s">
        <v>1628</v>
      </c>
      <c r="G340" s="343">
        <v>63</v>
      </c>
      <c r="H340" s="4" t="s">
        <v>120</v>
      </c>
      <c r="I340" s="344">
        <v>126</v>
      </c>
      <c r="J340" s="355">
        <v>5</v>
      </c>
      <c r="CG340" s="2" t="s">
        <v>262</v>
      </c>
      <c r="CH340" s="2" t="s">
        <v>262</v>
      </c>
      <c r="CI340" s="2" t="s">
        <v>1211</v>
      </c>
      <c r="CJ340" s="2" t="s">
        <v>1787</v>
      </c>
      <c r="CK340" s="2" t="s">
        <v>536</v>
      </c>
      <c r="CL340" s="2" t="s">
        <v>536</v>
      </c>
      <c r="CM340" s="39">
        <v>3</v>
      </c>
      <c r="CN340" s="2" t="str">
        <f t="shared" si="32"/>
        <v>TADigital NA Digital - Technical Lead</v>
      </c>
      <c r="CO340" s="2" t="str">
        <f t="shared" si="30"/>
        <v>TADigital India Consulting | Cloud &amp; Engineering - L2 / B1-B3 | Associate Engineer</v>
      </c>
      <c r="CP340" s="1579">
        <v>185</v>
      </c>
      <c r="CQ340" s="1579">
        <v>90</v>
      </c>
      <c r="CR340" s="1579">
        <v>85</v>
      </c>
      <c r="CS340" s="1579">
        <f t="shared" si="33"/>
        <v>24.6</v>
      </c>
      <c r="CT340" s="1579">
        <v>30</v>
      </c>
      <c r="CU340" s="2">
        <f t="shared" si="34"/>
        <v>13</v>
      </c>
      <c r="CV340" s="2" t="str">
        <f t="shared" si="31"/>
        <v>Technical Lead</v>
      </c>
      <c r="CW340" s="2" t="str">
        <f>_xlfn.XLOOKUP(CL340,'[1]Rates &amp; Drop Downs INT'!D$373:D$430,'[1]Rates &amp; Drop Downs INT'!C$373:C$430,"X",1)</f>
        <v>Cloud &amp; Engineering - 2 | Associate Engineer</v>
      </c>
    </row>
    <row r="341" spans="2:101" ht="13.05" customHeight="1" x14ac:dyDescent="0.25">
      <c r="B341" s="346" t="s">
        <v>294</v>
      </c>
      <c r="C341" s="346" t="s">
        <v>1665</v>
      </c>
      <c r="D341" s="346"/>
      <c r="E341" s="346"/>
      <c r="F341" s="346" t="s">
        <v>1649</v>
      </c>
      <c r="G341" s="347">
        <v>81</v>
      </c>
      <c r="H341" s="346" t="s">
        <v>120</v>
      </c>
      <c r="I341" s="348">
        <v>162</v>
      </c>
      <c r="J341" s="351">
        <v>6</v>
      </c>
      <c r="CG341" s="2" t="s">
        <v>262</v>
      </c>
      <c r="CH341" s="2" t="s">
        <v>262</v>
      </c>
      <c r="CI341" s="2" t="s">
        <v>1212</v>
      </c>
      <c r="CJ341" s="2" t="s">
        <v>1788</v>
      </c>
      <c r="CK341" s="2" t="s">
        <v>3351</v>
      </c>
      <c r="CL341" s="2" t="s">
        <v>3545</v>
      </c>
      <c r="CM341" s="39">
        <v>2</v>
      </c>
      <c r="CN341" s="2" t="str">
        <f t="shared" si="32"/>
        <v>TADigital NA Consulting | Content &amp; SEO - Associate Web Content Analyst</v>
      </c>
      <c r="CO341" s="2" t="str">
        <f>_xlfn.XLOOKUP(CW341,$C$373:$C$430,$F$373:$F$430,"X",1)</f>
        <v>TADigital India Consulting | Cloud &amp; Engineering - L2 / B1-B3 | Associate Engineer</v>
      </c>
      <c r="CP341" s="1579">
        <v>0</v>
      </c>
      <c r="CQ341" s="1579">
        <v>0</v>
      </c>
      <c r="CR341" s="1579">
        <v>35</v>
      </c>
      <c r="CS341" s="1579">
        <f t="shared" si="33"/>
        <v>10.66</v>
      </c>
      <c r="CT341" s="1579">
        <v>13</v>
      </c>
      <c r="CU341" s="2">
        <f t="shared" si="34"/>
        <v>13</v>
      </c>
      <c r="CV341" s="2" t="str">
        <f t="shared" si="31"/>
        <v>Content &amp; SEO - Associate Web Content Analyst</v>
      </c>
      <c r="CW341" s="2" t="str">
        <f>_xlfn.XLOOKUP(CL341,'[1]Rates &amp; Drop Downs INT'!D$373:D$430,'[1]Rates &amp; Drop Downs INT'!C$373:C$430,"X",1)</f>
        <v>Cloud &amp; Engineering - 2 | Associate Engineer</v>
      </c>
    </row>
    <row r="342" spans="2:101" ht="13.05" customHeight="1" x14ac:dyDescent="0.25">
      <c r="B342" s="4" t="s">
        <v>294</v>
      </c>
      <c r="C342" s="4" t="s">
        <v>1527</v>
      </c>
      <c r="D342" s="4"/>
      <c r="E342" s="4"/>
      <c r="F342" s="4" t="s">
        <v>1556</v>
      </c>
      <c r="G342" s="343">
        <v>32</v>
      </c>
      <c r="H342" s="4" t="s">
        <v>120</v>
      </c>
      <c r="I342" s="344">
        <v>67</v>
      </c>
      <c r="J342" s="345">
        <v>3</v>
      </c>
      <c r="CG342" s="2" t="s">
        <v>262</v>
      </c>
      <c r="CH342" s="2" t="s">
        <v>262</v>
      </c>
      <c r="CI342" s="2" t="s">
        <v>1212</v>
      </c>
      <c r="CJ342" s="2" t="s">
        <v>1788</v>
      </c>
      <c r="CK342" s="2" t="s">
        <v>3365</v>
      </c>
      <c r="CL342" s="2" t="s">
        <v>3561</v>
      </c>
      <c r="CM342" s="39">
        <v>2</v>
      </c>
      <c r="CN342" s="2" t="str">
        <f t="shared" si="32"/>
        <v>TADigital NA Consulting | Content &amp; SEO - Associate Web Content Analyst</v>
      </c>
      <c r="CO342" s="2" t="str">
        <f t="shared" ref="CO342" si="35">_xlfn.XLOOKUP(CW342,$C$373:$C$430,$F$373:$F$430,"X",1)</f>
        <v>TADigital India Consulting | Cloud &amp; Engineering - L2 / B1-B3 | Associate Engineer</v>
      </c>
      <c r="CP342" s="1579">
        <v>0</v>
      </c>
      <c r="CQ342" s="1579">
        <v>0</v>
      </c>
      <c r="CR342" s="1579">
        <v>35</v>
      </c>
      <c r="CS342" s="1579">
        <f t="shared" si="33"/>
        <v>10.66</v>
      </c>
      <c r="CT342" s="1579">
        <v>13</v>
      </c>
      <c r="CU342" s="2">
        <f t="shared" si="34"/>
        <v>13</v>
      </c>
      <c r="CV342" s="2" t="str">
        <f t="shared" si="31"/>
        <v>Content &amp; SEO - Associate Web Content Analyst</v>
      </c>
      <c r="CW342" s="2" t="str">
        <f>_xlfn.XLOOKUP(CL342,'[1]Rates &amp; Drop Downs INT'!D$373:D$430,'[1]Rates &amp; Drop Downs INT'!C$373:C$430,"X",1)</f>
        <v>Cloud &amp; Engineering - 2 | Associate Engineer</v>
      </c>
    </row>
    <row r="343" spans="2:101" ht="13.05" customHeight="1" x14ac:dyDescent="0.25">
      <c r="B343" s="346" t="s">
        <v>294</v>
      </c>
      <c r="C343" s="346" t="s">
        <v>1617</v>
      </c>
      <c r="D343" s="346"/>
      <c r="E343" s="346"/>
      <c r="F343" s="346" t="s">
        <v>1629</v>
      </c>
      <c r="G343" s="347">
        <v>41</v>
      </c>
      <c r="H343" s="346" t="s">
        <v>120</v>
      </c>
      <c r="I343" s="348">
        <v>82</v>
      </c>
      <c r="J343" s="353">
        <v>5</v>
      </c>
      <c r="CG343" s="2" t="s">
        <v>262</v>
      </c>
      <c r="CH343" s="2" t="s">
        <v>262</v>
      </c>
      <c r="CI343" s="2" t="s">
        <v>1212</v>
      </c>
      <c r="CJ343" s="2" t="s">
        <v>1788</v>
      </c>
      <c r="CK343" s="2" t="s">
        <v>720</v>
      </c>
      <c r="CL343" s="2" t="s">
        <v>3546</v>
      </c>
      <c r="CM343" s="39">
        <v>5</v>
      </c>
      <c r="CN343" s="2" t="str">
        <f t="shared" si="32"/>
        <v>TADigital NA | Management - Associate Practice Director</v>
      </c>
      <c r="CO343" s="2" t="str">
        <f>_xlfn.XLOOKUP(CW343,$C$373:$C$430,$F$373:$F$430,"X",1)</f>
        <v>TADigital India Consulting | Cloud &amp; Engineering - L2 / B1-B3 | Associate Engineer</v>
      </c>
      <c r="CP343" s="1579">
        <v>290</v>
      </c>
      <c r="CQ343" s="1579">
        <v>140</v>
      </c>
      <c r="CR343" s="1579">
        <v>105</v>
      </c>
      <c r="CS343" s="1579">
        <f t="shared" si="33"/>
        <v>45.1</v>
      </c>
      <c r="CT343" s="1579">
        <v>55</v>
      </c>
      <c r="CU343" s="2">
        <f t="shared" si="34"/>
        <v>13</v>
      </c>
      <c r="CV343" s="2" t="str">
        <f t="shared" si="31"/>
        <v>Management - Associate Practice Director</v>
      </c>
      <c r="CW343" s="2" t="str">
        <f>_xlfn.XLOOKUP(CL343,'[1]Rates &amp; Drop Downs INT'!D$373:D$430,'[1]Rates &amp; Drop Downs INT'!C$373:C$430,"X",1)</f>
        <v>Cloud &amp; Engineering - 2 | Associate Engineer</v>
      </c>
    </row>
    <row r="344" spans="2:101" ht="13.05" customHeight="1" x14ac:dyDescent="0.25">
      <c r="B344" s="4" t="s">
        <v>294</v>
      </c>
      <c r="C344" s="4" t="s">
        <v>1608</v>
      </c>
      <c r="D344" s="4"/>
      <c r="E344" s="4"/>
      <c r="F344" s="4" t="s">
        <v>1589</v>
      </c>
      <c r="G344" s="343">
        <v>49</v>
      </c>
      <c r="H344" s="4" t="s">
        <v>120</v>
      </c>
      <c r="I344" s="344">
        <v>98</v>
      </c>
      <c r="J344" s="345">
        <v>4</v>
      </c>
      <c r="CG344" s="2" t="s">
        <v>262</v>
      </c>
      <c r="CH344" s="2" t="s">
        <v>262</v>
      </c>
      <c r="CI344" s="2" t="s">
        <v>1212</v>
      </c>
      <c r="CJ344" s="2" t="s">
        <v>1788</v>
      </c>
      <c r="CK344" s="2" t="s">
        <v>3366</v>
      </c>
      <c r="CL344" s="2" t="s">
        <v>3564</v>
      </c>
      <c r="CM344" s="39">
        <v>2</v>
      </c>
      <c r="CN344" s="2" t="str">
        <f t="shared" si="32"/>
        <v>TADigital NA Consulting | Strategy - Associate Digital Strategist</v>
      </c>
      <c r="CO344" s="2" t="str">
        <f t="shared" ref="CO344:CO361" si="36">_xlfn.XLOOKUP(CW344,$C$373:$C$430,$F$373:$F$430,"X",1)</f>
        <v>TADigital India Consulting | Cloud &amp; Engineering - L2 / B1-B3 | Associate Engineer</v>
      </c>
      <c r="CP344" s="1579">
        <v>200</v>
      </c>
      <c r="CQ344" s="1579">
        <v>85</v>
      </c>
      <c r="CR344" s="1579">
        <v>55</v>
      </c>
      <c r="CS344" s="1579">
        <f t="shared" si="33"/>
        <v>14.760000000000002</v>
      </c>
      <c r="CT344" s="1579">
        <v>18</v>
      </c>
      <c r="CU344" s="2">
        <f t="shared" si="34"/>
        <v>13</v>
      </c>
      <c r="CV344" s="2" t="str">
        <f t="shared" si="31"/>
        <v>Strategy - Associate Digital Strategist</v>
      </c>
      <c r="CW344" s="2" t="str">
        <f>_xlfn.XLOOKUP(CL344,'[1]Rates &amp; Drop Downs INT'!D$373:D$430,'[1]Rates &amp; Drop Downs INT'!C$373:C$430,"X",1)</f>
        <v>Cloud &amp; Engineering - 2 | Associate Engineer</v>
      </c>
    </row>
    <row r="345" spans="2:101" ht="13.05" customHeight="1" x14ac:dyDescent="0.25">
      <c r="B345" s="346" t="s">
        <v>294</v>
      </c>
      <c r="C345" s="346" t="s">
        <v>1618</v>
      </c>
      <c r="D345" s="346"/>
      <c r="E345" s="346"/>
      <c r="F345" s="346" t="s">
        <v>1630</v>
      </c>
      <c r="G345" s="347">
        <v>53</v>
      </c>
      <c r="H345" s="346" t="s">
        <v>120</v>
      </c>
      <c r="I345" s="348">
        <v>106</v>
      </c>
      <c r="J345" s="353">
        <v>5</v>
      </c>
      <c r="CG345" s="2" t="s">
        <v>262</v>
      </c>
      <c r="CH345" s="2" t="s">
        <v>262</v>
      </c>
      <c r="CI345" s="2" t="s">
        <v>1212</v>
      </c>
      <c r="CJ345" s="2" t="s">
        <v>1788</v>
      </c>
      <c r="CK345" s="2" t="s">
        <v>532</v>
      </c>
      <c r="CL345" s="2" t="s">
        <v>3547</v>
      </c>
      <c r="CM345" s="39">
        <v>2</v>
      </c>
      <c r="CN345" s="2" t="str">
        <f t="shared" si="32"/>
        <v>TADigital NA Consulting | Content &amp; SEO - Associate Content Strategist</v>
      </c>
      <c r="CO345" s="2" t="str">
        <f t="shared" si="36"/>
        <v>TADigital India Consulting | Cloud &amp; Engineering - L2 / B1-B3 | Associate Engineer</v>
      </c>
      <c r="CP345" s="1579">
        <v>160</v>
      </c>
      <c r="CQ345" s="1579">
        <v>80</v>
      </c>
      <c r="CR345" s="1579">
        <v>55</v>
      </c>
      <c r="CS345" s="1579">
        <f t="shared" si="33"/>
        <v>14.760000000000002</v>
      </c>
      <c r="CT345" s="1579">
        <v>18</v>
      </c>
      <c r="CU345" s="2">
        <f t="shared" si="34"/>
        <v>13</v>
      </c>
      <c r="CV345" s="2" t="str">
        <f t="shared" si="31"/>
        <v>Content &amp; SEO - Associate Content Strategist</v>
      </c>
      <c r="CW345" s="2" t="str">
        <f>_xlfn.XLOOKUP(CL345,'[1]Rates &amp; Drop Downs INT'!D$373:D$430,'[1]Rates &amp; Drop Downs INT'!C$373:C$430,"X",1)</f>
        <v>Cloud &amp; Engineering - 2 | Associate Engineer</v>
      </c>
    </row>
    <row r="346" spans="2:101" ht="13.05" customHeight="1" x14ac:dyDescent="0.25">
      <c r="B346" s="4" t="s">
        <v>294</v>
      </c>
      <c r="C346" s="4" t="s">
        <v>1666</v>
      </c>
      <c r="D346" s="4"/>
      <c r="E346" s="4"/>
      <c r="F346" s="4" t="s">
        <v>1650</v>
      </c>
      <c r="G346" s="343">
        <v>65</v>
      </c>
      <c r="H346" s="4" t="s">
        <v>120</v>
      </c>
      <c r="I346" s="344">
        <v>130</v>
      </c>
      <c r="J346" s="345">
        <v>6</v>
      </c>
      <c r="CG346" s="2" t="s">
        <v>262</v>
      </c>
      <c r="CH346" s="2" t="s">
        <v>262</v>
      </c>
      <c r="CI346" s="2" t="s">
        <v>1212</v>
      </c>
      <c r="CJ346" s="2" t="s">
        <v>1788</v>
      </c>
      <c r="CK346" s="2" t="s">
        <v>584</v>
      </c>
      <c r="CL346" s="2" t="s">
        <v>3561</v>
      </c>
      <c r="CM346" s="39">
        <v>2</v>
      </c>
      <c r="CN346" s="2" t="str">
        <f t="shared" si="32"/>
        <v>TADigital NA Consulting | Content &amp; SEO - Sr. Web Content Analyst</v>
      </c>
      <c r="CO346" s="2" t="str">
        <f t="shared" si="36"/>
        <v>TADigital India Consulting | Cloud &amp; Engineering - L2 / B1-B3 | Associate Engineer</v>
      </c>
      <c r="CP346" s="1579">
        <v>135</v>
      </c>
      <c r="CQ346" s="1579">
        <v>80</v>
      </c>
      <c r="CR346" s="1579">
        <v>50</v>
      </c>
      <c r="CS346" s="1579">
        <f t="shared" si="33"/>
        <v>10.66</v>
      </c>
      <c r="CT346" s="1579">
        <v>13</v>
      </c>
      <c r="CU346" s="2">
        <f t="shared" si="34"/>
        <v>13</v>
      </c>
      <c r="CV346" s="2" t="str">
        <f t="shared" si="31"/>
        <v>Content &amp; SEO - Sr. Web Content Analyst</v>
      </c>
      <c r="CW346" s="2" t="str">
        <f>_xlfn.XLOOKUP(CL346,'[1]Rates &amp; Drop Downs INT'!D$373:D$430,'[1]Rates &amp; Drop Downs INT'!C$373:C$430,"X",1)</f>
        <v>Cloud &amp; Engineering - 2 | Associate Engineer</v>
      </c>
    </row>
    <row r="347" spans="2:101" ht="13.05" customHeight="1" x14ac:dyDescent="0.25">
      <c r="B347" s="346" t="s">
        <v>294</v>
      </c>
      <c r="C347" s="346" t="s">
        <v>1480</v>
      </c>
      <c r="D347" s="346"/>
      <c r="E347" s="346"/>
      <c r="F347" s="346" t="s">
        <v>1500</v>
      </c>
      <c r="G347" s="347">
        <v>26</v>
      </c>
      <c r="H347" s="346" t="s">
        <v>120</v>
      </c>
      <c r="I347" s="348">
        <v>71</v>
      </c>
      <c r="J347" s="351">
        <v>2</v>
      </c>
      <c r="CG347" s="2" t="s">
        <v>262</v>
      </c>
      <c r="CH347" s="2" t="s">
        <v>262</v>
      </c>
      <c r="CI347" s="2" t="s">
        <v>1212</v>
      </c>
      <c r="CJ347" s="2" t="s">
        <v>1788</v>
      </c>
      <c r="CK347" s="2" t="s">
        <v>590</v>
      </c>
      <c r="CL347" s="2" t="s">
        <v>3549</v>
      </c>
      <c r="CM347" s="39">
        <v>4</v>
      </c>
      <c r="CN347" s="2" t="str">
        <f t="shared" si="32"/>
        <v>TADigital NA Consulting | Content &amp; SEO - Associate Manager</v>
      </c>
      <c r="CO347" s="2" t="str">
        <f t="shared" si="36"/>
        <v>TADigital India Consulting | Cloud &amp; Engineering - L2 / B1-B3 | Associate Engineer</v>
      </c>
      <c r="CP347" s="1579">
        <v>210</v>
      </c>
      <c r="CQ347" s="1579">
        <v>120</v>
      </c>
      <c r="CR347" s="1579">
        <v>85</v>
      </c>
      <c r="CS347" s="1579">
        <f t="shared" si="33"/>
        <v>24.6</v>
      </c>
      <c r="CT347" s="1579">
        <v>30</v>
      </c>
      <c r="CU347" s="2">
        <f t="shared" si="34"/>
        <v>13</v>
      </c>
      <c r="CV347" s="2" t="str">
        <f t="shared" si="31"/>
        <v>Content &amp; SEO - Associate Manager</v>
      </c>
      <c r="CW347" s="2" t="str">
        <f>_xlfn.XLOOKUP(CL347,'[1]Rates &amp; Drop Downs INT'!D$373:D$430,'[1]Rates &amp; Drop Downs INT'!C$373:C$430,"X",1)</f>
        <v>Cloud &amp; Engineering - 2 | Associate Engineer</v>
      </c>
    </row>
    <row r="348" spans="2:101" ht="13.05" customHeight="1" x14ac:dyDescent="0.25">
      <c r="B348" s="4" t="s">
        <v>294</v>
      </c>
      <c r="C348" s="4" t="s">
        <v>1534</v>
      </c>
      <c r="D348" s="4"/>
      <c r="E348" s="4"/>
      <c r="F348" s="4" t="s">
        <v>1557</v>
      </c>
      <c r="G348" s="343">
        <v>33</v>
      </c>
      <c r="H348" s="4" t="s">
        <v>120</v>
      </c>
      <c r="I348" s="344">
        <v>79</v>
      </c>
      <c r="J348" s="345">
        <v>3</v>
      </c>
      <c r="CG348" s="2" t="s">
        <v>262</v>
      </c>
      <c r="CH348" s="2" t="s">
        <v>262</v>
      </c>
      <c r="CI348" s="2" t="s">
        <v>1212</v>
      </c>
      <c r="CJ348" s="2" t="s">
        <v>1788</v>
      </c>
      <c r="CK348" s="2" t="s">
        <v>588</v>
      </c>
      <c r="CL348" s="2" t="s">
        <v>3563</v>
      </c>
      <c r="CM348" s="39">
        <v>3</v>
      </c>
      <c r="CN348" s="2" t="str">
        <f t="shared" si="32"/>
        <v>TADigital NA Digital - Technical Lead</v>
      </c>
      <c r="CO348" s="2" t="str">
        <f t="shared" si="36"/>
        <v>TADigital India Consulting | Cloud &amp; Engineering - L2 / B1-B3 | Associate Engineer</v>
      </c>
      <c r="CP348" s="1579">
        <v>185</v>
      </c>
      <c r="CQ348" s="1579">
        <v>105</v>
      </c>
      <c r="CR348" s="1579">
        <v>75</v>
      </c>
      <c r="CS348" s="1579">
        <f t="shared" si="33"/>
        <v>24.6</v>
      </c>
      <c r="CT348" s="1579">
        <v>30</v>
      </c>
      <c r="CU348" s="2">
        <f t="shared" si="34"/>
        <v>13</v>
      </c>
      <c r="CV348" s="2" t="str">
        <f t="shared" si="31"/>
        <v>Technical Lead</v>
      </c>
      <c r="CW348" s="2" t="str">
        <f>_xlfn.XLOOKUP(CL348,'[1]Rates &amp; Drop Downs INT'!D$373:D$430,'[1]Rates &amp; Drop Downs INT'!C$373:C$430,"X",1)</f>
        <v>Cloud &amp; Engineering - 2 | Associate Engineer</v>
      </c>
    </row>
    <row r="349" spans="2:101" ht="13.05" customHeight="1" x14ac:dyDescent="0.25">
      <c r="B349" s="346" t="s">
        <v>294</v>
      </c>
      <c r="C349" s="346" t="s">
        <v>1609</v>
      </c>
      <c r="D349" s="346"/>
      <c r="E349" s="346"/>
      <c r="F349" s="346" t="s">
        <v>1590</v>
      </c>
      <c r="G349" s="347">
        <v>49</v>
      </c>
      <c r="H349" s="346" t="s">
        <v>120</v>
      </c>
      <c r="I349" s="348">
        <v>103</v>
      </c>
      <c r="J349" s="351">
        <v>4</v>
      </c>
      <c r="CG349" s="2" t="s">
        <v>262</v>
      </c>
      <c r="CH349" s="2" t="s">
        <v>262</v>
      </c>
      <c r="CI349" s="2" t="s">
        <v>1212</v>
      </c>
      <c r="CJ349" s="2" t="s">
        <v>1788</v>
      </c>
      <c r="CK349" s="2" t="s">
        <v>542</v>
      </c>
      <c r="CL349" s="2" t="s">
        <v>3548</v>
      </c>
      <c r="CM349" s="39">
        <v>5</v>
      </c>
      <c r="CN349" s="2" t="str">
        <f t="shared" si="32"/>
        <v>TADigital NA | Management - Associate Practice Director</v>
      </c>
      <c r="CO349" s="2" t="str">
        <f t="shared" si="36"/>
        <v>TADigital India Consulting | Cloud &amp; Engineering - L2 / B1-B3 | Associate Engineer</v>
      </c>
      <c r="CP349" s="1579">
        <v>290</v>
      </c>
      <c r="CQ349" s="1579">
        <v>167.5</v>
      </c>
      <c r="CR349" s="1579">
        <v>125</v>
      </c>
      <c r="CS349" s="1579">
        <f t="shared" si="33"/>
        <v>51.250000000000007</v>
      </c>
      <c r="CT349" s="1579">
        <v>62.5</v>
      </c>
      <c r="CU349" s="2">
        <f t="shared" si="34"/>
        <v>13</v>
      </c>
      <c r="CV349" s="2" t="str">
        <f t="shared" si="31"/>
        <v>Management - Associate Practice Director</v>
      </c>
      <c r="CW349" s="2" t="str">
        <f>_xlfn.XLOOKUP(CL349,'[1]Rates &amp; Drop Downs INT'!D$373:D$430,'[1]Rates &amp; Drop Downs INT'!C$373:C$430,"X",1)</f>
        <v>Cloud &amp; Engineering - 2 | Associate Engineer</v>
      </c>
    </row>
    <row r="350" spans="2:101" ht="13.05" customHeight="1" x14ac:dyDescent="0.25">
      <c r="B350" s="4" t="s">
        <v>294</v>
      </c>
      <c r="C350" s="4" t="s">
        <v>1619</v>
      </c>
      <c r="D350" s="4"/>
      <c r="E350" s="4"/>
      <c r="F350" s="4" t="s">
        <v>1631</v>
      </c>
      <c r="G350" s="343">
        <v>53</v>
      </c>
      <c r="H350" s="4" t="s">
        <v>120</v>
      </c>
      <c r="I350" s="344">
        <v>106</v>
      </c>
      <c r="J350" s="355">
        <v>5</v>
      </c>
      <c r="CG350" s="2" t="s">
        <v>262</v>
      </c>
      <c r="CH350" s="2" t="s">
        <v>262</v>
      </c>
      <c r="CI350" s="2" t="s">
        <v>1212</v>
      </c>
      <c r="CJ350" s="2" t="s">
        <v>1788</v>
      </c>
      <c r="CK350" s="2" t="s">
        <v>3352</v>
      </c>
      <c r="CL350" s="2" t="s">
        <v>3549</v>
      </c>
      <c r="CM350" s="39">
        <v>5</v>
      </c>
      <c r="CN350" s="2" t="str">
        <f t="shared" si="32"/>
        <v>TADigital NA | Management - Practice Director / Delivery Director</v>
      </c>
      <c r="CO350" s="2" t="str">
        <f t="shared" si="36"/>
        <v>TADigital India Consulting | Cloud &amp; Engineering - L2 / B1-B3 | Associate Engineer</v>
      </c>
      <c r="CP350" s="1579">
        <v>315</v>
      </c>
      <c r="CQ350" s="1579">
        <v>165</v>
      </c>
      <c r="CR350" s="1579">
        <v>115</v>
      </c>
      <c r="CS350" s="1579">
        <f t="shared" si="33"/>
        <v>45.1</v>
      </c>
      <c r="CT350" s="1579">
        <v>55</v>
      </c>
      <c r="CU350" s="2">
        <f t="shared" si="34"/>
        <v>13</v>
      </c>
      <c r="CV350" s="2" t="str">
        <f t="shared" si="31"/>
        <v>Management - Practice Director / Delivery Director</v>
      </c>
      <c r="CW350" s="2" t="str">
        <f>_xlfn.XLOOKUP(CL350,'[1]Rates &amp; Drop Downs INT'!D$373:D$430,'[1]Rates &amp; Drop Downs INT'!C$373:C$430,"X",1)</f>
        <v>Cloud &amp; Engineering - 2 | Associate Engineer</v>
      </c>
    </row>
    <row r="351" spans="2:101" ht="13.05" customHeight="1" x14ac:dyDescent="0.25">
      <c r="B351" s="346" t="s">
        <v>294</v>
      </c>
      <c r="C351" s="346" t="s">
        <v>1667</v>
      </c>
      <c r="D351" s="346"/>
      <c r="E351" s="346"/>
      <c r="F351" s="346" t="s">
        <v>1651</v>
      </c>
      <c r="G351" s="347">
        <v>65</v>
      </c>
      <c r="H351" s="346" t="s">
        <v>120</v>
      </c>
      <c r="I351" s="348">
        <v>130</v>
      </c>
      <c r="J351" s="351">
        <v>6</v>
      </c>
      <c r="CG351" s="2" t="s">
        <v>262</v>
      </c>
      <c r="CH351" s="2" t="s">
        <v>262</v>
      </c>
      <c r="CI351" s="2" t="s">
        <v>1212</v>
      </c>
      <c r="CJ351" s="2" t="s">
        <v>1788</v>
      </c>
      <c r="CK351" s="2" t="s">
        <v>446</v>
      </c>
      <c r="CL351" s="2" t="s">
        <v>3546</v>
      </c>
      <c r="CM351" s="39">
        <v>4</v>
      </c>
      <c r="CN351" s="2" t="str">
        <f t="shared" si="32"/>
        <v>TADigital NA Consulting - Sr. Project Manager</v>
      </c>
      <c r="CO351" s="2" t="str">
        <f t="shared" si="36"/>
        <v>TADigital India Consulting | Cloud &amp; Engineering - L2 / B1-B3 | Associate Engineer</v>
      </c>
      <c r="CP351" s="1579">
        <v>235</v>
      </c>
      <c r="CQ351" s="1579">
        <v>130</v>
      </c>
      <c r="CR351" s="1579">
        <v>80</v>
      </c>
      <c r="CS351" s="1579">
        <f t="shared" si="33"/>
        <v>38.950000000000003</v>
      </c>
      <c r="CT351" s="1579">
        <v>47.5</v>
      </c>
      <c r="CU351" s="2">
        <f t="shared" si="34"/>
        <v>13</v>
      </c>
      <c r="CV351" s="2" t="str">
        <f t="shared" si="31"/>
        <v>Sr. Project Manager</v>
      </c>
      <c r="CW351" s="2" t="str">
        <f>_xlfn.XLOOKUP(CL351,'[1]Rates &amp; Drop Downs INT'!D$373:D$430,'[1]Rates &amp; Drop Downs INT'!C$373:C$430,"X",1)</f>
        <v>Cloud &amp; Engineering - 2 | Associate Engineer</v>
      </c>
    </row>
    <row r="352" spans="2:101" ht="13.05" customHeight="1" x14ac:dyDescent="0.25">
      <c r="B352" s="4" t="s">
        <v>294</v>
      </c>
      <c r="C352" s="4" t="s">
        <v>1474</v>
      </c>
      <c r="D352" s="4"/>
      <c r="E352" s="4"/>
      <c r="F352" s="4" t="s">
        <v>1501</v>
      </c>
      <c r="G352" s="343">
        <v>11</v>
      </c>
      <c r="H352" s="4" t="s">
        <v>120</v>
      </c>
      <c r="I352" s="344">
        <v>30</v>
      </c>
      <c r="J352" s="345">
        <v>2</v>
      </c>
      <c r="CG352" s="2" t="s">
        <v>262</v>
      </c>
      <c r="CH352" s="2" t="s">
        <v>262</v>
      </c>
      <c r="CI352" s="2" t="s">
        <v>1212</v>
      </c>
      <c r="CJ352" s="2" t="s">
        <v>1788</v>
      </c>
      <c r="CK352" s="2" t="s">
        <v>3353</v>
      </c>
      <c r="CL352" s="2" t="s">
        <v>3549</v>
      </c>
      <c r="CM352" s="39">
        <v>6</v>
      </c>
      <c r="CN352" s="2" t="str">
        <f t="shared" si="32"/>
        <v>TADigital NA | Management - Practice VP / Delivery VP</v>
      </c>
      <c r="CO352" s="2" t="str">
        <f t="shared" si="36"/>
        <v>TADigital India Consulting | Cloud &amp; Engineering - L2 / B1-B3 | Associate Engineer</v>
      </c>
      <c r="CP352" s="1579">
        <v>370</v>
      </c>
      <c r="CQ352" s="1579">
        <v>172.5</v>
      </c>
      <c r="CR352" s="1579">
        <v>135</v>
      </c>
      <c r="CS352" s="1579">
        <f t="shared" si="33"/>
        <v>51.250000000000007</v>
      </c>
      <c r="CT352" s="1579">
        <v>62.5</v>
      </c>
      <c r="CU352" s="2">
        <f t="shared" si="34"/>
        <v>13</v>
      </c>
      <c r="CV352" s="2" t="str">
        <f t="shared" si="31"/>
        <v>Management - Practice VP / Delivery VP</v>
      </c>
      <c r="CW352" s="2" t="str">
        <f>_xlfn.XLOOKUP(CL352,'[1]Rates &amp; Drop Downs INT'!D$373:D$430,'[1]Rates &amp; Drop Downs INT'!C$373:C$430,"X",1)</f>
        <v>Cloud &amp; Engineering - 2 | Associate Engineer</v>
      </c>
    </row>
    <row r="353" spans="2:101" ht="13.05" customHeight="1" x14ac:dyDescent="0.25">
      <c r="B353" s="346" t="s">
        <v>294</v>
      </c>
      <c r="C353" s="346" t="s">
        <v>1475</v>
      </c>
      <c r="D353" s="346"/>
      <c r="E353" s="346"/>
      <c r="F353" s="346" t="s">
        <v>1502</v>
      </c>
      <c r="G353" s="347">
        <v>18</v>
      </c>
      <c r="H353" s="346" t="s">
        <v>120</v>
      </c>
      <c r="I353" s="348">
        <v>49</v>
      </c>
      <c r="J353" s="351">
        <v>2</v>
      </c>
      <c r="CG353" s="2" t="s">
        <v>262</v>
      </c>
      <c r="CH353" s="2" t="s">
        <v>262</v>
      </c>
      <c r="CI353" s="2" t="s">
        <v>1212</v>
      </c>
      <c r="CJ353" s="2" t="s">
        <v>1788</v>
      </c>
      <c r="CK353" s="2" t="s">
        <v>534</v>
      </c>
      <c r="CL353" s="2" t="s">
        <v>3550</v>
      </c>
      <c r="CM353" s="39">
        <v>2</v>
      </c>
      <c r="CN353" s="2" t="str">
        <f t="shared" si="32"/>
        <v>TADigital NA Consulting | Content &amp; SEO - Content Strategist</v>
      </c>
      <c r="CO353" s="2" t="str">
        <f t="shared" si="36"/>
        <v>TADigital India Consulting | Cloud &amp; Engineering - L2 / B1-B3 | Associate Engineer</v>
      </c>
      <c r="CP353" s="1579">
        <v>170</v>
      </c>
      <c r="CQ353" s="1579">
        <v>82.5</v>
      </c>
      <c r="CR353" s="1579">
        <v>65</v>
      </c>
      <c r="CS353" s="1579">
        <f t="shared" si="33"/>
        <v>18.450000000000003</v>
      </c>
      <c r="CT353" s="1579">
        <v>22.5</v>
      </c>
      <c r="CU353" s="2">
        <f t="shared" si="34"/>
        <v>13</v>
      </c>
      <c r="CV353" s="2" t="str">
        <f t="shared" si="31"/>
        <v>Content &amp; SEO - Content Strategist</v>
      </c>
      <c r="CW353" s="2" t="str">
        <f>_xlfn.XLOOKUP(CL353,'[1]Rates &amp; Drop Downs INT'!D$373:D$430,'[1]Rates &amp; Drop Downs INT'!C$373:C$430,"X",1)</f>
        <v>Cloud &amp; Engineering - 2 | Associate Engineer</v>
      </c>
    </row>
    <row r="354" spans="2:101" ht="13.05" customHeight="1" x14ac:dyDescent="0.25">
      <c r="B354" s="4" t="s">
        <v>294</v>
      </c>
      <c r="C354" s="4" t="s">
        <v>1528</v>
      </c>
      <c r="D354" s="4"/>
      <c r="E354" s="4"/>
      <c r="F354" s="4" t="s">
        <v>1558</v>
      </c>
      <c r="G354" s="343">
        <v>25</v>
      </c>
      <c r="H354" s="4" t="s">
        <v>120</v>
      </c>
      <c r="I354" s="344">
        <v>56</v>
      </c>
      <c r="J354" s="345">
        <v>3</v>
      </c>
      <c r="CG354" s="2" t="s">
        <v>262</v>
      </c>
      <c r="CH354" s="2" t="s">
        <v>262</v>
      </c>
      <c r="CI354" s="2" t="s">
        <v>1212</v>
      </c>
      <c r="CJ354" s="2" t="s">
        <v>1788</v>
      </c>
      <c r="CK354" s="2" t="s">
        <v>586</v>
      </c>
      <c r="CL354" s="2" t="s">
        <v>3562</v>
      </c>
      <c r="CM354" s="39">
        <v>2</v>
      </c>
      <c r="CN354" s="2" t="str">
        <f t="shared" si="32"/>
        <v>TADigital NA Consulting | Content &amp; SEO - Associate Content Strategist</v>
      </c>
      <c r="CO354" s="2" t="str">
        <f t="shared" si="36"/>
        <v>TADigital India Consulting | Cloud &amp; Engineering - L2 / B1-B3 | Associate Engineer</v>
      </c>
      <c r="CP354" s="1579">
        <v>160</v>
      </c>
      <c r="CQ354" s="1579">
        <v>90</v>
      </c>
      <c r="CR354" s="1579">
        <v>60</v>
      </c>
      <c r="CS354" s="1579">
        <f t="shared" si="33"/>
        <v>20.5</v>
      </c>
      <c r="CT354" s="1579">
        <v>25</v>
      </c>
      <c r="CU354" s="2">
        <f t="shared" si="34"/>
        <v>13</v>
      </c>
      <c r="CV354" s="2" t="str">
        <f t="shared" si="31"/>
        <v>Content &amp; SEO - Associate Content Strategist</v>
      </c>
      <c r="CW354" s="2" t="str">
        <f>_xlfn.XLOOKUP(CL354,'[1]Rates &amp; Drop Downs INT'!D$373:D$430,'[1]Rates &amp; Drop Downs INT'!C$373:C$430,"X",1)</f>
        <v>Cloud &amp; Engineering - 2 | Associate Engineer</v>
      </c>
    </row>
    <row r="355" spans="2:101" ht="13.05" customHeight="1" x14ac:dyDescent="0.25">
      <c r="B355" s="346" t="s">
        <v>294</v>
      </c>
      <c r="C355" s="346" t="s">
        <v>1529</v>
      </c>
      <c r="D355" s="346"/>
      <c r="E355" s="346"/>
      <c r="F355" s="346" t="s">
        <v>1559</v>
      </c>
      <c r="G355" s="347">
        <v>33</v>
      </c>
      <c r="H355" s="346" t="s">
        <v>120</v>
      </c>
      <c r="I355" s="348">
        <v>69</v>
      </c>
      <c r="J355" s="351">
        <v>3</v>
      </c>
      <c r="CG355" s="2" t="s">
        <v>262</v>
      </c>
      <c r="CH355" s="2" t="s">
        <v>262</v>
      </c>
      <c r="CI355" s="2" t="s">
        <v>1212</v>
      </c>
      <c r="CJ355" s="2" t="s">
        <v>1788</v>
      </c>
      <c r="CK355" s="2" t="s">
        <v>3354</v>
      </c>
      <c r="CL355" s="2" t="s">
        <v>3549</v>
      </c>
      <c r="CM355" s="39">
        <v>5</v>
      </c>
      <c r="CN355" s="2" t="str">
        <f t="shared" si="32"/>
        <v>TADigital NA | Management - Sr. Practice Director / Sr. Delivery Director</v>
      </c>
      <c r="CO355" s="2" t="str">
        <f t="shared" si="36"/>
        <v>TADigital India Consulting | Cloud &amp; Engineering - L2 / B1-B3 | Associate Engineer</v>
      </c>
      <c r="CP355" s="1579">
        <v>340</v>
      </c>
      <c r="CQ355" s="1579">
        <v>170</v>
      </c>
      <c r="CR355" s="1579">
        <v>125</v>
      </c>
      <c r="CS355" s="1579">
        <f t="shared" si="33"/>
        <v>49.2</v>
      </c>
      <c r="CT355" s="1579">
        <v>60</v>
      </c>
      <c r="CU355" s="2">
        <f t="shared" si="34"/>
        <v>13</v>
      </c>
      <c r="CV355" s="2" t="str">
        <f t="shared" si="31"/>
        <v>Management - Sr. Practice Director / Sr. Delivery Director</v>
      </c>
      <c r="CW355" s="2" t="str">
        <f>_xlfn.XLOOKUP(CL355,'[1]Rates &amp; Drop Downs INT'!D$373:D$430,'[1]Rates &amp; Drop Downs INT'!C$373:C$430,"X",1)</f>
        <v>Cloud &amp; Engineering - 2 | Associate Engineer</v>
      </c>
    </row>
    <row r="356" spans="2:101" ht="13.05" customHeight="1" x14ac:dyDescent="0.25">
      <c r="B356" s="4" t="s">
        <v>294</v>
      </c>
      <c r="C356" s="4" t="s">
        <v>1605</v>
      </c>
      <c r="D356" s="4"/>
      <c r="E356" s="4"/>
      <c r="F356" s="4" t="s">
        <v>1591</v>
      </c>
      <c r="G356" s="343">
        <v>39</v>
      </c>
      <c r="H356" s="4" t="s">
        <v>120</v>
      </c>
      <c r="I356" s="344">
        <v>78</v>
      </c>
      <c r="J356" s="345">
        <v>4</v>
      </c>
      <c r="CG356" s="2" t="s">
        <v>262</v>
      </c>
      <c r="CH356" s="2" t="s">
        <v>262</v>
      </c>
      <c r="CI356" s="2" t="s">
        <v>1212</v>
      </c>
      <c r="CJ356" s="2" t="s">
        <v>1788</v>
      </c>
      <c r="CK356" s="2" t="s">
        <v>448</v>
      </c>
      <c r="CL356" s="2" t="s">
        <v>3546</v>
      </c>
      <c r="CM356" s="39">
        <v>5</v>
      </c>
      <c r="CN356" s="2" t="str">
        <f t="shared" si="32"/>
        <v>TADigital NA Consulting - Delivery Manager</v>
      </c>
      <c r="CO356" s="2" t="str">
        <f t="shared" si="36"/>
        <v>TADigital India Consulting | Cloud &amp; Engineering - L2 / B1-B3 | Associate Engineer</v>
      </c>
      <c r="CP356" s="1579">
        <v>265</v>
      </c>
      <c r="CQ356" s="1579">
        <v>137.5</v>
      </c>
      <c r="CR356" s="1579">
        <v>90</v>
      </c>
      <c r="CS356" s="1579">
        <f t="shared" si="33"/>
        <v>38.950000000000003</v>
      </c>
      <c r="CT356" s="1579">
        <v>47.5</v>
      </c>
      <c r="CU356" s="2">
        <f t="shared" si="34"/>
        <v>13</v>
      </c>
      <c r="CV356" s="2" t="str">
        <f t="shared" si="31"/>
        <v>Delivery Manager</v>
      </c>
      <c r="CW356" s="2" t="str">
        <f>_xlfn.XLOOKUP(CL356,'[1]Rates &amp; Drop Downs INT'!D$373:D$430,'[1]Rates &amp; Drop Downs INT'!C$373:C$430,"X",1)</f>
        <v>Cloud &amp; Engineering - 2 | Associate Engineer</v>
      </c>
    </row>
    <row r="357" spans="2:101" ht="13.05" customHeight="1" x14ac:dyDescent="0.25">
      <c r="B357" s="346" t="s">
        <v>294</v>
      </c>
      <c r="C357" s="346" t="s">
        <v>1614</v>
      </c>
      <c r="D357" s="346"/>
      <c r="E357" s="346"/>
      <c r="F357" s="346" t="s">
        <v>1632</v>
      </c>
      <c r="G357" s="347">
        <v>51</v>
      </c>
      <c r="H357" s="346" t="s">
        <v>120</v>
      </c>
      <c r="I357" s="348">
        <v>93</v>
      </c>
      <c r="J357" s="353">
        <v>5</v>
      </c>
      <c r="CG357" s="2" t="s">
        <v>262</v>
      </c>
      <c r="CH357" s="2" t="s">
        <v>262</v>
      </c>
      <c r="CI357" s="2" t="s">
        <v>1212</v>
      </c>
      <c r="CJ357" s="2" t="s">
        <v>1788</v>
      </c>
      <c r="CK357" s="2" t="s">
        <v>3367</v>
      </c>
      <c r="CL357" s="2" t="s">
        <v>3565</v>
      </c>
      <c r="CM357" s="39">
        <v>3</v>
      </c>
      <c r="CN357" s="2" t="str">
        <f t="shared" si="32"/>
        <v>TADigital NA Consulting | Content &amp; SEO - Associate Manager</v>
      </c>
      <c r="CO357" s="2" t="str">
        <f t="shared" si="36"/>
        <v>TADigital India Consulting | Cloud &amp; Engineering - L2 / B1-B3 | Associate Engineer</v>
      </c>
      <c r="CP357" s="1579">
        <v>210</v>
      </c>
      <c r="CQ357" s="1579">
        <v>105</v>
      </c>
      <c r="CR357" s="1579">
        <v>65</v>
      </c>
      <c r="CS357" s="1579">
        <f t="shared" si="33"/>
        <v>18.450000000000003</v>
      </c>
      <c r="CT357" s="1579">
        <v>22.5</v>
      </c>
      <c r="CU357" s="2">
        <f t="shared" si="34"/>
        <v>13</v>
      </c>
      <c r="CV357" s="2" t="str">
        <f t="shared" si="31"/>
        <v>Content &amp; SEO - Associate Manager</v>
      </c>
      <c r="CW357" s="2" t="str">
        <f>_xlfn.XLOOKUP(CL357,'[1]Rates &amp; Drop Downs INT'!D$373:D$430,'[1]Rates &amp; Drop Downs INT'!C$373:C$430,"X",1)</f>
        <v>Cloud &amp; Engineering - 2 | Associate Engineer</v>
      </c>
    </row>
    <row r="358" spans="2:101" ht="13.05" customHeight="1" x14ac:dyDescent="0.25">
      <c r="B358" s="4" t="s">
        <v>294</v>
      </c>
      <c r="C358" s="4" t="s">
        <v>1664</v>
      </c>
      <c r="D358" s="4"/>
      <c r="E358" s="4"/>
      <c r="F358" s="4" t="s">
        <v>1652</v>
      </c>
      <c r="G358" s="343">
        <v>63</v>
      </c>
      <c r="H358" s="4" t="s">
        <v>120</v>
      </c>
      <c r="I358" s="344">
        <v>105</v>
      </c>
      <c r="J358" s="345">
        <v>6</v>
      </c>
      <c r="CG358" s="2" t="s">
        <v>262</v>
      </c>
      <c r="CH358" s="2" t="s">
        <v>262</v>
      </c>
      <c r="CI358" s="2" t="s">
        <v>1212</v>
      </c>
      <c r="CJ358" s="2" t="s">
        <v>1788</v>
      </c>
      <c r="CK358" s="2" t="s">
        <v>540</v>
      </c>
      <c r="CL358" s="2" t="s">
        <v>538</v>
      </c>
      <c r="CM358" s="39">
        <v>5</v>
      </c>
      <c r="CN358" s="2" t="str">
        <f t="shared" si="32"/>
        <v>TADigital NA Digital - Sr. Technical Architect</v>
      </c>
      <c r="CO358" s="2" t="str">
        <f t="shared" si="36"/>
        <v>TADigital India Consulting | Cloud &amp; Engineering - L2 / B1-B3 | Associate Engineer</v>
      </c>
      <c r="CP358" s="1579">
        <v>275</v>
      </c>
      <c r="CQ358" s="1579">
        <v>155</v>
      </c>
      <c r="CR358" s="1579">
        <v>105</v>
      </c>
      <c r="CS358" s="1579">
        <f t="shared" si="33"/>
        <v>36.900000000000006</v>
      </c>
      <c r="CT358" s="1579">
        <v>45</v>
      </c>
      <c r="CU358" s="2">
        <f t="shared" si="34"/>
        <v>13</v>
      </c>
      <c r="CV358" s="2" t="str">
        <f t="shared" si="31"/>
        <v>Sr. Technical Architect</v>
      </c>
      <c r="CW358" s="2" t="str">
        <f>_xlfn.XLOOKUP(CL358,'[1]Rates &amp; Drop Downs INT'!D$373:D$430,'[1]Rates &amp; Drop Downs INT'!C$373:C$430,"X",1)</f>
        <v>Cloud &amp; Engineering - 2 | Associate Engineer</v>
      </c>
    </row>
    <row r="359" spans="2:101" ht="13.05" customHeight="1" x14ac:dyDescent="0.25">
      <c r="B359" s="346" t="s">
        <v>294</v>
      </c>
      <c r="C359" s="346" t="s">
        <v>1481</v>
      </c>
      <c r="D359" s="346"/>
      <c r="E359" s="346"/>
      <c r="F359" s="346" t="s">
        <v>1503</v>
      </c>
      <c r="G359" s="347">
        <v>13</v>
      </c>
      <c r="H359" s="346" t="s">
        <v>120</v>
      </c>
      <c r="I359" s="348">
        <v>36</v>
      </c>
      <c r="J359" s="351">
        <v>2</v>
      </c>
      <c r="CG359" s="2" t="s">
        <v>262</v>
      </c>
      <c r="CH359" s="2" t="s">
        <v>262</v>
      </c>
      <c r="CI359" s="2" t="s">
        <v>1212</v>
      </c>
      <c r="CJ359" s="2" t="s">
        <v>1788</v>
      </c>
      <c r="CK359" s="2" t="s">
        <v>3368</v>
      </c>
      <c r="CL359" s="2" t="s">
        <v>3564</v>
      </c>
      <c r="CM359" s="39">
        <v>2</v>
      </c>
      <c r="CN359" s="2" t="str">
        <f t="shared" si="32"/>
        <v>TADigital NA Consulting | Strategy - Digital Strategist</v>
      </c>
      <c r="CO359" s="2" t="str">
        <f t="shared" si="36"/>
        <v>TADigital India Consulting | Cloud &amp; Engineering - L2 / B1-B3 | Associate Engineer</v>
      </c>
      <c r="CP359" s="1579">
        <v>205</v>
      </c>
      <c r="CQ359" s="1579">
        <v>105</v>
      </c>
      <c r="CR359" s="1579">
        <v>60</v>
      </c>
      <c r="CS359" s="1579">
        <f t="shared" si="33"/>
        <v>1.6400000000000001</v>
      </c>
      <c r="CT359" s="1579">
        <v>2</v>
      </c>
      <c r="CU359" s="2">
        <f t="shared" si="34"/>
        <v>13</v>
      </c>
      <c r="CV359" s="2" t="str">
        <f t="shared" si="31"/>
        <v>Strategy - Digital Strategist</v>
      </c>
      <c r="CW359" s="2" t="str">
        <f>_xlfn.XLOOKUP(CL359,'[1]Rates &amp; Drop Downs INT'!D$373:D$430,'[1]Rates &amp; Drop Downs INT'!C$373:C$430,"X",1)</f>
        <v>Cloud &amp; Engineering - 2 | Associate Engineer</v>
      </c>
    </row>
    <row r="360" spans="2:101" ht="13.05" customHeight="1" x14ac:dyDescent="0.25">
      <c r="B360" s="4" t="s">
        <v>294</v>
      </c>
      <c r="C360" s="4" t="s">
        <v>1482</v>
      </c>
      <c r="D360" s="4"/>
      <c r="E360" s="4"/>
      <c r="F360" s="4" t="s">
        <v>1504</v>
      </c>
      <c r="G360" s="343">
        <v>20</v>
      </c>
      <c r="H360" s="4" t="s">
        <v>120</v>
      </c>
      <c r="I360" s="344">
        <v>55</v>
      </c>
      <c r="J360" s="345">
        <v>2</v>
      </c>
      <c r="CG360" s="2" t="s">
        <v>262</v>
      </c>
      <c r="CH360" s="2" t="s">
        <v>262</v>
      </c>
      <c r="CI360" s="2" t="s">
        <v>1212</v>
      </c>
      <c r="CJ360" s="2" t="s">
        <v>1788</v>
      </c>
      <c r="CK360" s="2" t="s">
        <v>538</v>
      </c>
      <c r="CL360" s="2" t="s">
        <v>538</v>
      </c>
      <c r="CM360" s="39">
        <v>4</v>
      </c>
      <c r="CN360" s="2" t="str">
        <f t="shared" si="32"/>
        <v>TADigital NA Consulting - Sr. Project Manager</v>
      </c>
      <c r="CO360" s="2" t="str">
        <f t="shared" si="36"/>
        <v>TADigital India Consulting | Cloud &amp; Engineering - L2 / B1-B3 | Associate Engineer</v>
      </c>
      <c r="CP360" s="1579">
        <v>235</v>
      </c>
      <c r="CQ360" s="1579">
        <v>132.5</v>
      </c>
      <c r="CR360" s="1579">
        <v>95</v>
      </c>
      <c r="CS360" s="1579">
        <f t="shared" si="33"/>
        <v>32.800000000000004</v>
      </c>
      <c r="CT360" s="1579">
        <v>40</v>
      </c>
      <c r="CU360" s="2">
        <f t="shared" si="34"/>
        <v>13</v>
      </c>
      <c r="CV360" s="2" t="str">
        <f t="shared" si="31"/>
        <v>Sr. Project Manager</v>
      </c>
      <c r="CW360" s="2" t="str">
        <f>_xlfn.XLOOKUP(CL360,'[1]Rates &amp; Drop Downs INT'!D$373:D$430,'[1]Rates &amp; Drop Downs INT'!C$373:C$430,"X",1)</f>
        <v>Cloud &amp; Engineering - 2 | Associate Engineer</v>
      </c>
    </row>
    <row r="361" spans="2:101" ht="13.05" customHeight="1" x14ac:dyDescent="0.25">
      <c r="B361" s="346" t="s">
        <v>294</v>
      </c>
      <c r="C361" s="346" t="s">
        <v>1535</v>
      </c>
      <c r="D361" s="346"/>
      <c r="E361" s="346"/>
      <c r="F361" s="346" t="s">
        <v>1560</v>
      </c>
      <c r="G361" s="347">
        <v>35</v>
      </c>
      <c r="H361" s="346" t="s">
        <v>120</v>
      </c>
      <c r="I361" s="348">
        <v>78</v>
      </c>
      <c r="J361" s="351">
        <v>3</v>
      </c>
      <c r="CG361" s="2" t="s">
        <v>262</v>
      </c>
      <c r="CH361" s="2" t="s">
        <v>262</v>
      </c>
      <c r="CI361" s="2" t="s">
        <v>1212</v>
      </c>
      <c r="CJ361" s="2" t="s">
        <v>1788</v>
      </c>
      <c r="CK361" s="2" t="s">
        <v>536</v>
      </c>
      <c r="CL361" s="2" t="s">
        <v>536</v>
      </c>
      <c r="CM361" s="39">
        <v>3</v>
      </c>
      <c r="CN361" s="2" t="str">
        <f t="shared" si="32"/>
        <v>TADigital NA Digital - Technical Lead</v>
      </c>
      <c r="CO361" s="2" t="str">
        <f t="shared" si="36"/>
        <v>TADigital India Consulting | Cloud &amp; Engineering - L2 / B1-B3 | Associate Engineer</v>
      </c>
      <c r="CP361" s="1579">
        <v>185</v>
      </c>
      <c r="CQ361" s="1579">
        <v>90</v>
      </c>
      <c r="CR361" s="1579">
        <v>85</v>
      </c>
      <c r="CS361" s="1579">
        <f t="shared" si="33"/>
        <v>24.6</v>
      </c>
      <c r="CT361" s="1579">
        <v>30</v>
      </c>
      <c r="CU361" s="2">
        <f t="shared" si="34"/>
        <v>13</v>
      </c>
      <c r="CV361" s="2" t="str">
        <f t="shared" si="31"/>
        <v>Technical Lead</v>
      </c>
      <c r="CW361" s="2" t="str">
        <f>_xlfn.XLOOKUP(CL361,'[1]Rates &amp; Drop Downs INT'!D$373:D$430,'[1]Rates &amp; Drop Downs INT'!C$373:C$430,"X",1)</f>
        <v>Cloud &amp; Engineering - 2 | Associate Engineer</v>
      </c>
    </row>
    <row r="362" spans="2:101" ht="13.05" customHeight="1" x14ac:dyDescent="0.25">
      <c r="B362" s="4" t="s">
        <v>294</v>
      </c>
      <c r="C362" s="4" t="s">
        <v>1536</v>
      </c>
      <c r="D362" s="4"/>
      <c r="E362" s="4"/>
      <c r="F362" s="4" t="s">
        <v>1561</v>
      </c>
      <c r="G362" s="343">
        <v>45</v>
      </c>
      <c r="H362" s="4" t="s">
        <v>120</v>
      </c>
      <c r="I362" s="344">
        <v>94</v>
      </c>
      <c r="J362" s="345">
        <v>3</v>
      </c>
      <c r="CG362" s="2" t="s">
        <v>262</v>
      </c>
      <c r="CH362" s="2" t="s">
        <v>262</v>
      </c>
      <c r="CI362" s="2" t="s">
        <v>1213</v>
      </c>
      <c r="CJ362" s="2" t="s">
        <v>1789</v>
      </c>
      <c r="CK362" s="2" t="s">
        <v>3351</v>
      </c>
      <c r="CL362" s="2" t="s">
        <v>3545</v>
      </c>
      <c r="CM362" s="39">
        <v>2</v>
      </c>
      <c r="CN362" s="2" t="str">
        <f t="shared" si="32"/>
        <v>TADigital NA Consulting | Content &amp; SEO - Associate Web Content Analyst</v>
      </c>
      <c r="CO362" s="2" t="str">
        <f>_xlfn.XLOOKUP(CW362,$C$373:$C$430,$F$373:$F$430,"X",1)</f>
        <v>TADigital India Consulting | Cloud &amp; Engineering - L2 / B1-B3 | Associate Engineer</v>
      </c>
      <c r="CP362" s="1579">
        <v>0</v>
      </c>
      <c r="CQ362" s="1579">
        <v>0</v>
      </c>
      <c r="CR362" s="1579">
        <v>35</v>
      </c>
      <c r="CS362" s="1579">
        <f t="shared" si="33"/>
        <v>10.66</v>
      </c>
      <c r="CT362" s="1579">
        <v>13</v>
      </c>
      <c r="CU362" s="2">
        <f t="shared" si="34"/>
        <v>13</v>
      </c>
      <c r="CV362" s="2" t="str">
        <f t="shared" si="31"/>
        <v>Content &amp; SEO - Associate Web Content Analyst</v>
      </c>
      <c r="CW362" s="2" t="str">
        <f>_xlfn.XLOOKUP(CL362,'[1]Rates &amp; Drop Downs INT'!D$373:D$430,'[1]Rates &amp; Drop Downs INT'!C$373:C$430,"X",1)</f>
        <v>Cloud &amp; Engineering - 2 | Associate Engineer</v>
      </c>
    </row>
    <row r="363" spans="2:101" ht="13.05" customHeight="1" x14ac:dyDescent="0.25">
      <c r="B363" s="346" t="s">
        <v>294</v>
      </c>
      <c r="C363" s="346" t="s">
        <v>1610</v>
      </c>
      <c r="D363" s="346"/>
      <c r="E363" s="346"/>
      <c r="F363" s="346" t="s">
        <v>1592</v>
      </c>
      <c r="G363" s="347">
        <v>57</v>
      </c>
      <c r="H363" s="346" t="s">
        <v>120</v>
      </c>
      <c r="I363" s="348">
        <v>114</v>
      </c>
      <c r="J363" s="351">
        <v>4</v>
      </c>
      <c r="CG363" s="2" t="s">
        <v>262</v>
      </c>
      <c r="CH363" s="2" t="s">
        <v>262</v>
      </c>
      <c r="CI363" s="2" t="s">
        <v>1213</v>
      </c>
      <c r="CJ363" s="2" t="s">
        <v>1789</v>
      </c>
      <c r="CK363" s="2" t="s">
        <v>720</v>
      </c>
      <c r="CL363" s="2" t="s">
        <v>3546</v>
      </c>
      <c r="CM363" s="39">
        <v>5</v>
      </c>
      <c r="CN363" s="2" t="str">
        <f t="shared" si="32"/>
        <v>TADigital NA | Management - Associate Practice Director</v>
      </c>
      <c r="CO363" s="2" t="str">
        <f>_xlfn.XLOOKUP(CW363,$C$373:$C$430,$F$373:$F$430,"X",1)</f>
        <v>TADigital India Consulting | Cloud &amp; Engineering - L2 / B1-B3 | Associate Engineer</v>
      </c>
      <c r="CP363" s="1579">
        <v>290</v>
      </c>
      <c r="CQ363" s="1579">
        <v>140</v>
      </c>
      <c r="CR363" s="1579">
        <v>105</v>
      </c>
      <c r="CS363" s="1579">
        <f t="shared" si="33"/>
        <v>45.1</v>
      </c>
      <c r="CT363" s="1579">
        <v>55</v>
      </c>
      <c r="CU363" s="2">
        <f t="shared" si="34"/>
        <v>13</v>
      </c>
      <c r="CV363" s="2" t="str">
        <f t="shared" si="31"/>
        <v>Management - Associate Practice Director</v>
      </c>
      <c r="CW363" s="2" t="str">
        <f>_xlfn.XLOOKUP(CL363,'[1]Rates &amp; Drop Downs INT'!D$373:D$430,'[1]Rates &amp; Drop Downs INT'!C$373:C$430,"X",1)</f>
        <v>Cloud &amp; Engineering - 2 | Associate Engineer</v>
      </c>
    </row>
    <row r="364" spans="2:101" ht="13.05" customHeight="1" x14ac:dyDescent="0.25">
      <c r="B364" s="4" t="s">
        <v>294</v>
      </c>
      <c r="C364" s="4" t="s">
        <v>1620</v>
      </c>
      <c r="D364" s="4"/>
      <c r="E364" s="4"/>
      <c r="F364" s="4" t="s">
        <v>1633</v>
      </c>
      <c r="G364" s="343">
        <v>69</v>
      </c>
      <c r="H364" s="4" t="s">
        <v>120</v>
      </c>
      <c r="I364" s="344">
        <v>126</v>
      </c>
      <c r="J364" s="355">
        <v>5</v>
      </c>
      <c r="CG364" s="2" t="s">
        <v>262</v>
      </c>
      <c r="CH364" s="2" t="s">
        <v>262</v>
      </c>
      <c r="CI364" s="2" t="s">
        <v>1213</v>
      </c>
      <c r="CJ364" s="2" t="s">
        <v>1789</v>
      </c>
      <c r="CK364" s="2" t="s">
        <v>532</v>
      </c>
      <c r="CL364" s="2" t="s">
        <v>3547</v>
      </c>
      <c r="CM364" s="39">
        <v>2</v>
      </c>
      <c r="CN364" s="2" t="str">
        <f t="shared" si="32"/>
        <v>TADigital NA Consulting | Content &amp; SEO - Associate Content Strategist</v>
      </c>
      <c r="CO364" s="2" t="str">
        <f t="shared" ref="CO364:CO420" si="37">_xlfn.XLOOKUP(CW364,$C$373:$C$430,$F$373:$F$430,"X",1)</f>
        <v>TADigital India Consulting | Cloud &amp; Engineering - L2 / B1-B3 | Associate Engineer</v>
      </c>
      <c r="CP364" s="1579">
        <v>160</v>
      </c>
      <c r="CQ364" s="1579">
        <v>80</v>
      </c>
      <c r="CR364" s="1579">
        <v>55</v>
      </c>
      <c r="CS364" s="1579">
        <f t="shared" si="33"/>
        <v>14.760000000000002</v>
      </c>
      <c r="CT364" s="1579">
        <v>18</v>
      </c>
      <c r="CU364" s="2">
        <f t="shared" si="34"/>
        <v>13</v>
      </c>
      <c r="CV364" s="2" t="str">
        <f t="shared" si="31"/>
        <v>Content &amp; SEO - Associate Content Strategist</v>
      </c>
      <c r="CW364" s="2" t="str">
        <f>_xlfn.XLOOKUP(CL364,'[1]Rates &amp; Drop Downs INT'!D$373:D$430,'[1]Rates &amp; Drop Downs INT'!C$373:C$430,"X",1)</f>
        <v>Cloud &amp; Engineering - 2 | Associate Engineer</v>
      </c>
    </row>
    <row r="365" spans="2:101" ht="13.05" customHeight="1" x14ac:dyDescent="0.25">
      <c r="B365" s="346" t="s">
        <v>294</v>
      </c>
      <c r="C365" s="346" t="s">
        <v>1668</v>
      </c>
      <c r="D365" s="346"/>
      <c r="E365" s="346"/>
      <c r="F365" s="346" t="s">
        <v>1653</v>
      </c>
      <c r="G365" s="347">
        <v>81</v>
      </c>
      <c r="H365" s="346" t="s">
        <v>120</v>
      </c>
      <c r="I365" s="348">
        <v>135</v>
      </c>
      <c r="J365" s="351">
        <v>6</v>
      </c>
      <c r="CG365" s="2" t="s">
        <v>262</v>
      </c>
      <c r="CH365" s="2" t="s">
        <v>262</v>
      </c>
      <c r="CI365" s="2" t="s">
        <v>1213</v>
      </c>
      <c r="CJ365" s="2" t="s">
        <v>1789</v>
      </c>
      <c r="CK365" s="2" t="s">
        <v>542</v>
      </c>
      <c r="CL365" s="2" t="s">
        <v>3548</v>
      </c>
      <c r="CM365" s="39">
        <v>5</v>
      </c>
      <c r="CN365" s="2" t="str">
        <f t="shared" si="32"/>
        <v>TADigital NA | Management - Associate Practice Director</v>
      </c>
      <c r="CO365" s="2" t="str">
        <f t="shared" si="37"/>
        <v>TADigital India Consulting | Cloud &amp; Engineering - L2 / B1-B3 | Associate Engineer</v>
      </c>
      <c r="CP365" s="1579">
        <v>290</v>
      </c>
      <c r="CQ365" s="1579">
        <v>167.5</v>
      </c>
      <c r="CR365" s="1579">
        <v>125</v>
      </c>
      <c r="CS365" s="1579">
        <f t="shared" si="33"/>
        <v>51.250000000000007</v>
      </c>
      <c r="CT365" s="1579">
        <v>62.5</v>
      </c>
      <c r="CU365" s="2">
        <f t="shared" si="34"/>
        <v>13</v>
      </c>
      <c r="CV365" s="2" t="str">
        <f t="shared" si="31"/>
        <v>Management - Associate Practice Director</v>
      </c>
      <c r="CW365" s="2" t="str">
        <f>_xlfn.XLOOKUP(CL365,'[1]Rates &amp; Drop Downs INT'!D$373:D$430,'[1]Rates &amp; Drop Downs INT'!C$373:C$430,"X",1)</f>
        <v>Cloud &amp; Engineering - 2 | Associate Engineer</v>
      </c>
    </row>
    <row r="366" spans="2:101" ht="13.05" customHeight="1" x14ac:dyDescent="0.25">
      <c r="B366" s="4" t="s">
        <v>294</v>
      </c>
      <c r="C366" s="4" t="s">
        <v>1483</v>
      </c>
      <c r="D366" s="4"/>
      <c r="E366" s="4"/>
      <c r="F366" s="4" t="s">
        <v>1505</v>
      </c>
      <c r="G366" s="343">
        <v>13</v>
      </c>
      <c r="H366" s="4" t="s">
        <v>120</v>
      </c>
      <c r="I366" s="344">
        <v>36</v>
      </c>
      <c r="J366" s="345">
        <v>2</v>
      </c>
      <c r="CG366" s="2" t="s">
        <v>262</v>
      </c>
      <c r="CH366" s="2" t="s">
        <v>262</v>
      </c>
      <c r="CI366" s="2" t="s">
        <v>1213</v>
      </c>
      <c r="CJ366" s="2" t="s">
        <v>1789</v>
      </c>
      <c r="CK366" s="2" t="s">
        <v>3352</v>
      </c>
      <c r="CL366" s="2" t="s">
        <v>3549</v>
      </c>
      <c r="CM366" s="39">
        <v>5</v>
      </c>
      <c r="CN366" s="2" t="str">
        <f t="shared" si="32"/>
        <v>TADigital NA | Management - Practice Director / Delivery Director</v>
      </c>
      <c r="CO366" s="2" t="str">
        <f t="shared" si="37"/>
        <v>TADigital India Consulting | Cloud &amp; Engineering - L2 / B1-B3 | Associate Engineer</v>
      </c>
      <c r="CP366" s="1579">
        <v>315</v>
      </c>
      <c r="CQ366" s="1579">
        <v>165</v>
      </c>
      <c r="CR366" s="1579">
        <v>115</v>
      </c>
      <c r="CS366" s="1579">
        <f t="shared" si="33"/>
        <v>45.1</v>
      </c>
      <c r="CT366" s="1579">
        <v>55</v>
      </c>
      <c r="CU366" s="2">
        <f t="shared" si="34"/>
        <v>13</v>
      </c>
      <c r="CV366" s="2" t="str">
        <f t="shared" si="31"/>
        <v>Management - Practice Director / Delivery Director</v>
      </c>
      <c r="CW366" s="2" t="str">
        <f>_xlfn.XLOOKUP(CL366,'[1]Rates &amp; Drop Downs INT'!D$373:D$430,'[1]Rates &amp; Drop Downs INT'!C$373:C$430,"X",1)</f>
        <v>Cloud &amp; Engineering - 2 | Associate Engineer</v>
      </c>
    </row>
    <row r="367" spans="2:101" ht="13.05" customHeight="1" x14ac:dyDescent="0.25">
      <c r="B367" s="346" t="s">
        <v>294</v>
      </c>
      <c r="C367" s="346" t="s">
        <v>1484</v>
      </c>
      <c r="D367" s="346"/>
      <c r="E367" s="346"/>
      <c r="F367" s="346" t="s">
        <v>1506</v>
      </c>
      <c r="G367" s="347">
        <v>24</v>
      </c>
      <c r="H367" s="346" t="s">
        <v>120</v>
      </c>
      <c r="I367" s="348">
        <v>65</v>
      </c>
      <c r="J367" s="351">
        <v>2</v>
      </c>
      <c r="CG367" s="2" t="s">
        <v>262</v>
      </c>
      <c r="CH367" s="2" t="s">
        <v>262</v>
      </c>
      <c r="CI367" s="2" t="s">
        <v>1213</v>
      </c>
      <c r="CJ367" s="2" t="s">
        <v>1789</v>
      </c>
      <c r="CK367" s="2" t="s">
        <v>446</v>
      </c>
      <c r="CL367" s="2" t="s">
        <v>3546</v>
      </c>
      <c r="CM367" s="39">
        <v>4</v>
      </c>
      <c r="CN367" s="2" t="str">
        <f t="shared" si="32"/>
        <v>TADigital NA Consulting - Sr. Project Manager</v>
      </c>
      <c r="CO367" s="2" t="str">
        <f t="shared" si="37"/>
        <v>TADigital India Consulting | Cloud &amp; Engineering - L2 / B1-B3 | Associate Engineer</v>
      </c>
      <c r="CP367" s="1579">
        <v>235</v>
      </c>
      <c r="CQ367" s="1579">
        <v>130</v>
      </c>
      <c r="CR367" s="1579">
        <v>80</v>
      </c>
      <c r="CS367" s="1579">
        <f t="shared" si="33"/>
        <v>38.950000000000003</v>
      </c>
      <c r="CT367" s="1579">
        <v>47.5</v>
      </c>
      <c r="CU367" s="2">
        <f t="shared" si="34"/>
        <v>13</v>
      </c>
      <c r="CV367" s="2" t="str">
        <f t="shared" si="31"/>
        <v>Sr. Project Manager</v>
      </c>
      <c r="CW367" s="2" t="str">
        <f>_xlfn.XLOOKUP(CL367,'[1]Rates &amp; Drop Downs INT'!D$373:D$430,'[1]Rates &amp; Drop Downs INT'!C$373:C$430,"X",1)</f>
        <v>Cloud &amp; Engineering - 2 | Associate Engineer</v>
      </c>
    </row>
    <row r="368" spans="2:101" ht="13.05" customHeight="1" x14ac:dyDescent="0.25">
      <c r="B368" s="4" t="s">
        <v>294</v>
      </c>
      <c r="C368" s="4" t="s">
        <v>1537</v>
      </c>
      <c r="D368" s="4"/>
      <c r="E368" s="4"/>
      <c r="F368" s="4" t="s">
        <v>1562</v>
      </c>
      <c r="G368" s="343">
        <v>43</v>
      </c>
      <c r="H368" s="4" t="s">
        <v>120</v>
      </c>
      <c r="I368" s="344">
        <v>96</v>
      </c>
      <c r="J368" s="345">
        <v>3</v>
      </c>
      <c r="CG368" s="2" t="s">
        <v>262</v>
      </c>
      <c r="CH368" s="2" t="s">
        <v>262</v>
      </c>
      <c r="CI368" s="2" t="s">
        <v>1213</v>
      </c>
      <c r="CJ368" s="2" t="s">
        <v>1789</v>
      </c>
      <c r="CK368" s="2" t="s">
        <v>3353</v>
      </c>
      <c r="CL368" s="2" t="s">
        <v>3549</v>
      </c>
      <c r="CM368" s="39">
        <v>6</v>
      </c>
      <c r="CN368" s="2" t="str">
        <f t="shared" si="32"/>
        <v>TADigital NA | Management - Practice VP / Delivery VP</v>
      </c>
      <c r="CO368" s="2" t="str">
        <f t="shared" si="37"/>
        <v>TADigital India Consulting | Cloud &amp; Engineering - L2 / B1-B3 | Associate Engineer</v>
      </c>
      <c r="CP368" s="1579">
        <v>370</v>
      </c>
      <c r="CQ368" s="1579">
        <v>172.5</v>
      </c>
      <c r="CR368" s="1579">
        <v>135</v>
      </c>
      <c r="CS368" s="1579">
        <f t="shared" si="33"/>
        <v>51.250000000000007</v>
      </c>
      <c r="CT368" s="1579">
        <v>62.5</v>
      </c>
      <c r="CU368" s="2">
        <f t="shared" si="34"/>
        <v>13</v>
      </c>
      <c r="CV368" s="2" t="str">
        <f t="shared" si="31"/>
        <v>Management - Practice VP / Delivery VP</v>
      </c>
      <c r="CW368" s="2" t="str">
        <f>_xlfn.XLOOKUP(CL368,'[1]Rates &amp; Drop Downs INT'!D$373:D$430,'[1]Rates &amp; Drop Downs INT'!C$373:C$430,"X",1)</f>
        <v>Cloud &amp; Engineering - 2 | Associate Engineer</v>
      </c>
    </row>
    <row r="369" spans="2:101" ht="13.05" customHeight="1" x14ac:dyDescent="0.25">
      <c r="B369" s="346" t="s">
        <v>294</v>
      </c>
      <c r="C369" s="346" t="s">
        <v>1538</v>
      </c>
      <c r="D369" s="346"/>
      <c r="E369" s="346"/>
      <c r="F369" s="346" t="s">
        <v>1563</v>
      </c>
      <c r="G369" s="347">
        <v>56</v>
      </c>
      <c r="H369" s="346" t="s">
        <v>120</v>
      </c>
      <c r="I369" s="348">
        <v>117</v>
      </c>
      <c r="J369" s="351">
        <v>3</v>
      </c>
      <c r="CG369" s="2" t="s">
        <v>262</v>
      </c>
      <c r="CH369" s="2" t="s">
        <v>262</v>
      </c>
      <c r="CI369" s="2" t="s">
        <v>1213</v>
      </c>
      <c r="CJ369" s="2" t="s">
        <v>1789</v>
      </c>
      <c r="CK369" s="2" t="s">
        <v>534</v>
      </c>
      <c r="CL369" s="2" t="s">
        <v>3550</v>
      </c>
      <c r="CM369" s="39">
        <v>2</v>
      </c>
      <c r="CN369" s="2" t="str">
        <f t="shared" si="32"/>
        <v>TADigital NA Consulting | Content &amp; SEO - Content Strategist</v>
      </c>
      <c r="CO369" s="2" t="str">
        <f t="shared" si="37"/>
        <v>TADigital India Consulting | Cloud &amp; Engineering - L2 / B1-B3 | Associate Engineer</v>
      </c>
      <c r="CP369" s="1579">
        <v>170</v>
      </c>
      <c r="CQ369" s="1579">
        <v>82.5</v>
      </c>
      <c r="CR369" s="1579">
        <v>65</v>
      </c>
      <c r="CS369" s="1579">
        <f t="shared" si="33"/>
        <v>18.450000000000003</v>
      </c>
      <c r="CT369" s="1579">
        <v>22.5</v>
      </c>
      <c r="CU369" s="2">
        <f t="shared" si="34"/>
        <v>13</v>
      </c>
      <c r="CV369" s="2" t="str">
        <f t="shared" si="31"/>
        <v>Content &amp; SEO - Content Strategist</v>
      </c>
      <c r="CW369" s="2" t="str">
        <f>_xlfn.XLOOKUP(CL369,'[1]Rates &amp; Drop Downs INT'!D$373:D$430,'[1]Rates &amp; Drop Downs INT'!C$373:C$430,"X",1)</f>
        <v>Cloud &amp; Engineering - 2 | Associate Engineer</v>
      </c>
    </row>
    <row r="370" spans="2:101" ht="13.05" customHeight="1" x14ac:dyDescent="0.25">
      <c r="B370" s="4" t="s">
        <v>294</v>
      </c>
      <c r="C370" s="4" t="s">
        <v>1611</v>
      </c>
      <c r="D370" s="4"/>
      <c r="E370" s="4"/>
      <c r="F370" s="4" t="s">
        <v>1593</v>
      </c>
      <c r="G370" s="343">
        <v>69</v>
      </c>
      <c r="H370" s="4" t="s">
        <v>120</v>
      </c>
      <c r="I370" s="344">
        <v>138</v>
      </c>
      <c r="J370" s="345">
        <v>4</v>
      </c>
      <c r="CG370" s="2" t="s">
        <v>262</v>
      </c>
      <c r="CH370" s="2" t="s">
        <v>262</v>
      </c>
      <c r="CI370" s="2" t="s">
        <v>1213</v>
      </c>
      <c r="CJ370" s="2" t="s">
        <v>1789</v>
      </c>
      <c r="CK370" s="2" t="s">
        <v>3354</v>
      </c>
      <c r="CL370" s="2" t="s">
        <v>3549</v>
      </c>
      <c r="CM370" s="39">
        <v>5</v>
      </c>
      <c r="CN370" s="2" t="str">
        <f t="shared" si="32"/>
        <v>TADigital NA | Management - Sr. Practice Director / Sr. Delivery Director</v>
      </c>
      <c r="CO370" s="2" t="str">
        <f t="shared" si="37"/>
        <v>TADigital India Consulting | Cloud &amp; Engineering - L2 / B1-B3 | Associate Engineer</v>
      </c>
      <c r="CP370" s="1579">
        <v>340</v>
      </c>
      <c r="CQ370" s="1579">
        <v>170</v>
      </c>
      <c r="CR370" s="1579">
        <v>125</v>
      </c>
      <c r="CS370" s="1579">
        <f t="shared" si="33"/>
        <v>49.2</v>
      </c>
      <c r="CT370" s="1579">
        <v>60</v>
      </c>
      <c r="CU370" s="2">
        <f t="shared" si="34"/>
        <v>13</v>
      </c>
      <c r="CV370" s="2" t="str">
        <f t="shared" si="31"/>
        <v>Management - Sr. Practice Director / Sr. Delivery Director</v>
      </c>
      <c r="CW370" s="2" t="str">
        <f>_xlfn.XLOOKUP(CL370,'[1]Rates &amp; Drop Downs INT'!D$373:D$430,'[1]Rates &amp; Drop Downs INT'!C$373:C$430,"X",1)</f>
        <v>Cloud &amp; Engineering - 2 | Associate Engineer</v>
      </c>
    </row>
    <row r="371" spans="2:101" ht="13.05" customHeight="1" x14ac:dyDescent="0.25">
      <c r="B371" s="346" t="s">
        <v>294</v>
      </c>
      <c r="C371" s="346" t="s">
        <v>1621</v>
      </c>
      <c r="D371" s="346"/>
      <c r="E371" s="346"/>
      <c r="F371" s="346" t="s">
        <v>1634</v>
      </c>
      <c r="G371" s="347">
        <v>81</v>
      </c>
      <c r="H371" s="346" t="s">
        <v>120</v>
      </c>
      <c r="I371" s="348">
        <v>148</v>
      </c>
      <c r="J371" s="353">
        <v>5</v>
      </c>
      <c r="CG371" s="2" t="s">
        <v>262</v>
      </c>
      <c r="CH371" s="2" t="s">
        <v>262</v>
      </c>
      <c r="CI371" s="2" t="s">
        <v>1213</v>
      </c>
      <c r="CJ371" s="2" t="s">
        <v>1789</v>
      </c>
      <c r="CK371" s="2" t="s">
        <v>448</v>
      </c>
      <c r="CL371" s="2" t="s">
        <v>3546</v>
      </c>
      <c r="CM371" s="39">
        <v>5</v>
      </c>
      <c r="CN371" s="2" t="str">
        <f t="shared" si="32"/>
        <v>TADigital NA Consulting - Delivery Manager</v>
      </c>
      <c r="CO371" s="2" t="str">
        <f t="shared" si="37"/>
        <v>TADigital India Consulting | Cloud &amp; Engineering - L2 / B1-B3 | Associate Engineer</v>
      </c>
      <c r="CP371" s="1579">
        <v>265</v>
      </c>
      <c r="CQ371" s="1579">
        <v>137.5</v>
      </c>
      <c r="CR371" s="1579">
        <v>90</v>
      </c>
      <c r="CS371" s="1579">
        <f t="shared" si="33"/>
        <v>38.950000000000003</v>
      </c>
      <c r="CT371" s="1579">
        <v>47.5</v>
      </c>
      <c r="CU371" s="2">
        <f t="shared" si="34"/>
        <v>13</v>
      </c>
      <c r="CV371" s="2" t="str">
        <f t="shared" si="31"/>
        <v>Delivery Manager</v>
      </c>
      <c r="CW371" s="2" t="str">
        <f>_xlfn.XLOOKUP(CL371,'[1]Rates &amp; Drop Downs INT'!D$373:D$430,'[1]Rates &amp; Drop Downs INT'!C$373:C$430,"X",1)</f>
        <v>Cloud &amp; Engineering - 2 | Associate Engineer</v>
      </c>
    </row>
    <row r="372" spans="2:101" ht="13.05" customHeight="1" x14ac:dyDescent="0.25">
      <c r="B372" s="4" t="s">
        <v>294</v>
      </c>
      <c r="C372" s="4" t="s">
        <v>1669</v>
      </c>
      <c r="D372" s="4"/>
      <c r="E372" s="4"/>
      <c r="F372" s="4" t="s">
        <v>1672</v>
      </c>
      <c r="G372" s="343">
        <v>99</v>
      </c>
      <c r="H372" s="4" t="s">
        <v>120</v>
      </c>
      <c r="I372" s="344">
        <v>165</v>
      </c>
      <c r="J372" s="345">
        <v>6</v>
      </c>
      <c r="CG372" s="2" t="s">
        <v>262</v>
      </c>
      <c r="CH372" s="2" t="s">
        <v>262</v>
      </c>
      <c r="CI372" s="2" t="s">
        <v>1213</v>
      </c>
      <c r="CJ372" s="2" t="s">
        <v>1789</v>
      </c>
      <c r="CK372" s="2" t="s">
        <v>540</v>
      </c>
      <c r="CL372" s="2" t="s">
        <v>538</v>
      </c>
      <c r="CM372" s="39">
        <v>5</v>
      </c>
      <c r="CN372" s="2" t="str">
        <f t="shared" si="32"/>
        <v>TADigital NA Digital - Sr. Technical Architect</v>
      </c>
      <c r="CO372" s="2" t="str">
        <f t="shared" si="37"/>
        <v>TADigital India Consulting | Cloud &amp; Engineering - L2 / B1-B3 | Associate Engineer</v>
      </c>
      <c r="CP372" s="1579">
        <v>275</v>
      </c>
      <c r="CQ372" s="1579">
        <v>155</v>
      </c>
      <c r="CR372" s="1579">
        <v>105</v>
      </c>
      <c r="CS372" s="1579">
        <f t="shared" si="33"/>
        <v>36.900000000000006</v>
      </c>
      <c r="CT372" s="1579">
        <v>45</v>
      </c>
      <c r="CU372" s="2">
        <f t="shared" si="34"/>
        <v>13</v>
      </c>
      <c r="CV372" s="2" t="str">
        <f t="shared" si="31"/>
        <v>Sr. Technical Architect</v>
      </c>
      <c r="CW372" s="2" t="str">
        <f>_xlfn.XLOOKUP(CL372,'[1]Rates &amp; Drop Downs INT'!D$373:D$430,'[1]Rates &amp; Drop Downs INT'!C$373:C$430,"X",1)</f>
        <v>Cloud &amp; Engineering - 2 | Associate Engineer</v>
      </c>
    </row>
    <row r="373" spans="2:101" ht="13.05" customHeight="1" x14ac:dyDescent="0.25">
      <c r="B373" s="346" t="s">
        <v>269</v>
      </c>
      <c r="C373" s="346" t="s">
        <v>1469</v>
      </c>
      <c r="D373" s="346"/>
      <c r="E373" s="346"/>
      <c r="F373" s="346" t="s">
        <v>1507</v>
      </c>
      <c r="G373" s="347">
        <v>13</v>
      </c>
      <c r="H373" s="346" t="s">
        <v>120</v>
      </c>
      <c r="I373" s="348">
        <v>36</v>
      </c>
      <c r="J373" s="351">
        <v>2</v>
      </c>
      <c r="CG373" s="2" t="s">
        <v>262</v>
      </c>
      <c r="CH373" s="2" t="s">
        <v>262</v>
      </c>
      <c r="CI373" s="2" t="s">
        <v>1213</v>
      </c>
      <c r="CJ373" s="2" t="s">
        <v>1789</v>
      </c>
      <c r="CK373" s="2" t="s">
        <v>538</v>
      </c>
      <c r="CL373" s="2" t="s">
        <v>538</v>
      </c>
      <c r="CM373" s="39">
        <v>4</v>
      </c>
      <c r="CN373" s="2" t="str">
        <f t="shared" si="32"/>
        <v>TADigital NA Consulting - Sr. Project Manager</v>
      </c>
      <c r="CO373" s="2" t="str">
        <f t="shared" si="37"/>
        <v>TADigital India Consulting | Cloud &amp; Engineering - L2 / B1-B3 | Associate Engineer</v>
      </c>
      <c r="CP373" s="1579">
        <v>235</v>
      </c>
      <c r="CQ373" s="1579">
        <v>132.5</v>
      </c>
      <c r="CR373" s="1579">
        <v>95</v>
      </c>
      <c r="CS373" s="1579">
        <f t="shared" si="33"/>
        <v>32.800000000000004</v>
      </c>
      <c r="CT373" s="1579">
        <v>40</v>
      </c>
      <c r="CU373" s="2">
        <f t="shared" si="34"/>
        <v>13</v>
      </c>
      <c r="CV373" s="2" t="str">
        <f t="shared" si="31"/>
        <v>Sr. Project Manager</v>
      </c>
      <c r="CW373" s="2" t="str">
        <f>_xlfn.XLOOKUP(CL373,'[1]Rates &amp; Drop Downs INT'!D$373:D$430,'[1]Rates &amp; Drop Downs INT'!C$373:C$430,"X",1)</f>
        <v>Cloud &amp; Engineering - 2 | Associate Engineer</v>
      </c>
    </row>
    <row r="374" spans="2:101" ht="13.05" customHeight="1" x14ac:dyDescent="0.25">
      <c r="B374" s="4" t="s">
        <v>269</v>
      </c>
      <c r="C374" s="4" t="s">
        <v>1470</v>
      </c>
      <c r="D374" s="4"/>
      <c r="E374" s="4"/>
      <c r="F374" s="4" t="s">
        <v>1508</v>
      </c>
      <c r="G374" s="343">
        <v>21</v>
      </c>
      <c r="H374" s="4" t="s">
        <v>120</v>
      </c>
      <c r="I374" s="344">
        <v>57</v>
      </c>
      <c r="J374" s="345">
        <v>2</v>
      </c>
      <c r="CG374" s="2" t="s">
        <v>262</v>
      </c>
      <c r="CH374" s="2" t="s">
        <v>262</v>
      </c>
      <c r="CI374" s="2" t="s">
        <v>1213</v>
      </c>
      <c r="CJ374" s="2" t="s">
        <v>1789</v>
      </c>
      <c r="CK374" s="2" t="s">
        <v>536</v>
      </c>
      <c r="CL374" s="2" t="s">
        <v>536</v>
      </c>
      <c r="CM374" s="39">
        <v>3</v>
      </c>
      <c r="CN374" s="2" t="str">
        <f t="shared" si="32"/>
        <v>TADigital NA Digital - Technical Lead</v>
      </c>
      <c r="CO374" s="2" t="str">
        <f t="shared" si="37"/>
        <v>TADigital India Consulting | Cloud &amp; Engineering - L2 / B1-B3 | Associate Engineer</v>
      </c>
      <c r="CP374" s="1579">
        <v>185</v>
      </c>
      <c r="CQ374" s="1579">
        <v>90</v>
      </c>
      <c r="CR374" s="1579">
        <v>85</v>
      </c>
      <c r="CS374" s="1579">
        <f t="shared" si="33"/>
        <v>24.6</v>
      </c>
      <c r="CT374" s="1579">
        <v>30</v>
      </c>
      <c r="CU374" s="2">
        <f t="shared" si="34"/>
        <v>13</v>
      </c>
      <c r="CV374" s="2" t="str">
        <f t="shared" si="31"/>
        <v>Technical Lead</v>
      </c>
      <c r="CW374" s="2" t="str">
        <f>_xlfn.XLOOKUP(CL374,'[1]Rates &amp; Drop Downs INT'!D$373:D$430,'[1]Rates &amp; Drop Downs INT'!C$373:C$430,"X",1)</f>
        <v>Cloud &amp; Engineering - 2 | Associate Engineer</v>
      </c>
    </row>
    <row r="375" spans="2:101" ht="13.05" customHeight="1" x14ac:dyDescent="0.25">
      <c r="B375" s="346" t="s">
        <v>269</v>
      </c>
      <c r="C375" s="346" t="s">
        <v>1522</v>
      </c>
      <c r="D375" s="346"/>
      <c r="E375" s="346"/>
      <c r="F375" s="346" t="s">
        <v>1564</v>
      </c>
      <c r="G375" s="347">
        <v>39</v>
      </c>
      <c r="H375" s="346" t="s">
        <v>120</v>
      </c>
      <c r="I375" s="348">
        <v>87</v>
      </c>
      <c r="J375" s="351">
        <v>3</v>
      </c>
      <c r="CG375" s="2" t="s">
        <v>336</v>
      </c>
      <c r="CH375" s="2" t="s">
        <v>336</v>
      </c>
      <c r="CI375" s="2" t="s">
        <v>336</v>
      </c>
      <c r="CJ375" s="2" t="s">
        <v>3416</v>
      </c>
      <c r="CK375" s="2" t="s">
        <v>3369</v>
      </c>
      <c r="CL375" s="2" t="s">
        <v>444</v>
      </c>
      <c r="CM375" s="39">
        <v>7</v>
      </c>
      <c r="CN375" s="2" t="str">
        <f t="shared" si="32"/>
        <v>TADigital NA | Management - L7 / S2-EX3 | CXO / CDO</v>
      </c>
      <c r="CO375" s="2" t="str">
        <f t="shared" si="37"/>
        <v>TADigital India Consulting | Cloud &amp; Engineering - L2 / B1-B3 | Associate Engineer</v>
      </c>
      <c r="CP375" s="1579">
        <v>500</v>
      </c>
      <c r="CQ375" s="1579">
        <v>285</v>
      </c>
      <c r="CR375" s="1579">
        <v>0</v>
      </c>
      <c r="CS375" s="1579">
        <f t="shared" si="33"/>
        <v>0</v>
      </c>
      <c r="CT375" s="1579">
        <v>0</v>
      </c>
      <c r="CU375" s="2">
        <f t="shared" si="34"/>
        <v>13</v>
      </c>
      <c r="CV375" s="2" t="str">
        <f t="shared" si="31"/>
        <v>Management - CXO / CDO</v>
      </c>
      <c r="CW375" s="2" t="str">
        <f>_xlfn.XLOOKUP(CL375,'[1]Rates &amp; Drop Downs INT'!D$373:D$430,'[1]Rates &amp; Drop Downs INT'!C$373:C$430,"X",1)</f>
        <v>Cloud &amp; Engineering - 2 | Associate Engineer</v>
      </c>
    </row>
    <row r="376" spans="2:101" ht="13.05" customHeight="1" x14ac:dyDescent="0.25">
      <c r="B376" s="4" t="s">
        <v>269</v>
      </c>
      <c r="C376" s="4" t="s">
        <v>1523</v>
      </c>
      <c r="D376" s="4"/>
      <c r="E376" s="4"/>
      <c r="F376" s="4" t="s">
        <v>1565</v>
      </c>
      <c r="G376" s="343">
        <v>49</v>
      </c>
      <c r="H376" s="4" t="s">
        <v>120</v>
      </c>
      <c r="I376" s="344">
        <v>103</v>
      </c>
      <c r="J376" s="345">
        <v>3</v>
      </c>
      <c r="CG376" s="2" t="s">
        <v>336</v>
      </c>
      <c r="CH376" s="2" t="s">
        <v>336</v>
      </c>
      <c r="CI376" s="2" t="s">
        <v>336</v>
      </c>
      <c r="CJ376" s="2" t="s">
        <v>3416</v>
      </c>
      <c r="CK376" s="2" t="s">
        <v>3370</v>
      </c>
      <c r="CL376" s="2" t="s">
        <v>1396</v>
      </c>
      <c r="CM376" s="39">
        <v>5</v>
      </c>
      <c r="CN376" s="2" t="str">
        <f t="shared" si="32"/>
        <v>TADigital NA | Management - Practice Director / Delivery Director</v>
      </c>
      <c r="CO376" s="2" t="str">
        <f t="shared" si="37"/>
        <v>TADigital India Consulting | Cloud &amp; Engineering - L2 / B1-B3 | Associate Engineer</v>
      </c>
      <c r="CP376" s="1579">
        <v>315</v>
      </c>
      <c r="CQ376" s="1579">
        <v>165</v>
      </c>
      <c r="CR376" s="1579">
        <v>115</v>
      </c>
      <c r="CS376" s="1579">
        <f t="shared" si="33"/>
        <v>45.1</v>
      </c>
      <c r="CT376" s="1579">
        <v>55</v>
      </c>
      <c r="CU376" s="2">
        <f t="shared" si="34"/>
        <v>13</v>
      </c>
      <c r="CV376" s="2" t="str">
        <f t="shared" si="31"/>
        <v>Management - Practice Director / Delivery Director</v>
      </c>
      <c r="CW376" s="2" t="str">
        <f>_xlfn.XLOOKUP(CL376,'[1]Rates &amp; Drop Downs INT'!D$373:D$430,'[1]Rates &amp; Drop Downs INT'!C$373:C$430,"X",1)</f>
        <v>Cloud &amp; Engineering - 2 | Associate Engineer</v>
      </c>
    </row>
    <row r="377" spans="2:101" ht="13.05" customHeight="1" x14ac:dyDescent="0.25">
      <c r="B377" s="346" t="s">
        <v>269</v>
      </c>
      <c r="C377" s="346" t="s">
        <v>1603</v>
      </c>
      <c r="D377" s="346"/>
      <c r="E377" s="346"/>
      <c r="F377" s="346" t="s">
        <v>1594</v>
      </c>
      <c r="G377" s="347">
        <v>60</v>
      </c>
      <c r="H377" s="346" t="s">
        <v>120</v>
      </c>
      <c r="I377" s="348">
        <v>120</v>
      </c>
      <c r="J377" s="351">
        <v>4</v>
      </c>
      <c r="CG377" s="2" t="s">
        <v>336</v>
      </c>
      <c r="CH377" s="2" t="s">
        <v>336</v>
      </c>
      <c r="CI377" s="2" t="s">
        <v>336</v>
      </c>
      <c r="CJ377" s="2" t="s">
        <v>3416</v>
      </c>
      <c r="CK377" s="2" t="s">
        <v>444</v>
      </c>
      <c r="CL377" s="2" t="s">
        <v>444</v>
      </c>
      <c r="CM377" s="39">
        <v>5</v>
      </c>
      <c r="CN377" s="2" t="str">
        <f t="shared" si="32"/>
        <v>TADigital NA Consulting - Delivery Manager</v>
      </c>
      <c r="CO377" s="2" t="str">
        <f t="shared" si="37"/>
        <v>TADigital India Consulting | Cloud &amp; Engineering - L2 / B1-B3 | Associate Engineer</v>
      </c>
      <c r="CP377" s="1579">
        <v>265</v>
      </c>
      <c r="CQ377" s="1579">
        <v>135</v>
      </c>
      <c r="CR377" s="1579">
        <v>90</v>
      </c>
      <c r="CS377" s="1579">
        <f t="shared" si="33"/>
        <v>32.800000000000004</v>
      </c>
      <c r="CT377" s="1579">
        <v>40</v>
      </c>
      <c r="CU377" s="2">
        <f t="shared" si="34"/>
        <v>13</v>
      </c>
      <c r="CV377" s="2" t="str">
        <f t="shared" si="31"/>
        <v>Delivery Manager</v>
      </c>
      <c r="CW377" s="2" t="str">
        <f>_xlfn.XLOOKUP(CL377,'[1]Rates &amp; Drop Downs INT'!D$373:D$430,'[1]Rates &amp; Drop Downs INT'!C$373:C$430,"X",1)</f>
        <v>Cloud &amp; Engineering - 2 | Associate Engineer</v>
      </c>
    </row>
    <row r="378" spans="2:101" ht="13.05" customHeight="1" x14ac:dyDescent="0.25">
      <c r="B378" s="4" t="s">
        <v>269</v>
      </c>
      <c r="C378" s="4" t="s">
        <v>1612</v>
      </c>
      <c r="D378" s="4"/>
      <c r="E378" s="4"/>
      <c r="F378" s="4" t="s">
        <v>1635</v>
      </c>
      <c r="G378" s="343">
        <v>81</v>
      </c>
      <c r="H378" s="4" t="s">
        <v>120</v>
      </c>
      <c r="I378" s="344">
        <v>148</v>
      </c>
      <c r="J378" s="355">
        <v>5</v>
      </c>
      <c r="CG378" s="2" t="s">
        <v>336</v>
      </c>
      <c r="CH378" s="2" t="s">
        <v>336</v>
      </c>
      <c r="CI378" s="2" t="s">
        <v>336</v>
      </c>
      <c r="CJ378" s="2" t="s">
        <v>3416</v>
      </c>
      <c r="CK378" s="2" t="s">
        <v>3371</v>
      </c>
      <c r="CL378" s="2" t="s">
        <v>444</v>
      </c>
      <c r="CM378" s="39">
        <v>6</v>
      </c>
      <c r="CN378" s="2" t="str">
        <f t="shared" si="32"/>
        <v>TADigital NA | Management - Practice VP / Delivery VP</v>
      </c>
      <c r="CO378" s="2" t="str">
        <f t="shared" si="37"/>
        <v>TADigital India Consulting | Cloud &amp; Engineering - L2 / B1-B3 | Associate Engineer</v>
      </c>
      <c r="CP378" s="1579">
        <v>370</v>
      </c>
      <c r="CQ378" s="1579">
        <v>172.5</v>
      </c>
      <c r="CR378" s="1579">
        <v>135</v>
      </c>
      <c r="CS378" s="1579">
        <f t="shared" si="33"/>
        <v>51.250000000000007</v>
      </c>
      <c r="CT378" s="1579">
        <v>62.5</v>
      </c>
      <c r="CU378" s="2">
        <f t="shared" si="34"/>
        <v>13</v>
      </c>
      <c r="CV378" s="2" t="str">
        <f t="shared" si="31"/>
        <v>Management - Practice VP / Delivery VP</v>
      </c>
      <c r="CW378" s="2" t="str">
        <f>_xlfn.XLOOKUP(CL378,'[1]Rates &amp; Drop Downs INT'!D$373:D$430,'[1]Rates &amp; Drop Downs INT'!C$373:C$430,"X",1)</f>
        <v>Cloud &amp; Engineering - 2 | Associate Engineer</v>
      </c>
    </row>
    <row r="379" spans="2:101" ht="13.05" customHeight="1" x14ac:dyDescent="0.25">
      <c r="B379" s="346" t="s">
        <v>269</v>
      </c>
      <c r="C379" s="346" t="s">
        <v>1662</v>
      </c>
      <c r="D379" s="346"/>
      <c r="E379" s="346"/>
      <c r="F379" s="346" t="s">
        <v>1654</v>
      </c>
      <c r="G379" s="347">
        <v>99</v>
      </c>
      <c r="H379" s="346" t="s">
        <v>120</v>
      </c>
      <c r="I379" s="348">
        <v>165</v>
      </c>
      <c r="J379" s="351">
        <v>6</v>
      </c>
      <c r="CG379" s="2" t="s">
        <v>336</v>
      </c>
      <c r="CH379" s="2" t="s">
        <v>336</v>
      </c>
      <c r="CI379" s="2" t="s">
        <v>336</v>
      </c>
      <c r="CJ379" s="2" t="s">
        <v>3416</v>
      </c>
      <c r="CK379" s="2" t="s">
        <v>1364</v>
      </c>
      <c r="CL379" s="2" t="s">
        <v>1396</v>
      </c>
      <c r="CM379" s="39">
        <v>4</v>
      </c>
      <c r="CN379" s="2" t="str">
        <f t="shared" si="32"/>
        <v>TADigital NA Consulting - Project Manager / Product Manager</v>
      </c>
      <c r="CO379" s="2" t="str">
        <f t="shared" si="37"/>
        <v>TADigital India Consulting | Cloud &amp; Engineering - L2 / B1-B3 | Associate Engineer</v>
      </c>
      <c r="CP379" s="1579">
        <v>190</v>
      </c>
      <c r="CQ379" s="1579">
        <v>112.5</v>
      </c>
      <c r="CR379" s="1579">
        <v>70</v>
      </c>
      <c r="CS379" s="1579">
        <f t="shared" si="33"/>
        <v>22.55</v>
      </c>
      <c r="CT379" s="1579">
        <v>27.5</v>
      </c>
      <c r="CU379" s="2">
        <f t="shared" si="34"/>
        <v>13</v>
      </c>
      <c r="CV379" s="2" t="str">
        <f t="shared" si="31"/>
        <v>Project Manager / Product Manager</v>
      </c>
      <c r="CW379" s="2" t="str">
        <f>_xlfn.XLOOKUP(CL379,'[1]Rates &amp; Drop Downs INT'!D$373:D$430,'[1]Rates &amp; Drop Downs INT'!C$373:C$430,"X",1)</f>
        <v>Cloud &amp; Engineering - 2 | Associate Engineer</v>
      </c>
    </row>
    <row r="380" spans="2:101" ht="13.05" customHeight="1" x14ac:dyDescent="0.25">
      <c r="B380" s="4" t="s">
        <v>269</v>
      </c>
      <c r="C380" s="4" t="s">
        <v>1476</v>
      </c>
      <c r="D380" s="4"/>
      <c r="E380" s="4"/>
      <c r="F380" s="4" t="s">
        <v>1509</v>
      </c>
      <c r="G380" s="343">
        <v>11</v>
      </c>
      <c r="H380" s="4" t="s">
        <v>120</v>
      </c>
      <c r="I380" s="344">
        <v>30</v>
      </c>
      <c r="J380" s="345">
        <v>2</v>
      </c>
      <c r="CG380" s="2" t="s">
        <v>336</v>
      </c>
      <c r="CH380" s="2" t="s">
        <v>336</v>
      </c>
      <c r="CI380" s="2" t="s">
        <v>336</v>
      </c>
      <c r="CJ380" s="2" t="s">
        <v>3416</v>
      </c>
      <c r="CK380" s="2" t="s">
        <v>3372</v>
      </c>
      <c r="CL380" s="2" t="s">
        <v>2553</v>
      </c>
      <c r="CM380" s="39">
        <v>5</v>
      </c>
      <c r="CN380" s="2" t="str">
        <f t="shared" si="32"/>
        <v>TADigital NA | Management - Sr. Practice Director / Sr. Delivery Director</v>
      </c>
      <c r="CO380" s="2" t="str">
        <f t="shared" si="37"/>
        <v>TADigital India Consulting | Cloud &amp; Engineering - L2 / B1-B3 | Associate Engineer</v>
      </c>
      <c r="CP380" s="1579">
        <v>340</v>
      </c>
      <c r="CQ380" s="1579">
        <v>170</v>
      </c>
      <c r="CR380" s="1579">
        <v>125</v>
      </c>
      <c r="CS380" s="1579">
        <f t="shared" si="33"/>
        <v>49.2</v>
      </c>
      <c r="CT380" s="1579">
        <v>60</v>
      </c>
      <c r="CU380" s="2">
        <f t="shared" si="34"/>
        <v>13</v>
      </c>
      <c r="CV380" s="2" t="str">
        <f t="shared" si="31"/>
        <v>Management - Sr. Practice Director / Sr. Delivery Director</v>
      </c>
      <c r="CW380" s="2" t="str">
        <f>_xlfn.XLOOKUP(CL380,'[1]Rates &amp; Drop Downs INT'!D$373:D$430,'[1]Rates &amp; Drop Downs INT'!C$373:C$430,"X",1)</f>
        <v>Cloud &amp; Engineering - 2 | Associate Engineer</v>
      </c>
    </row>
    <row r="381" spans="2:101" ht="13.05" customHeight="1" x14ac:dyDescent="0.25">
      <c r="B381" s="346" t="s">
        <v>269</v>
      </c>
      <c r="C381" s="346" t="s">
        <v>1477</v>
      </c>
      <c r="D381" s="346"/>
      <c r="E381" s="346"/>
      <c r="F381" s="346" t="s">
        <v>1510</v>
      </c>
      <c r="G381" s="347">
        <v>18</v>
      </c>
      <c r="H381" s="346" t="s">
        <v>120</v>
      </c>
      <c r="I381" s="348">
        <v>49</v>
      </c>
      <c r="J381" s="351">
        <v>2</v>
      </c>
      <c r="CG381" s="2" t="s">
        <v>336</v>
      </c>
      <c r="CH381" s="2" t="s">
        <v>336</v>
      </c>
      <c r="CI381" s="2" t="s">
        <v>336</v>
      </c>
      <c r="CJ381" s="2" t="s">
        <v>3416</v>
      </c>
      <c r="CK381" s="2" t="s">
        <v>442</v>
      </c>
      <c r="CL381" s="2" t="s">
        <v>2553</v>
      </c>
      <c r="CM381" s="39">
        <v>5</v>
      </c>
      <c r="CN381" s="2" t="str">
        <f t="shared" si="32"/>
        <v>TADigital NA Consulting - Sr. Project Manager</v>
      </c>
      <c r="CO381" s="2" t="str">
        <f t="shared" si="37"/>
        <v>TADigital India Consulting | Cloud &amp; Engineering - L2 / B1-B3 | Associate Engineer</v>
      </c>
      <c r="CP381" s="1579">
        <v>235</v>
      </c>
      <c r="CQ381" s="1579">
        <v>135</v>
      </c>
      <c r="CR381" s="1579">
        <v>80</v>
      </c>
      <c r="CS381" s="1579">
        <f t="shared" si="33"/>
        <v>32.800000000000004</v>
      </c>
      <c r="CT381" s="1579">
        <v>40</v>
      </c>
      <c r="CU381" s="2">
        <f t="shared" si="34"/>
        <v>13</v>
      </c>
      <c r="CV381" s="2" t="str">
        <f t="shared" si="31"/>
        <v>Sr. Project Manager</v>
      </c>
      <c r="CW381" s="2" t="str">
        <f>_xlfn.XLOOKUP(CL381,'[1]Rates &amp; Drop Downs INT'!D$373:D$430,'[1]Rates &amp; Drop Downs INT'!C$373:C$430,"X",1)</f>
        <v>Cloud &amp; Engineering - 2 | Associate Engineer</v>
      </c>
    </row>
    <row r="382" spans="2:101" ht="13.05" customHeight="1" x14ac:dyDescent="0.25">
      <c r="B382" s="4" t="s">
        <v>269</v>
      </c>
      <c r="C382" s="4" t="s">
        <v>1530</v>
      </c>
      <c r="D382" s="4"/>
      <c r="E382" s="4"/>
      <c r="F382" s="4" t="s">
        <v>1566</v>
      </c>
      <c r="G382" s="343">
        <v>25</v>
      </c>
      <c r="H382" s="4" t="s">
        <v>120</v>
      </c>
      <c r="I382" s="344">
        <v>56</v>
      </c>
      <c r="J382" s="345">
        <v>3</v>
      </c>
      <c r="CG382" s="2" t="s">
        <v>325</v>
      </c>
      <c r="CH382" s="2" t="s">
        <v>3333</v>
      </c>
      <c r="CI382" s="2" t="s">
        <v>3329</v>
      </c>
      <c r="CJ382" s="2" t="s">
        <v>3329</v>
      </c>
      <c r="CK382" s="2" t="s">
        <v>726</v>
      </c>
      <c r="CL382" s="2" t="s">
        <v>727</v>
      </c>
      <c r="CM382" s="39">
        <v>2</v>
      </c>
      <c r="CN382" s="2" t="str">
        <f t="shared" si="32"/>
        <v>TADigital NA Consulting | Content &amp; SEO - Content Analyst</v>
      </c>
      <c r="CO382" s="2" t="str">
        <f t="shared" si="37"/>
        <v>TADigital India Consulting | Cloud &amp; Engineering - L2 / B1-B3 | Associate Engineer</v>
      </c>
      <c r="CP382" s="1579">
        <v>125</v>
      </c>
      <c r="CQ382" s="1579">
        <v>65</v>
      </c>
      <c r="CR382" s="1579">
        <v>35</v>
      </c>
      <c r="CS382" s="1579">
        <f t="shared" si="33"/>
        <v>10.66</v>
      </c>
      <c r="CT382" s="1579">
        <v>13</v>
      </c>
      <c r="CU382" s="2">
        <f t="shared" si="34"/>
        <v>13</v>
      </c>
      <c r="CV382" s="2" t="str">
        <f t="shared" si="31"/>
        <v>Content &amp; SEO - Content Analyst</v>
      </c>
      <c r="CW382" s="2" t="str">
        <f>_xlfn.XLOOKUP(CL382,'[1]Rates &amp; Drop Downs INT'!D$373:D$430,'[1]Rates &amp; Drop Downs INT'!C$373:C$430,"X",1)</f>
        <v>Cloud &amp; Engineering - 2 | Associate Engineer</v>
      </c>
    </row>
    <row r="383" spans="2:101" ht="13.05" customHeight="1" x14ac:dyDescent="0.25">
      <c r="B383" s="346" t="s">
        <v>269</v>
      </c>
      <c r="C383" s="346" t="s">
        <v>1531</v>
      </c>
      <c r="D383" s="346"/>
      <c r="E383" s="346"/>
      <c r="F383" s="346" t="s">
        <v>1567</v>
      </c>
      <c r="G383" s="347">
        <v>33</v>
      </c>
      <c r="H383" s="346" t="s">
        <v>120</v>
      </c>
      <c r="I383" s="348">
        <v>69</v>
      </c>
      <c r="J383" s="351">
        <v>3</v>
      </c>
      <c r="CG383" s="2" t="s">
        <v>325</v>
      </c>
      <c r="CH383" s="2" t="s">
        <v>3333</v>
      </c>
      <c r="CI383" s="2" t="s">
        <v>3329</v>
      </c>
      <c r="CJ383" s="2" t="s">
        <v>3329</v>
      </c>
      <c r="CK383" s="2" t="s">
        <v>727</v>
      </c>
      <c r="CL383" s="2" t="s">
        <v>394</v>
      </c>
      <c r="CM383" s="39">
        <v>2</v>
      </c>
      <c r="CN383" s="2" t="str">
        <f t="shared" si="32"/>
        <v>TADigital NA Consulting | Content &amp; SEO - Associate Content Strategist</v>
      </c>
      <c r="CO383" s="2" t="str">
        <f t="shared" si="37"/>
        <v>TADigital India Consulting | Cloud &amp; Engineering - L2 / B1-B3 | Associate Engineer</v>
      </c>
      <c r="CP383" s="1579">
        <v>160</v>
      </c>
      <c r="CQ383" s="1579">
        <v>72.5</v>
      </c>
      <c r="CR383" s="1579">
        <v>45</v>
      </c>
      <c r="CS383" s="1579">
        <f t="shared" si="33"/>
        <v>14.760000000000002</v>
      </c>
      <c r="CT383" s="1579">
        <v>18</v>
      </c>
      <c r="CU383" s="2">
        <f t="shared" si="34"/>
        <v>13</v>
      </c>
      <c r="CV383" s="2" t="str">
        <f t="shared" si="31"/>
        <v>Content &amp; SEO - Associate Content Strategist</v>
      </c>
      <c r="CW383" s="2" t="str">
        <f>_xlfn.XLOOKUP(CL383,'[1]Rates &amp; Drop Downs INT'!D$373:D$430,'[1]Rates &amp; Drop Downs INT'!C$373:C$430,"X",1)</f>
        <v>Cloud &amp; Engineering - 2 | Associate Engineer</v>
      </c>
    </row>
    <row r="384" spans="2:101" ht="13.05" customHeight="1" x14ac:dyDescent="0.25">
      <c r="B384" s="4" t="s">
        <v>269</v>
      </c>
      <c r="C384" s="4" t="s">
        <v>1471</v>
      </c>
      <c r="D384" s="4"/>
      <c r="E384" s="4"/>
      <c r="F384" s="4" t="s">
        <v>1511</v>
      </c>
      <c r="G384" s="343">
        <v>13</v>
      </c>
      <c r="H384" s="4" t="s">
        <v>120</v>
      </c>
      <c r="I384" s="344">
        <v>36</v>
      </c>
      <c r="J384" s="345">
        <v>2</v>
      </c>
      <c r="CG384" s="2" t="s">
        <v>325</v>
      </c>
      <c r="CH384" s="2" t="s">
        <v>3333</v>
      </c>
      <c r="CI384" s="2" t="s">
        <v>3329</v>
      </c>
      <c r="CJ384" s="2" t="s">
        <v>3329</v>
      </c>
      <c r="CK384" s="2" t="s">
        <v>394</v>
      </c>
      <c r="CL384" s="2" t="s">
        <v>3566</v>
      </c>
      <c r="CM384" s="39">
        <v>2</v>
      </c>
      <c r="CN384" s="2" t="str">
        <f t="shared" si="32"/>
        <v>TADigital NA Consulting | Content &amp; SEO - Content Strategist</v>
      </c>
      <c r="CO384" s="2" t="str">
        <f t="shared" si="37"/>
        <v>TADigital India Consulting | Cloud &amp; Engineering - L2 / B1-B3 | Associate Engineer</v>
      </c>
      <c r="CP384" s="1579">
        <v>170</v>
      </c>
      <c r="CQ384" s="1579">
        <v>80</v>
      </c>
      <c r="CR384" s="1579">
        <v>60</v>
      </c>
      <c r="CS384" s="1579">
        <f t="shared" si="33"/>
        <v>1.6400000000000001</v>
      </c>
      <c r="CT384" s="1579">
        <v>2</v>
      </c>
      <c r="CU384" s="2">
        <f t="shared" si="34"/>
        <v>13</v>
      </c>
      <c r="CV384" s="2" t="str">
        <f t="shared" si="31"/>
        <v>Content &amp; SEO - Content Strategist</v>
      </c>
      <c r="CW384" s="2" t="str">
        <f>_xlfn.XLOOKUP(CL384,'[1]Rates &amp; Drop Downs INT'!D$373:D$430,'[1]Rates &amp; Drop Downs INT'!C$373:C$430,"X",1)</f>
        <v>Cloud &amp; Engineering - 2 | Associate Engineer</v>
      </c>
    </row>
    <row r="385" spans="2:101" ht="13.05" customHeight="1" x14ac:dyDescent="0.25">
      <c r="B385" s="346" t="s">
        <v>269</v>
      </c>
      <c r="C385" s="346" t="s">
        <v>1472</v>
      </c>
      <c r="D385" s="346"/>
      <c r="E385" s="346"/>
      <c r="F385" s="346" t="s">
        <v>1512</v>
      </c>
      <c r="G385" s="347">
        <v>23</v>
      </c>
      <c r="H385" s="346" t="s">
        <v>120</v>
      </c>
      <c r="I385" s="348">
        <v>63</v>
      </c>
      <c r="J385" s="351">
        <v>2</v>
      </c>
      <c r="CG385" s="2" t="s">
        <v>325</v>
      </c>
      <c r="CH385" s="2" t="s">
        <v>3333</v>
      </c>
      <c r="CI385" s="2" t="s">
        <v>3329</v>
      </c>
      <c r="CJ385" s="2" t="s">
        <v>3329</v>
      </c>
      <c r="CK385" s="2" t="s">
        <v>728</v>
      </c>
      <c r="CL385" s="2" t="s">
        <v>3566</v>
      </c>
      <c r="CM385" s="39">
        <v>3</v>
      </c>
      <c r="CN385" s="2" t="str">
        <f t="shared" si="32"/>
        <v>TADigital NA Consulting | Content &amp; SEO - Sr. Content Strategist</v>
      </c>
      <c r="CO385" s="2" t="str">
        <f t="shared" si="37"/>
        <v>TADigital India Consulting | Cloud &amp; Engineering - L2 / B1-B3 | Associate Engineer</v>
      </c>
      <c r="CP385" s="1579">
        <v>180</v>
      </c>
      <c r="CQ385" s="1579">
        <v>90</v>
      </c>
      <c r="CR385" s="1579">
        <v>65</v>
      </c>
      <c r="CS385" s="1579">
        <f t="shared" si="33"/>
        <v>16.400000000000002</v>
      </c>
      <c r="CT385" s="1579">
        <v>20</v>
      </c>
      <c r="CU385" s="2">
        <f t="shared" si="34"/>
        <v>13</v>
      </c>
      <c r="CV385" s="2" t="str">
        <f t="shared" si="31"/>
        <v>Content &amp; SEO - Sr. Content Strategist</v>
      </c>
      <c r="CW385" s="2" t="str">
        <f>_xlfn.XLOOKUP(CL385,'[1]Rates &amp; Drop Downs INT'!D$373:D$430,'[1]Rates &amp; Drop Downs INT'!C$373:C$430,"X",1)</f>
        <v>Cloud &amp; Engineering - 2 | Associate Engineer</v>
      </c>
    </row>
    <row r="386" spans="2:101" ht="13.05" customHeight="1" x14ac:dyDescent="0.25">
      <c r="B386" s="4" t="s">
        <v>269</v>
      </c>
      <c r="C386" s="4" t="s">
        <v>1524</v>
      </c>
      <c r="D386" s="4"/>
      <c r="E386" s="4"/>
      <c r="F386" s="4" t="s">
        <v>1568</v>
      </c>
      <c r="G386" s="343">
        <v>43</v>
      </c>
      <c r="H386" s="4" t="s">
        <v>120</v>
      </c>
      <c r="I386" s="344">
        <v>96</v>
      </c>
      <c r="J386" s="345">
        <v>3</v>
      </c>
      <c r="CG386" s="2" t="s">
        <v>325</v>
      </c>
      <c r="CH386" s="2" t="s">
        <v>3333</v>
      </c>
      <c r="CI386" s="2" t="s">
        <v>3329</v>
      </c>
      <c r="CJ386" s="2" t="s">
        <v>3329</v>
      </c>
      <c r="CK386" s="2" t="s">
        <v>729</v>
      </c>
      <c r="CL386" s="2" t="s">
        <v>3566</v>
      </c>
      <c r="CM386" s="39">
        <v>3</v>
      </c>
      <c r="CN386" s="2" t="str">
        <f t="shared" si="32"/>
        <v>TADigital NA Consulting - Project Manager / Product Manager</v>
      </c>
      <c r="CO386" s="2" t="str">
        <f t="shared" si="37"/>
        <v>TADigital India Consulting | Cloud &amp; Engineering - L2 / B1-B3 | Associate Engineer</v>
      </c>
      <c r="CP386" s="1579">
        <v>190</v>
      </c>
      <c r="CQ386" s="1579">
        <v>105</v>
      </c>
      <c r="CR386" s="1579">
        <v>70</v>
      </c>
      <c r="CS386" s="1579">
        <f t="shared" si="33"/>
        <v>20.5</v>
      </c>
      <c r="CT386" s="1579">
        <v>25</v>
      </c>
      <c r="CU386" s="2">
        <f t="shared" si="34"/>
        <v>13</v>
      </c>
      <c r="CV386" s="2" t="str">
        <f t="shared" si="31"/>
        <v>Project Manager / Product Manager</v>
      </c>
      <c r="CW386" s="2" t="str">
        <f>_xlfn.XLOOKUP(CL386,'[1]Rates &amp; Drop Downs INT'!D$373:D$430,'[1]Rates &amp; Drop Downs INT'!C$373:C$430,"X",1)</f>
        <v>Cloud &amp; Engineering - 2 | Associate Engineer</v>
      </c>
    </row>
    <row r="387" spans="2:101" ht="13.05" customHeight="1" x14ac:dyDescent="0.25">
      <c r="B387" s="346" t="s">
        <v>269</v>
      </c>
      <c r="C387" s="346" t="s">
        <v>1525</v>
      </c>
      <c r="D387" s="346"/>
      <c r="E387" s="346"/>
      <c r="F387" s="346" t="s">
        <v>1569</v>
      </c>
      <c r="G387" s="347">
        <v>53</v>
      </c>
      <c r="H387" s="346" t="s">
        <v>120</v>
      </c>
      <c r="I387" s="348">
        <v>111</v>
      </c>
      <c r="J387" s="351">
        <v>3</v>
      </c>
      <c r="CG387" s="2" t="s">
        <v>325</v>
      </c>
      <c r="CH387" s="2" t="s">
        <v>3333</v>
      </c>
      <c r="CI387" s="2" t="s">
        <v>3329</v>
      </c>
      <c r="CJ387" s="2" t="s">
        <v>3329</v>
      </c>
      <c r="CK387" s="2" t="s">
        <v>730</v>
      </c>
      <c r="CL387" s="2" t="s">
        <v>3560</v>
      </c>
      <c r="CM387" s="39">
        <v>3</v>
      </c>
      <c r="CN387" s="2" t="str">
        <f t="shared" si="32"/>
        <v>TADigital NA Consulting | Content &amp; SEO - Associate Manager</v>
      </c>
      <c r="CO387" s="2" t="str">
        <f t="shared" si="37"/>
        <v>TADigital India Consulting | Cloud &amp; Engineering - L2 / B1-B3 | Associate Engineer</v>
      </c>
      <c r="CP387" s="1579">
        <v>210</v>
      </c>
      <c r="CQ387" s="1579">
        <v>122.5</v>
      </c>
      <c r="CR387" s="1579">
        <v>75</v>
      </c>
      <c r="CS387" s="1579">
        <f t="shared" si="33"/>
        <v>20.5</v>
      </c>
      <c r="CT387" s="1579">
        <v>25</v>
      </c>
      <c r="CU387" s="2">
        <f t="shared" si="34"/>
        <v>13</v>
      </c>
      <c r="CV387" s="2" t="str">
        <f t="shared" si="31"/>
        <v>Content &amp; SEO - Associate Manager</v>
      </c>
      <c r="CW387" s="2" t="str">
        <f>_xlfn.XLOOKUP(CL387,'[1]Rates &amp; Drop Downs INT'!D$373:D$430,'[1]Rates &amp; Drop Downs INT'!C$373:C$430,"X",1)</f>
        <v>Cloud &amp; Engineering - 2 | Associate Engineer</v>
      </c>
    </row>
    <row r="388" spans="2:101" ht="13.05" customHeight="1" x14ac:dyDescent="0.25">
      <c r="B388" s="4" t="s">
        <v>269</v>
      </c>
      <c r="C388" s="4" t="s">
        <v>1604</v>
      </c>
      <c r="D388" s="4"/>
      <c r="E388" s="4"/>
      <c r="F388" s="4" t="s">
        <v>1595</v>
      </c>
      <c r="G388" s="343">
        <v>60</v>
      </c>
      <c r="H388" s="4" t="s">
        <v>120</v>
      </c>
      <c r="I388" s="344">
        <v>120</v>
      </c>
      <c r="J388" s="345">
        <v>4</v>
      </c>
      <c r="CG388" s="2" t="s">
        <v>325</v>
      </c>
      <c r="CH388" s="2" t="s">
        <v>3333</v>
      </c>
      <c r="CI388" s="2" t="s">
        <v>3329</v>
      </c>
      <c r="CJ388" s="2" t="s">
        <v>3329</v>
      </c>
      <c r="CK388" s="2" t="s">
        <v>731</v>
      </c>
      <c r="CL388" s="2" t="s">
        <v>727</v>
      </c>
      <c r="CM388" s="39">
        <v>2</v>
      </c>
      <c r="CN388" s="2" t="str">
        <f t="shared" si="32"/>
        <v>TADigital NA Consulting | Content &amp; SEO - Content Analyst</v>
      </c>
      <c r="CO388" s="2" t="str">
        <f t="shared" si="37"/>
        <v>TADigital India Consulting | Cloud &amp; Engineering - L2 / B1-B3 | Associate Engineer</v>
      </c>
      <c r="CP388" s="1579">
        <v>125</v>
      </c>
      <c r="CQ388" s="1579">
        <v>65</v>
      </c>
      <c r="CR388" s="1579">
        <v>40</v>
      </c>
      <c r="CS388" s="1579">
        <f t="shared" si="33"/>
        <v>10.66</v>
      </c>
      <c r="CT388" s="1579">
        <v>13</v>
      </c>
      <c r="CU388" s="2">
        <f t="shared" si="34"/>
        <v>13</v>
      </c>
      <c r="CV388" s="2" t="str">
        <f t="shared" si="31"/>
        <v>Content &amp; SEO - Content Analyst</v>
      </c>
      <c r="CW388" s="2" t="str">
        <f>_xlfn.XLOOKUP(CL388,'[1]Rates &amp; Drop Downs INT'!D$373:D$430,'[1]Rates &amp; Drop Downs INT'!C$373:C$430,"X",1)</f>
        <v>Cloud &amp; Engineering - 2 | Associate Engineer</v>
      </c>
    </row>
    <row r="389" spans="2:101" ht="13.05" customHeight="1" x14ac:dyDescent="0.25">
      <c r="B389" s="346" t="s">
        <v>269</v>
      </c>
      <c r="C389" s="346" t="s">
        <v>1613</v>
      </c>
      <c r="D389" s="346"/>
      <c r="E389" s="346"/>
      <c r="F389" s="346" t="s">
        <v>1636</v>
      </c>
      <c r="G389" s="347">
        <v>81</v>
      </c>
      <c r="H389" s="346" t="s">
        <v>120</v>
      </c>
      <c r="I389" s="348">
        <v>148</v>
      </c>
      <c r="J389" s="353">
        <v>5</v>
      </c>
      <c r="CG389" s="2" t="s">
        <v>325</v>
      </c>
      <c r="CH389" s="2" t="s">
        <v>3333</v>
      </c>
      <c r="CI389" s="2" t="s">
        <v>3329</v>
      </c>
      <c r="CJ389" s="2" t="s">
        <v>3329</v>
      </c>
      <c r="CK389" s="2" t="s">
        <v>732</v>
      </c>
      <c r="CL389" s="2" t="s">
        <v>394</v>
      </c>
      <c r="CM389" s="39">
        <v>2</v>
      </c>
      <c r="CN389" s="2" t="str">
        <f t="shared" si="32"/>
        <v>TADigital NA Consulting | Content &amp; SEO - Copywriter</v>
      </c>
      <c r="CO389" s="2" t="str">
        <f t="shared" si="37"/>
        <v>TADigital India Consulting | Cloud &amp; Engineering - L2 / B1-B3 | Associate Engineer</v>
      </c>
      <c r="CP389" s="1579">
        <v>140</v>
      </c>
      <c r="CQ389" s="1579">
        <v>75</v>
      </c>
      <c r="CR389" s="1579">
        <v>45</v>
      </c>
      <c r="CS389" s="1579">
        <f t="shared" si="33"/>
        <v>14.760000000000002</v>
      </c>
      <c r="CT389" s="1579">
        <v>18</v>
      </c>
      <c r="CU389" s="2">
        <f t="shared" si="34"/>
        <v>13</v>
      </c>
      <c r="CV389" s="2" t="str">
        <f t="shared" si="31"/>
        <v>Content &amp; SEO - Copywriter</v>
      </c>
      <c r="CW389" s="2" t="str">
        <f>_xlfn.XLOOKUP(CL389,'[1]Rates &amp; Drop Downs INT'!D$373:D$430,'[1]Rates &amp; Drop Downs INT'!C$373:C$430,"X",1)</f>
        <v>Cloud &amp; Engineering - 2 | Associate Engineer</v>
      </c>
    </row>
    <row r="390" spans="2:101" ht="13.05" customHeight="1" x14ac:dyDescent="0.25">
      <c r="B390" s="4" t="s">
        <v>269</v>
      </c>
      <c r="C390" s="4" t="s">
        <v>1663</v>
      </c>
      <c r="D390" s="4"/>
      <c r="E390" s="4"/>
      <c r="F390" s="4" t="s">
        <v>1655</v>
      </c>
      <c r="G390" s="343">
        <v>99</v>
      </c>
      <c r="H390" s="4" t="s">
        <v>120</v>
      </c>
      <c r="I390" s="344">
        <v>165</v>
      </c>
      <c r="J390" s="345">
        <v>6</v>
      </c>
      <c r="CG390" s="2" t="s">
        <v>325</v>
      </c>
      <c r="CH390" s="2" t="s">
        <v>3333</v>
      </c>
      <c r="CI390" s="2" t="s">
        <v>3329</v>
      </c>
      <c r="CJ390" s="2" t="s">
        <v>3329</v>
      </c>
      <c r="CK390" s="2" t="s">
        <v>733</v>
      </c>
      <c r="CL390" s="2" t="s">
        <v>3566</v>
      </c>
      <c r="CM390" s="39">
        <v>2</v>
      </c>
      <c r="CN390" s="2" t="str">
        <f t="shared" si="32"/>
        <v>TADigital NA Consulting | Content &amp; SEO - Associate Content Strategist</v>
      </c>
      <c r="CO390" s="2" t="str">
        <f t="shared" si="37"/>
        <v>TADigital India Consulting | Cloud &amp; Engineering - L2 / B1-B3 | Associate Engineer</v>
      </c>
      <c r="CP390" s="1579">
        <v>160</v>
      </c>
      <c r="CQ390" s="1579">
        <v>80</v>
      </c>
      <c r="CR390" s="1579">
        <v>55</v>
      </c>
      <c r="CS390" s="1579">
        <f t="shared" si="33"/>
        <v>1.6400000000000001</v>
      </c>
      <c r="CT390" s="1579">
        <v>2</v>
      </c>
      <c r="CU390" s="2">
        <f t="shared" si="34"/>
        <v>13</v>
      </c>
      <c r="CV390" s="2" t="str">
        <f t="shared" ref="CV390:CV453" si="38">_xlfn.XLOOKUP(CN390,$F$205:$F$287,TADNorthAmerica,"X",1)</f>
        <v>Content &amp; SEO - Associate Content Strategist</v>
      </c>
      <c r="CW390" s="2" t="str">
        <f>_xlfn.XLOOKUP(CL390,'[1]Rates &amp; Drop Downs INT'!D$373:D$430,'[1]Rates &amp; Drop Downs INT'!C$373:C$430,"X",1)</f>
        <v>Cloud &amp; Engineering - 2 | Associate Engineer</v>
      </c>
    </row>
    <row r="391" spans="2:101" ht="13.05" customHeight="1" x14ac:dyDescent="0.25">
      <c r="B391" s="346" t="s">
        <v>269</v>
      </c>
      <c r="C391" s="346" t="s">
        <v>1478</v>
      </c>
      <c r="D391" s="346"/>
      <c r="E391" s="346"/>
      <c r="F391" s="346" t="s">
        <v>1513</v>
      </c>
      <c r="G391" s="347">
        <v>13</v>
      </c>
      <c r="H391" s="346" t="s">
        <v>120</v>
      </c>
      <c r="I391" s="348">
        <v>36</v>
      </c>
      <c r="J391" s="351">
        <v>2</v>
      </c>
      <c r="CG391" s="2" t="s">
        <v>325</v>
      </c>
      <c r="CH391" s="2" t="s">
        <v>3333</v>
      </c>
      <c r="CI391" s="2" t="s">
        <v>3329</v>
      </c>
      <c r="CJ391" s="2" t="s">
        <v>3329</v>
      </c>
      <c r="CK391" s="2" t="s">
        <v>734</v>
      </c>
      <c r="CL391" s="2" t="s">
        <v>3566</v>
      </c>
      <c r="CM391" s="39">
        <v>3</v>
      </c>
      <c r="CN391" s="2" t="str">
        <f t="shared" ref="CN391:CN454" si="39">_xlfn.XLOOKUP(CP391,$I$205:$I$287,$F$205:$F$287,"X",1)</f>
        <v>TADigital NA Consulting | Content &amp; SEO - Content Strategist</v>
      </c>
      <c r="CO391" s="2" t="str">
        <f t="shared" si="37"/>
        <v>TADigital India Consulting | Cloud &amp; Engineering - L2 / B1-B3 | Associate Engineer</v>
      </c>
      <c r="CP391" s="1579">
        <v>170</v>
      </c>
      <c r="CQ391" s="1579">
        <v>90</v>
      </c>
      <c r="CR391" s="1579">
        <v>55</v>
      </c>
      <c r="CS391" s="1579">
        <f t="shared" ref="CS391:CS454" si="40">CT391*(1-0.18)</f>
        <v>18.450000000000003</v>
      </c>
      <c r="CT391" s="1579">
        <v>22.5</v>
      </c>
      <c r="CU391" s="2">
        <f t="shared" ref="CU391:CU454" si="41">_xlfn.XLOOKUP(CW391,$C$373:$C$430,$G$373:$G$430,"X",1)</f>
        <v>13</v>
      </c>
      <c r="CV391" s="2" t="str">
        <f t="shared" si="38"/>
        <v>Content &amp; SEO - Content Strategist</v>
      </c>
      <c r="CW391" s="2" t="str">
        <f>_xlfn.XLOOKUP(CL391,'[1]Rates &amp; Drop Downs INT'!D$373:D$430,'[1]Rates &amp; Drop Downs INT'!C$373:C$430,"X",1)</f>
        <v>Cloud &amp; Engineering - 2 | Associate Engineer</v>
      </c>
    </row>
    <row r="392" spans="2:101" ht="13.05" customHeight="1" x14ac:dyDescent="0.25">
      <c r="B392" s="4" t="s">
        <v>269</v>
      </c>
      <c r="C392" s="4" t="s">
        <v>1532</v>
      </c>
      <c r="D392" s="4"/>
      <c r="E392" s="4"/>
      <c r="F392" s="4" t="s">
        <v>1570</v>
      </c>
      <c r="G392" s="343">
        <v>27</v>
      </c>
      <c r="H392" s="4" t="s">
        <v>120</v>
      </c>
      <c r="I392" s="344">
        <v>73</v>
      </c>
      <c r="J392" s="345">
        <v>3</v>
      </c>
      <c r="CG392" s="2" t="s">
        <v>325</v>
      </c>
      <c r="CH392" s="2" t="s">
        <v>3333</v>
      </c>
      <c r="CI392" s="2" t="s">
        <v>3329</v>
      </c>
      <c r="CJ392" s="2" t="s">
        <v>3329</v>
      </c>
      <c r="CK392" s="2" t="s">
        <v>735</v>
      </c>
      <c r="CL392" s="2" t="s">
        <v>3566</v>
      </c>
      <c r="CM392" s="39">
        <v>3</v>
      </c>
      <c r="CN392" s="2" t="str">
        <f t="shared" si="39"/>
        <v>TADigital NA Consulting | Content &amp; SEO - Sr. Content Strategist</v>
      </c>
      <c r="CO392" s="2" t="str">
        <f t="shared" si="37"/>
        <v>TADigital India Consulting | Cloud &amp; Engineering - L2 / B1-B3 | Associate Engineer</v>
      </c>
      <c r="CP392" s="1579">
        <v>180</v>
      </c>
      <c r="CQ392" s="1579">
        <v>105</v>
      </c>
      <c r="CR392" s="1579">
        <v>60</v>
      </c>
      <c r="CS392" s="1579">
        <f t="shared" si="40"/>
        <v>22.55</v>
      </c>
      <c r="CT392" s="1579">
        <v>27.5</v>
      </c>
      <c r="CU392" s="2">
        <f t="shared" si="41"/>
        <v>13</v>
      </c>
      <c r="CV392" s="2" t="str">
        <f t="shared" si="38"/>
        <v>Content &amp; SEO - Sr. Content Strategist</v>
      </c>
      <c r="CW392" s="2" t="str">
        <f>_xlfn.XLOOKUP(CL392,'[1]Rates &amp; Drop Downs INT'!D$373:D$430,'[1]Rates &amp; Drop Downs INT'!C$373:C$430,"X",1)</f>
        <v>Cloud &amp; Engineering - 2 | Associate Engineer</v>
      </c>
    </row>
    <row r="393" spans="2:101" ht="13.05" customHeight="1" x14ac:dyDescent="0.25">
      <c r="B393" s="346" t="s">
        <v>269</v>
      </c>
      <c r="C393" s="346" t="s">
        <v>1606</v>
      </c>
      <c r="D393" s="346"/>
      <c r="E393" s="346"/>
      <c r="F393" s="346" t="s">
        <v>1596</v>
      </c>
      <c r="G393" s="347">
        <v>41</v>
      </c>
      <c r="H393" s="346" t="s">
        <v>120</v>
      </c>
      <c r="I393" s="348">
        <v>86</v>
      </c>
      <c r="J393" s="351">
        <v>4</v>
      </c>
      <c r="CG393" s="2" t="s">
        <v>325</v>
      </c>
      <c r="CH393" s="2" t="s">
        <v>3333</v>
      </c>
      <c r="CI393" s="2" t="s">
        <v>3329</v>
      </c>
      <c r="CJ393" s="2" t="s">
        <v>3329</v>
      </c>
      <c r="CK393" s="2" t="s">
        <v>446</v>
      </c>
      <c r="CL393" s="2" t="s">
        <v>3546</v>
      </c>
      <c r="CM393" s="39">
        <v>4</v>
      </c>
      <c r="CN393" s="2" t="str">
        <f t="shared" si="39"/>
        <v>TADigital NA Consulting - Sr. Project Manager</v>
      </c>
      <c r="CO393" s="2" t="str">
        <f t="shared" si="37"/>
        <v>TADigital India Consulting | Cloud &amp; Engineering - L2 / B1-B3 | Associate Engineer</v>
      </c>
      <c r="CP393" s="1579">
        <v>235</v>
      </c>
      <c r="CQ393" s="1579">
        <v>130</v>
      </c>
      <c r="CR393" s="1579">
        <v>80</v>
      </c>
      <c r="CS393" s="1579">
        <f t="shared" si="40"/>
        <v>38.950000000000003</v>
      </c>
      <c r="CT393" s="1579">
        <v>47.5</v>
      </c>
      <c r="CU393" s="2">
        <f t="shared" si="41"/>
        <v>13</v>
      </c>
      <c r="CV393" s="2" t="str">
        <f t="shared" si="38"/>
        <v>Sr. Project Manager</v>
      </c>
      <c r="CW393" s="2" t="str">
        <f>_xlfn.XLOOKUP(CL393,'[1]Rates &amp; Drop Downs INT'!D$373:D$430,'[1]Rates &amp; Drop Downs INT'!C$373:C$430,"X",1)</f>
        <v>Cloud &amp; Engineering - 2 | Associate Engineer</v>
      </c>
    </row>
    <row r="394" spans="2:101" ht="13.05" customHeight="1" x14ac:dyDescent="0.25">
      <c r="B394" s="4" t="s">
        <v>269</v>
      </c>
      <c r="C394" s="4" t="s">
        <v>1479</v>
      </c>
      <c r="D394" s="4"/>
      <c r="E394" s="4"/>
      <c r="F394" s="4" t="s">
        <v>1514</v>
      </c>
      <c r="G394" s="343">
        <v>13</v>
      </c>
      <c r="H394" s="4" t="s">
        <v>120</v>
      </c>
      <c r="I394" s="344">
        <v>36</v>
      </c>
      <c r="J394" s="345">
        <v>2</v>
      </c>
      <c r="CG394" s="2" t="s">
        <v>325</v>
      </c>
      <c r="CH394" s="2" t="s">
        <v>3333</v>
      </c>
      <c r="CI394" s="2" t="s">
        <v>3329</v>
      </c>
      <c r="CJ394" s="2" t="s">
        <v>3329</v>
      </c>
      <c r="CK394" s="2" t="s">
        <v>448</v>
      </c>
      <c r="CL394" s="2" t="s">
        <v>3546</v>
      </c>
      <c r="CM394" s="39">
        <v>5</v>
      </c>
      <c r="CN394" s="2" t="str">
        <f t="shared" si="39"/>
        <v>TADigital NA Consulting - Delivery Manager</v>
      </c>
      <c r="CO394" s="2" t="str">
        <f t="shared" si="37"/>
        <v>TADigital India Consulting | Cloud &amp; Engineering - L2 / B1-B3 | Associate Engineer</v>
      </c>
      <c r="CP394" s="1579">
        <v>265</v>
      </c>
      <c r="CQ394" s="1579">
        <v>137.5</v>
      </c>
      <c r="CR394" s="1579">
        <v>90</v>
      </c>
      <c r="CS394" s="1579">
        <f t="shared" si="40"/>
        <v>38.950000000000003</v>
      </c>
      <c r="CT394" s="1579">
        <v>47.5</v>
      </c>
      <c r="CU394" s="2">
        <f t="shared" si="41"/>
        <v>13</v>
      </c>
      <c r="CV394" s="2" t="str">
        <f t="shared" si="38"/>
        <v>Delivery Manager</v>
      </c>
      <c r="CW394" s="2" t="str">
        <f>_xlfn.XLOOKUP(CL394,'[1]Rates &amp; Drop Downs INT'!D$373:D$430,'[1]Rates &amp; Drop Downs INT'!C$373:C$430,"X",1)</f>
        <v>Cloud &amp; Engineering - 2 | Associate Engineer</v>
      </c>
    </row>
    <row r="395" spans="2:101" ht="13.05" customHeight="1" x14ac:dyDescent="0.25">
      <c r="B395" s="346" t="s">
        <v>269</v>
      </c>
      <c r="C395" s="346" t="s">
        <v>1533</v>
      </c>
      <c r="D395" s="346"/>
      <c r="E395" s="346"/>
      <c r="F395" s="346" t="s">
        <v>1571</v>
      </c>
      <c r="G395" s="347">
        <v>22</v>
      </c>
      <c r="H395" s="346" t="s">
        <v>120</v>
      </c>
      <c r="I395" s="348">
        <v>53</v>
      </c>
      <c r="J395" s="351">
        <v>3</v>
      </c>
      <c r="CG395" s="2" t="s">
        <v>325</v>
      </c>
      <c r="CH395" s="2" t="s">
        <v>3333</v>
      </c>
      <c r="CI395" s="2" t="s">
        <v>3329</v>
      </c>
      <c r="CJ395" s="2" t="s">
        <v>3329</v>
      </c>
      <c r="CK395" s="2" t="s">
        <v>720</v>
      </c>
      <c r="CL395" s="2" t="s">
        <v>3546</v>
      </c>
      <c r="CM395" s="39">
        <v>5</v>
      </c>
      <c r="CN395" s="2" t="str">
        <f t="shared" si="39"/>
        <v>TADigital NA | Management - Associate Practice Director</v>
      </c>
      <c r="CO395" s="2" t="str">
        <f t="shared" si="37"/>
        <v>TADigital India Consulting | Cloud &amp; Engineering - L2 / B1-B3 | Associate Engineer</v>
      </c>
      <c r="CP395" s="1579">
        <v>290</v>
      </c>
      <c r="CQ395" s="1579">
        <v>140</v>
      </c>
      <c r="CR395" s="1579">
        <v>105</v>
      </c>
      <c r="CS395" s="1579">
        <f t="shared" si="40"/>
        <v>45.1</v>
      </c>
      <c r="CT395" s="1579">
        <v>55</v>
      </c>
      <c r="CU395" s="2">
        <f t="shared" si="41"/>
        <v>13</v>
      </c>
      <c r="CV395" s="2" t="str">
        <f t="shared" si="38"/>
        <v>Management - Associate Practice Director</v>
      </c>
      <c r="CW395" s="2" t="str">
        <f>_xlfn.XLOOKUP(CL395,'[1]Rates &amp; Drop Downs INT'!D$373:D$430,'[1]Rates &amp; Drop Downs INT'!C$373:C$430,"X",1)</f>
        <v>Cloud &amp; Engineering - 2 | Associate Engineer</v>
      </c>
    </row>
    <row r="396" spans="2:101" ht="13.05" customHeight="1" x14ac:dyDescent="0.25">
      <c r="B396" s="4" t="s">
        <v>269</v>
      </c>
      <c r="C396" s="4" t="s">
        <v>1607</v>
      </c>
      <c r="D396" s="4"/>
      <c r="E396" s="4"/>
      <c r="F396" s="4" t="s">
        <v>1597</v>
      </c>
      <c r="G396" s="343">
        <v>39</v>
      </c>
      <c r="H396" s="4" t="s">
        <v>120</v>
      </c>
      <c r="I396" s="344">
        <v>82</v>
      </c>
      <c r="J396" s="345">
        <v>4</v>
      </c>
      <c r="CG396" s="2" t="s">
        <v>325</v>
      </c>
      <c r="CH396" s="2" t="s">
        <v>3333</v>
      </c>
      <c r="CI396" s="2" t="s">
        <v>3329</v>
      </c>
      <c r="CJ396" s="2" t="s">
        <v>3329</v>
      </c>
      <c r="CK396" s="2" t="s">
        <v>3352</v>
      </c>
      <c r="CL396" s="2" t="s">
        <v>3549</v>
      </c>
      <c r="CM396" s="39">
        <v>5</v>
      </c>
      <c r="CN396" s="2" t="str">
        <f t="shared" si="39"/>
        <v>TADigital NA | Management - Practice Director / Delivery Director</v>
      </c>
      <c r="CO396" s="2" t="str">
        <f t="shared" si="37"/>
        <v>TADigital India Consulting | Cloud &amp; Engineering - L2 / B1-B3 | Associate Engineer</v>
      </c>
      <c r="CP396" s="1579">
        <v>315</v>
      </c>
      <c r="CQ396" s="1579">
        <v>165</v>
      </c>
      <c r="CR396" s="1579">
        <v>115</v>
      </c>
      <c r="CS396" s="1579">
        <f t="shared" si="40"/>
        <v>45.1</v>
      </c>
      <c r="CT396" s="1579">
        <v>55</v>
      </c>
      <c r="CU396" s="2">
        <f t="shared" si="41"/>
        <v>13</v>
      </c>
      <c r="CV396" s="2" t="str">
        <f t="shared" si="38"/>
        <v>Management - Practice Director / Delivery Director</v>
      </c>
      <c r="CW396" s="2" t="str">
        <f>_xlfn.XLOOKUP(CL396,'[1]Rates &amp; Drop Downs INT'!D$373:D$430,'[1]Rates &amp; Drop Downs INT'!C$373:C$430,"X",1)</f>
        <v>Cloud &amp; Engineering - 2 | Associate Engineer</v>
      </c>
    </row>
    <row r="397" spans="2:101" ht="13.05" customHeight="1" x14ac:dyDescent="0.25">
      <c r="B397" s="346" t="s">
        <v>269</v>
      </c>
      <c r="C397" s="346" t="s">
        <v>1615</v>
      </c>
      <c r="D397" s="346"/>
      <c r="E397" s="346"/>
      <c r="F397" s="346" t="s">
        <v>1637</v>
      </c>
      <c r="G397" s="347">
        <v>53</v>
      </c>
      <c r="H397" s="346" t="s">
        <v>120</v>
      </c>
      <c r="I397" s="348">
        <v>106</v>
      </c>
      <c r="J397" s="353">
        <v>5</v>
      </c>
      <c r="CG397" s="2" t="s">
        <v>325</v>
      </c>
      <c r="CH397" s="2" t="s">
        <v>3333</v>
      </c>
      <c r="CI397" s="2" t="s">
        <v>3329</v>
      </c>
      <c r="CJ397" s="2" t="s">
        <v>3329</v>
      </c>
      <c r="CK397" s="2" t="s">
        <v>3354</v>
      </c>
      <c r="CL397" s="2" t="s">
        <v>3549</v>
      </c>
      <c r="CM397" s="39">
        <v>5</v>
      </c>
      <c r="CN397" s="2" t="str">
        <f t="shared" si="39"/>
        <v>TADigital NA | Management - Sr. Practice Director / Sr. Delivery Director</v>
      </c>
      <c r="CO397" s="2" t="str">
        <f t="shared" si="37"/>
        <v>TADigital India Consulting | Cloud &amp; Engineering - L2 / B1-B3 | Associate Engineer</v>
      </c>
      <c r="CP397" s="1579">
        <v>340</v>
      </c>
      <c r="CQ397" s="1579">
        <v>170</v>
      </c>
      <c r="CR397" s="1579">
        <v>125</v>
      </c>
      <c r="CS397" s="1579">
        <f t="shared" si="40"/>
        <v>49.2</v>
      </c>
      <c r="CT397" s="1579">
        <v>60</v>
      </c>
      <c r="CU397" s="2">
        <f t="shared" si="41"/>
        <v>13</v>
      </c>
      <c r="CV397" s="2" t="str">
        <f t="shared" si="38"/>
        <v>Management - Sr. Practice Director / Sr. Delivery Director</v>
      </c>
      <c r="CW397" s="2" t="str">
        <f>_xlfn.XLOOKUP(CL397,'[1]Rates &amp; Drop Downs INT'!D$373:D$430,'[1]Rates &amp; Drop Downs INT'!C$373:C$430,"X",1)</f>
        <v>Cloud &amp; Engineering - 2 | Associate Engineer</v>
      </c>
    </row>
    <row r="398" spans="2:101" ht="13.05" customHeight="1" x14ac:dyDescent="0.25">
      <c r="B398" s="4" t="s">
        <v>269</v>
      </c>
      <c r="C398" s="4" t="s">
        <v>1616</v>
      </c>
      <c r="D398" s="4"/>
      <c r="E398" s="4"/>
      <c r="F398" s="4" t="s">
        <v>1671</v>
      </c>
      <c r="G398" s="343">
        <v>63</v>
      </c>
      <c r="H398" s="4" t="s">
        <v>120</v>
      </c>
      <c r="I398" s="344">
        <v>126</v>
      </c>
      <c r="J398" s="345">
        <v>5</v>
      </c>
      <c r="CG398" s="2" t="s">
        <v>325</v>
      </c>
      <c r="CH398" s="2" t="s">
        <v>3333</v>
      </c>
      <c r="CI398" s="2" t="s">
        <v>3329</v>
      </c>
      <c r="CJ398" s="2" t="s">
        <v>3329</v>
      </c>
      <c r="CK398" s="2" t="s">
        <v>3353</v>
      </c>
      <c r="CL398" s="2" t="s">
        <v>3549</v>
      </c>
      <c r="CM398" s="39">
        <v>6</v>
      </c>
      <c r="CN398" s="2" t="str">
        <f t="shared" si="39"/>
        <v>TADigital NA | Management - Practice VP / Delivery VP</v>
      </c>
      <c r="CO398" s="2" t="str">
        <f t="shared" si="37"/>
        <v>TADigital India Consulting | Cloud &amp; Engineering - L2 / B1-B3 | Associate Engineer</v>
      </c>
      <c r="CP398" s="1579">
        <v>370</v>
      </c>
      <c r="CQ398" s="1579">
        <v>172.5</v>
      </c>
      <c r="CR398" s="1579">
        <v>135</v>
      </c>
      <c r="CS398" s="1579">
        <f t="shared" si="40"/>
        <v>51.250000000000007</v>
      </c>
      <c r="CT398" s="1579">
        <v>62.5</v>
      </c>
      <c r="CU398" s="2">
        <f t="shared" si="41"/>
        <v>13</v>
      </c>
      <c r="CV398" s="2" t="str">
        <f t="shared" si="38"/>
        <v>Management - Practice VP / Delivery VP</v>
      </c>
      <c r="CW398" s="2" t="str">
        <f>_xlfn.XLOOKUP(CL398,'[1]Rates &amp; Drop Downs INT'!D$373:D$430,'[1]Rates &amp; Drop Downs INT'!C$373:C$430,"X",1)</f>
        <v>Cloud &amp; Engineering - 2 | Associate Engineer</v>
      </c>
    </row>
    <row r="399" spans="2:101" ht="13.05" customHeight="1" x14ac:dyDescent="0.25">
      <c r="B399" s="346" t="s">
        <v>269</v>
      </c>
      <c r="C399" s="346" t="s">
        <v>1665</v>
      </c>
      <c r="D399" s="346"/>
      <c r="E399" s="346"/>
      <c r="F399" s="346" t="s">
        <v>1656</v>
      </c>
      <c r="G399" s="347">
        <v>81</v>
      </c>
      <c r="H399" s="346" t="s">
        <v>120</v>
      </c>
      <c r="I399" s="348">
        <v>162</v>
      </c>
      <c r="J399" s="351">
        <v>6</v>
      </c>
      <c r="CG399" s="2" t="s">
        <v>325</v>
      </c>
      <c r="CH399" s="2" t="s">
        <v>3333</v>
      </c>
      <c r="CI399" s="2" t="s">
        <v>3329</v>
      </c>
      <c r="CJ399" s="2" t="s">
        <v>3329</v>
      </c>
      <c r="CK399" s="2" t="s">
        <v>3373</v>
      </c>
      <c r="CL399" s="2">
        <v>0</v>
      </c>
      <c r="CM399" s="39">
        <v>7</v>
      </c>
      <c r="CN399" s="2" t="str">
        <f t="shared" si="39"/>
        <v>TADigital NA | Management - L7 / S2-EX3 | CXO / CDO</v>
      </c>
      <c r="CO399" s="2" t="str">
        <f t="shared" si="37"/>
        <v>TADigital India Consulting | Cloud &amp; Engineering - L2 / B1-B3 | Associate Engineer</v>
      </c>
      <c r="CP399" s="1579">
        <v>500</v>
      </c>
      <c r="CQ399" s="1579">
        <v>285</v>
      </c>
      <c r="CR399" s="1579">
        <v>0</v>
      </c>
      <c r="CS399" s="1579">
        <f t="shared" si="40"/>
        <v>0</v>
      </c>
      <c r="CT399" s="1579">
        <v>0</v>
      </c>
      <c r="CU399" s="2">
        <f t="shared" si="41"/>
        <v>13</v>
      </c>
      <c r="CV399" s="2" t="str">
        <f t="shared" si="38"/>
        <v>Management - CXO / CDO</v>
      </c>
      <c r="CW399" s="2" t="str">
        <f>_xlfn.XLOOKUP(CL399,'[1]Rates &amp; Drop Downs INT'!D$373:D$430,'[1]Rates &amp; Drop Downs INT'!C$373:C$430,"X",1)</f>
        <v>Cloud &amp; Engineering - 2 | Associate Engineer</v>
      </c>
    </row>
    <row r="400" spans="2:101" ht="13.05" customHeight="1" x14ac:dyDescent="0.25">
      <c r="B400" s="4" t="s">
        <v>269</v>
      </c>
      <c r="C400" s="4" t="s">
        <v>1527</v>
      </c>
      <c r="D400" s="4"/>
      <c r="E400" s="4"/>
      <c r="F400" s="4" t="s">
        <v>1572</v>
      </c>
      <c r="G400" s="343">
        <v>32</v>
      </c>
      <c r="H400" s="4" t="s">
        <v>120</v>
      </c>
      <c r="I400" s="344">
        <v>67</v>
      </c>
      <c r="J400" s="345">
        <v>3</v>
      </c>
      <c r="CG400" s="2" t="s">
        <v>325</v>
      </c>
      <c r="CH400" s="2" t="s">
        <v>3333</v>
      </c>
      <c r="CI400" s="2" t="s">
        <v>1174</v>
      </c>
      <c r="CJ400" s="2" t="s">
        <v>1174</v>
      </c>
      <c r="CK400" s="2" t="s">
        <v>756</v>
      </c>
      <c r="CL400" s="2">
        <v>0</v>
      </c>
      <c r="CM400" s="39">
        <v>3</v>
      </c>
      <c r="CN400" s="2" t="str">
        <f t="shared" si="39"/>
        <v>TADigital NA Consulting - Project Manager / Product Manager</v>
      </c>
      <c r="CO400" s="2" t="str">
        <f t="shared" si="37"/>
        <v>TADigital India Consulting | Cloud &amp; Engineering - L2 / B1-B3 | Associate Engineer</v>
      </c>
      <c r="CP400" s="1579">
        <v>190</v>
      </c>
      <c r="CQ400" s="1579">
        <v>103</v>
      </c>
      <c r="CR400" s="1579">
        <v>70</v>
      </c>
      <c r="CS400" s="1579">
        <f t="shared" si="40"/>
        <v>22.55</v>
      </c>
      <c r="CT400" s="1579">
        <v>27.5</v>
      </c>
      <c r="CU400" s="2">
        <f t="shared" si="41"/>
        <v>13</v>
      </c>
      <c r="CV400" s="2" t="str">
        <f t="shared" si="38"/>
        <v>Project Manager / Product Manager</v>
      </c>
      <c r="CW400" s="2" t="str">
        <f>_xlfn.XLOOKUP(CL400,'[1]Rates &amp; Drop Downs INT'!D$373:D$430,'[1]Rates &amp; Drop Downs INT'!C$373:C$430,"X",1)</f>
        <v>Cloud &amp; Engineering - 2 | Associate Engineer</v>
      </c>
    </row>
    <row r="401" spans="2:102" ht="13.05" customHeight="1" x14ac:dyDescent="0.25">
      <c r="B401" s="346" t="s">
        <v>269</v>
      </c>
      <c r="C401" s="346" t="s">
        <v>1617</v>
      </c>
      <c r="D401" s="346"/>
      <c r="E401" s="346"/>
      <c r="F401" s="346" t="s">
        <v>1638</v>
      </c>
      <c r="G401" s="347">
        <v>41</v>
      </c>
      <c r="H401" s="346" t="s">
        <v>120</v>
      </c>
      <c r="I401" s="348">
        <v>82</v>
      </c>
      <c r="J401" s="353">
        <v>5</v>
      </c>
      <c r="CG401" s="2" t="s">
        <v>325</v>
      </c>
      <c r="CH401" s="2" t="s">
        <v>3333</v>
      </c>
      <c r="CI401" s="2" t="s">
        <v>1174</v>
      </c>
      <c r="CJ401" s="2" t="s">
        <v>1174</v>
      </c>
      <c r="CK401" s="2" t="s">
        <v>720</v>
      </c>
      <c r="CL401" s="2" t="s">
        <v>3546</v>
      </c>
      <c r="CM401" s="39">
        <v>5</v>
      </c>
      <c r="CN401" s="2" t="str">
        <f t="shared" si="39"/>
        <v>TADigital NA | Management - Associate Practice Director</v>
      </c>
      <c r="CO401" s="2" t="str">
        <f t="shared" si="37"/>
        <v>TADigital India Consulting | Cloud &amp; Engineering - L2 / B1-B3 | Associate Engineer</v>
      </c>
      <c r="CP401" s="1579">
        <v>290</v>
      </c>
      <c r="CQ401" s="1579">
        <v>140</v>
      </c>
      <c r="CR401" s="1579">
        <v>105</v>
      </c>
      <c r="CS401" s="1579">
        <f t="shared" si="40"/>
        <v>45.1</v>
      </c>
      <c r="CT401" s="1579">
        <v>55</v>
      </c>
      <c r="CU401" s="2">
        <f t="shared" si="41"/>
        <v>13</v>
      </c>
      <c r="CV401" s="2" t="str">
        <f t="shared" si="38"/>
        <v>Management - Associate Practice Director</v>
      </c>
      <c r="CW401" s="2" t="str">
        <f>_xlfn.XLOOKUP(CL401,'[1]Rates &amp; Drop Downs INT'!D$373:D$430,'[1]Rates &amp; Drop Downs INT'!C$373:C$430,"X",1)</f>
        <v>Cloud &amp; Engineering - 2 | Associate Engineer</v>
      </c>
    </row>
    <row r="402" spans="2:102" ht="13.05" customHeight="1" x14ac:dyDescent="0.25">
      <c r="B402" s="4" t="s">
        <v>269</v>
      </c>
      <c r="C402" s="4" t="s">
        <v>1608</v>
      </c>
      <c r="D402" s="4"/>
      <c r="E402" s="4"/>
      <c r="F402" s="4" t="s">
        <v>1598</v>
      </c>
      <c r="G402" s="343">
        <v>49</v>
      </c>
      <c r="H402" s="4" t="s">
        <v>120</v>
      </c>
      <c r="I402" s="344">
        <v>98</v>
      </c>
      <c r="J402" s="345">
        <v>4</v>
      </c>
      <c r="CG402" s="2" t="s">
        <v>325</v>
      </c>
      <c r="CH402" s="2" t="s">
        <v>3333</v>
      </c>
      <c r="CI402" s="2" t="s">
        <v>1174</v>
      </c>
      <c r="CJ402" s="2" t="s">
        <v>1174</v>
      </c>
      <c r="CK402" s="2" t="s">
        <v>748</v>
      </c>
      <c r="CL402" s="2" t="s">
        <v>748</v>
      </c>
      <c r="CM402" s="39">
        <v>1</v>
      </c>
      <c r="CN402" s="2" t="str">
        <f t="shared" si="39"/>
        <v>TADigital NA Consulting | Content &amp; SEO - Content Analyst</v>
      </c>
      <c r="CO402" s="2" t="str">
        <f t="shared" si="37"/>
        <v>TADigital India Consulting | Cloud &amp; Engineering - L2 / B1-B3 | Associate Engineer</v>
      </c>
      <c r="CP402" s="1579">
        <v>125</v>
      </c>
      <c r="CQ402" s="1579">
        <v>65</v>
      </c>
      <c r="CR402" s="1579">
        <v>40</v>
      </c>
      <c r="CS402" s="1579">
        <f t="shared" si="40"/>
        <v>10.66</v>
      </c>
      <c r="CT402" s="1579">
        <v>13</v>
      </c>
      <c r="CU402" s="2">
        <f t="shared" si="41"/>
        <v>13</v>
      </c>
      <c r="CV402" s="2" t="str">
        <f t="shared" si="38"/>
        <v>Content &amp; SEO - Content Analyst</v>
      </c>
      <c r="CW402" s="2" t="str">
        <f>_xlfn.XLOOKUP(CL402,'[1]Rates &amp; Drop Downs INT'!D$373:D$430,'[1]Rates &amp; Drop Downs INT'!C$373:C$430,"X",1)</f>
        <v>Cloud &amp; Engineering - 2 | Associate Engineer</v>
      </c>
    </row>
    <row r="403" spans="2:102" ht="13.05" customHeight="1" x14ac:dyDescent="0.25">
      <c r="B403" s="346" t="s">
        <v>269</v>
      </c>
      <c r="C403" s="346" t="s">
        <v>1618</v>
      </c>
      <c r="D403" s="346"/>
      <c r="E403" s="346"/>
      <c r="F403" s="346" t="s">
        <v>1639</v>
      </c>
      <c r="G403" s="347">
        <v>53</v>
      </c>
      <c r="H403" s="346" t="s">
        <v>120</v>
      </c>
      <c r="I403" s="348">
        <v>106</v>
      </c>
      <c r="J403" s="353">
        <v>5</v>
      </c>
      <c r="CG403" s="2" t="s">
        <v>325</v>
      </c>
      <c r="CH403" s="2" t="s">
        <v>3333</v>
      </c>
      <c r="CI403" s="2" t="s">
        <v>1174</v>
      </c>
      <c r="CJ403" s="2" t="s">
        <v>1174</v>
      </c>
      <c r="CK403" s="2" t="s">
        <v>3374</v>
      </c>
      <c r="CL403" s="2">
        <v>0</v>
      </c>
      <c r="CM403" s="39">
        <v>3</v>
      </c>
      <c r="CN403" s="2" t="str">
        <f t="shared" si="39"/>
        <v>TADigital NA Consulting | Content &amp; SEO - Associate Manager</v>
      </c>
      <c r="CO403" s="2" t="str">
        <f t="shared" si="37"/>
        <v>TADigital India Consulting | Cloud &amp; Engineering - L2 / B1-B3 | Associate Engineer</v>
      </c>
      <c r="CP403" s="1579">
        <v>210</v>
      </c>
      <c r="CQ403" s="1579">
        <v>107.5</v>
      </c>
      <c r="CR403" s="1579">
        <v>75</v>
      </c>
      <c r="CS403" s="1579">
        <f t="shared" si="40"/>
        <v>30.750000000000004</v>
      </c>
      <c r="CT403" s="1579">
        <v>37.5</v>
      </c>
      <c r="CU403" s="2">
        <f t="shared" si="41"/>
        <v>13</v>
      </c>
      <c r="CV403" s="2" t="str">
        <f t="shared" si="38"/>
        <v>Content &amp; SEO - Associate Manager</v>
      </c>
      <c r="CW403" s="2" t="str">
        <f>_xlfn.XLOOKUP(CL403,'[1]Rates &amp; Drop Downs INT'!D$373:D$430,'[1]Rates &amp; Drop Downs INT'!C$373:C$430,"X",1)</f>
        <v>Cloud &amp; Engineering - 2 | Associate Engineer</v>
      </c>
    </row>
    <row r="404" spans="2:102" ht="13.05" customHeight="1" x14ac:dyDescent="0.25">
      <c r="B404" s="4" t="s">
        <v>269</v>
      </c>
      <c r="C404" s="4" t="s">
        <v>1666</v>
      </c>
      <c r="D404" s="4"/>
      <c r="E404" s="4"/>
      <c r="F404" s="4" t="s">
        <v>1657</v>
      </c>
      <c r="G404" s="343">
        <v>65</v>
      </c>
      <c r="H404" s="4" t="s">
        <v>120</v>
      </c>
      <c r="I404" s="344">
        <v>130</v>
      </c>
      <c r="J404" s="345">
        <v>6</v>
      </c>
      <c r="CG404" s="2" t="s">
        <v>325</v>
      </c>
      <c r="CH404" s="2" t="s">
        <v>3333</v>
      </c>
      <c r="CI404" s="2" t="s">
        <v>1174</v>
      </c>
      <c r="CJ404" s="2" t="s">
        <v>1174</v>
      </c>
      <c r="CK404" s="2" t="s">
        <v>3375</v>
      </c>
      <c r="CL404" s="2">
        <v>0</v>
      </c>
      <c r="CM404" s="39">
        <v>3</v>
      </c>
      <c r="CN404" s="2" t="str">
        <f t="shared" si="39"/>
        <v>TADigital NA Consulting | Content &amp; SEO - Associate Manager</v>
      </c>
      <c r="CO404" s="2" t="str">
        <f t="shared" si="37"/>
        <v>TADigital India Consulting | Cloud &amp; Engineering - L2 / B1-B3 | Associate Engineer</v>
      </c>
      <c r="CP404" s="1579">
        <v>210</v>
      </c>
      <c r="CQ404" s="1579">
        <v>108</v>
      </c>
      <c r="CR404" s="1579">
        <v>75</v>
      </c>
      <c r="CS404" s="1579">
        <f t="shared" si="40"/>
        <v>31.160000000000004</v>
      </c>
      <c r="CT404" s="1579">
        <v>38</v>
      </c>
      <c r="CU404" s="2">
        <f t="shared" si="41"/>
        <v>13</v>
      </c>
      <c r="CV404" s="2" t="str">
        <f t="shared" si="38"/>
        <v>Content &amp; SEO - Associate Manager</v>
      </c>
      <c r="CW404" s="2" t="str">
        <f>_xlfn.XLOOKUP(CL404,'[1]Rates &amp; Drop Downs INT'!D$373:D$430,'[1]Rates &amp; Drop Downs INT'!C$373:C$430,"X",1)</f>
        <v>Cloud &amp; Engineering - 2 | Associate Engineer</v>
      </c>
    </row>
    <row r="405" spans="2:102" ht="13.05" customHeight="1" x14ac:dyDescent="0.25">
      <c r="B405" s="346" t="s">
        <v>269</v>
      </c>
      <c r="C405" s="346" t="s">
        <v>1480</v>
      </c>
      <c r="D405" s="346"/>
      <c r="E405" s="346"/>
      <c r="F405" s="346" t="s">
        <v>1515</v>
      </c>
      <c r="G405" s="347">
        <v>26</v>
      </c>
      <c r="H405" s="346" t="s">
        <v>120</v>
      </c>
      <c r="I405" s="348">
        <v>71</v>
      </c>
      <c r="J405" s="351">
        <v>2</v>
      </c>
      <c r="CG405" s="2" t="s">
        <v>325</v>
      </c>
      <c r="CH405" s="2" t="s">
        <v>3333</v>
      </c>
      <c r="CI405" s="2" t="s">
        <v>1174</v>
      </c>
      <c r="CJ405" s="2" t="s">
        <v>1174</v>
      </c>
      <c r="CK405" s="2" t="s">
        <v>3376</v>
      </c>
      <c r="CL405" s="2" t="s">
        <v>3567</v>
      </c>
      <c r="CM405" s="39">
        <v>1</v>
      </c>
      <c r="CN405" s="2" t="str">
        <f t="shared" si="39"/>
        <v>TADigital NA Consulting | Content &amp; SEO - Principal Web Content Analyst</v>
      </c>
      <c r="CO405" s="2" t="str">
        <f t="shared" si="37"/>
        <v>TADigital India Consulting | Cloud &amp; Engineering - L2 / B1-B3 | Associate Engineer</v>
      </c>
      <c r="CP405" s="1579">
        <v>145</v>
      </c>
      <c r="CQ405" s="1579">
        <v>77.5</v>
      </c>
      <c r="CR405" s="1579">
        <v>45</v>
      </c>
      <c r="CS405" s="1579">
        <f t="shared" si="40"/>
        <v>14.760000000000002</v>
      </c>
      <c r="CT405" s="1579">
        <v>18</v>
      </c>
      <c r="CU405" s="2">
        <f t="shared" si="41"/>
        <v>13</v>
      </c>
      <c r="CV405" s="2" t="str">
        <f t="shared" si="38"/>
        <v>Content &amp; SEO - Principal Web Content Analyst</v>
      </c>
      <c r="CW405" s="2" t="str">
        <f>_xlfn.XLOOKUP(CL405,'[1]Rates &amp; Drop Downs INT'!D$373:D$430,'[1]Rates &amp; Drop Downs INT'!C$373:C$430,"X",1)</f>
        <v>Cloud &amp; Engineering - 2 | Associate Engineer</v>
      </c>
    </row>
    <row r="406" spans="2:102" ht="13.05" customHeight="1" x14ac:dyDescent="0.25">
      <c r="B406" s="4" t="s">
        <v>269</v>
      </c>
      <c r="C406" s="4" t="s">
        <v>1534</v>
      </c>
      <c r="D406" s="4"/>
      <c r="E406" s="4"/>
      <c r="F406" s="4" t="s">
        <v>1573</v>
      </c>
      <c r="G406" s="343">
        <v>33</v>
      </c>
      <c r="H406" s="4" t="s">
        <v>120</v>
      </c>
      <c r="I406" s="344">
        <v>79</v>
      </c>
      <c r="J406" s="345">
        <v>3</v>
      </c>
      <c r="CG406" s="2" t="s">
        <v>325</v>
      </c>
      <c r="CH406" s="2" t="s">
        <v>3333</v>
      </c>
      <c r="CI406" s="2" t="s">
        <v>1174</v>
      </c>
      <c r="CJ406" s="2" t="s">
        <v>1174</v>
      </c>
      <c r="CK406" s="2" t="s">
        <v>3373</v>
      </c>
      <c r="CL406" s="2">
        <v>0</v>
      </c>
      <c r="CM406" s="39">
        <v>7</v>
      </c>
      <c r="CN406" s="2" t="str">
        <f t="shared" si="39"/>
        <v>TADigital NA | Management - L7 / S2-EX3 | CXO / CDO</v>
      </c>
      <c r="CO406" s="2" t="str">
        <f t="shared" si="37"/>
        <v>TADigital India Consulting | Cloud &amp; Engineering - L2 / B1-B3 | Associate Engineer</v>
      </c>
      <c r="CP406" s="1579">
        <v>500</v>
      </c>
      <c r="CQ406" s="1579">
        <v>285</v>
      </c>
      <c r="CR406" s="1579">
        <v>0</v>
      </c>
      <c r="CS406" s="1579">
        <f t="shared" si="40"/>
        <v>0</v>
      </c>
      <c r="CT406" s="1579">
        <v>0</v>
      </c>
      <c r="CU406" s="2">
        <f t="shared" si="41"/>
        <v>13</v>
      </c>
      <c r="CV406" s="2" t="str">
        <f t="shared" si="38"/>
        <v>Management - CXO / CDO</v>
      </c>
      <c r="CW406" s="2" t="str">
        <f>_xlfn.XLOOKUP(CL406,'[1]Rates &amp; Drop Downs INT'!D$373:D$430,'[1]Rates &amp; Drop Downs INT'!C$373:C$430,"X",1)</f>
        <v>Cloud &amp; Engineering - 2 | Associate Engineer</v>
      </c>
    </row>
    <row r="407" spans="2:102" ht="13.05" customHeight="1" x14ac:dyDescent="0.25">
      <c r="B407" s="346" t="s">
        <v>269</v>
      </c>
      <c r="C407" s="346" t="s">
        <v>1609</v>
      </c>
      <c r="D407" s="346"/>
      <c r="E407" s="346"/>
      <c r="F407" s="346" t="s">
        <v>1599</v>
      </c>
      <c r="G407" s="347">
        <v>49</v>
      </c>
      <c r="H407" s="346" t="s">
        <v>120</v>
      </c>
      <c r="I407" s="348">
        <v>103</v>
      </c>
      <c r="J407" s="351">
        <v>4</v>
      </c>
      <c r="CG407" s="2" t="s">
        <v>325</v>
      </c>
      <c r="CH407" s="2" t="s">
        <v>3333</v>
      </c>
      <c r="CI407" s="2" t="s">
        <v>1174</v>
      </c>
      <c r="CJ407" s="2" t="s">
        <v>1174</v>
      </c>
      <c r="CK407" s="2" t="s">
        <v>758</v>
      </c>
      <c r="CL407" s="2" t="s">
        <v>3568</v>
      </c>
      <c r="CM407" s="39">
        <v>4</v>
      </c>
      <c r="CN407" s="2" t="str">
        <f t="shared" si="39"/>
        <v>TADigital NA Consulting - Sr. Project Manager</v>
      </c>
      <c r="CO407" s="2" t="str">
        <f t="shared" si="37"/>
        <v>TADigital India Consulting | Cloud &amp; Engineering - L2 / B1-B3 | Associate Engineer</v>
      </c>
      <c r="CP407" s="1579">
        <v>235</v>
      </c>
      <c r="CQ407" s="1579">
        <v>140</v>
      </c>
      <c r="CR407" s="1579">
        <v>95</v>
      </c>
      <c r="CS407" s="1579">
        <f t="shared" si="40"/>
        <v>24.6</v>
      </c>
      <c r="CT407" s="1579">
        <v>30</v>
      </c>
      <c r="CU407" s="2">
        <f t="shared" si="41"/>
        <v>13</v>
      </c>
      <c r="CV407" s="2" t="str">
        <f t="shared" si="38"/>
        <v>Sr. Project Manager</v>
      </c>
      <c r="CW407" s="2" t="str">
        <f>_xlfn.XLOOKUP(CL407,'[1]Rates &amp; Drop Downs INT'!D$373:D$430,'[1]Rates &amp; Drop Downs INT'!C$373:C$430,"X",1)</f>
        <v>Cloud &amp; Engineering - 2 | Associate Engineer</v>
      </c>
    </row>
    <row r="408" spans="2:102" ht="13.05" customHeight="1" x14ac:dyDescent="0.25">
      <c r="B408" s="4" t="s">
        <v>269</v>
      </c>
      <c r="C408" s="4" t="s">
        <v>1619</v>
      </c>
      <c r="D408" s="4"/>
      <c r="E408" s="4"/>
      <c r="F408" s="4" t="s">
        <v>1640</v>
      </c>
      <c r="G408" s="343">
        <v>53</v>
      </c>
      <c r="H408" s="4" t="s">
        <v>120</v>
      </c>
      <c r="I408" s="344">
        <v>106</v>
      </c>
      <c r="J408" s="355">
        <v>5</v>
      </c>
      <c r="CG408" s="2" t="s">
        <v>325</v>
      </c>
      <c r="CH408" s="2" t="s">
        <v>3333</v>
      </c>
      <c r="CI408" s="2" t="s">
        <v>1174</v>
      </c>
      <c r="CJ408" s="2" t="s">
        <v>1174</v>
      </c>
      <c r="CK408" s="2" t="s">
        <v>3352</v>
      </c>
      <c r="CL408" s="2" t="s">
        <v>3549</v>
      </c>
      <c r="CM408" s="39">
        <v>5</v>
      </c>
      <c r="CN408" s="2" t="str">
        <f t="shared" si="39"/>
        <v>TADigital NA | Management - Practice Director / Delivery Director</v>
      </c>
      <c r="CO408" s="2" t="str">
        <f t="shared" si="37"/>
        <v>TADigital India Consulting | Cloud &amp; Engineering - L2 / B1-B3 | Associate Engineer</v>
      </c>
      <c r="CP408" s="1579">
        <v>315</v>
      </c>
      <c r="CQ408" s="1579">
        <v>165</v>
      </c>
      <c r="CR408" s="1579">
        <v>115</v>
      </c>
      <c r="CS408" s="1579">
        <f t="shared" si="40"/>
        <v>45.1</v>
      </c>
      <c r="CT408" s="1579">
        <v>55</v>
      </c>
      <c r="CU408" s="2">
        <f t="shared" si="41"/>
        <v>13</v>
      </c>
      <c r="CV408" s="2" t="str">
        <f t="shared" si="38"/>
        <v>Management - Practice Director / Delivery Director</v>
      </c>
      <c r="CW408" s="2" t="str">
        <f>_xlfn.XLOOKUP(CL408,'[1]Rates &amp; Drop Downs INT'!D$373:D$430,'[1]Rates &amp; Drop Downs INT'!C$373:C$430,"X",1)</f>
        <v>Cloud &amp; Engineering - 2 | Associate Engineer</v>
      </c>
    </row>
    <row r="409" spans="2:102" ht="13.05" customHeight="1" x14ac:dyDescent="0.25">
      <c r="B409" s="346" t="s">
        <v>269</v>
      </c>
      <c r="C409" s="346" t="s">
        <v>1667</v>
      </c>
      <c r="D409" s="346"/>
      <c r="E409" s="346"/>
      <c r="F409" s="346" t="s">
        <v>1658</v>
      </c>
      <c r="G409" s="347">
        <v>65</v>
      </c>
      <c r="H409" s="346" t="s">
        <v>120</v>
      </c>
      <c r="I409" s="348">
        <v>130</v>
      </c>
      <c r="J409" s="351">
        <v>6</v>
      </c>
      <c r="CG409" s="2" t="s">
        <v>325</v>
      </c>
      <c r="CH409" s="2" t="s">
        <v>3333</v>
      </c>
      <c r="CI409" s="2" t="s">
        <v>1174</v>
      </c>
      <c r="CJ409" s="2" t="s">
        <v>1174</v>
      </c>
      <c r="CK409" s="2" t="s">
        <v>3353</v>
      </c>
      <c r="CL409" s="2" t="s">
        <v>3549</v>
      </c>
      <c r="CM409" s="39">
        <v>6</v>
      </c>
      <c r="CN409" s="2" t="str">
        <f t="shared" si="39"/>
        <v>TADigital NA | Management - Practice VP / Delivery VP</v>
      </c>
      <c r="CO409" s="2" t="str">
        <f t="shared" si="37"/>
        <v>TADigital India Consulting | Cloud &amp; Engineering - L2 / B1-B3 | Associate Engineer</v>
      </c>
      <c r="CP409" s="1579">
        <v>370</v>
      </c>
      <c r="CQ409" s="1579">
        <v>172.5</v>
      </c>
      <c r="CR409" s="1579">
        <v>135</v>
      </c>
      <c r="CS409" s="1579">
        <f t="shared" si="40"/>
        <v>51.250000000000007</v>
      </c>
      <c r="CT409" s="1579">
        <v>62.5</v>
      </c>
      <c r="CU409" s="2">
        <f t="shared" si="41"/>
        <v>13</v>
      </c>
      <c r="CV409" s="2" t="str">
        <f t="shared" si="38"/>
        <v>Management - Practice VP / Delivery VP</v>
      </c>
      <c r="CW409" s="2" t="str">
        <f>_xlfn.XLOOKUP(CL409,'[1]Rates &amp; Drop Downs INT'!D$373:D$430,'[1]Rates &amp; Drop Downs INT'!C$373:C$430,"X",1)</f>
        <v>Cloud &amp; Engineering - 2 | Associate Engineer</v>
      </c>
    </row>
    <row r="410" spans="2:102" ht="13.05" customHeight="1" x14ac:dyDescent="0.25">
      <c r="B410" s="4" t="s">
        <v>269</v>
      </c>
      <c r="C410" s="4" t="s">
        <v>1474</v>
      </c>
      <c r="D410" s="4"/>
      <c r="E410" s="4"/>
      <c r="F410" s="4" t="s">
        <v>1516</v>
      </c>
      <c r="G410" s="343">
        <v>11</v>
      </c>
      <c r="H410" s="4" t="s">
        <v>120</v>
      </c>
      <c r="I410" s="344">
        <v>30</v>
      </c>
      <c r="J410" s="345">
        <v>2</v>
      </c>
      <c r="CG410" s="2" t="s">
        <v>325</v>
      </c>
      <c r="CH410" s="2" t="s">
        <v>3333</v>
      </c>
      <c r="CI410" s="2" t="s">
        <v>1174</v>
      </c>
      <c r="CJ410" s="2" t="s">
        <v>1174</v>
      </c>
      <c r="CK410" s="2" t="s">
        <v>390</v>
      </c>
      <c r="CL410" s="2" t="s">
        <v>3376</v>
      </c>
      <c r="CM410" s="39">
        <v>2</v>
      </c>
      <c r="CN410" s="2" t="str">
        <f t="shared" si="39"/>
        <v>TADigital NA Consulting | Content &amp; SEO - Associate Web Content Analyst</v>
      </c>
      <c r="CO410" s="2" t="str">
        <f t="shared" si="37"/>
        <v>TADigital India Consulting | Cloud &amp; Engineering - L2 / B1-B3 | Associate Engineer</v>
      </c>
      <c r="CP410" s="1579">
        <v>0</v>
      </c>
      <c r="CQ410" s="1579">
        <v>0</v>
      </c>
      <c r="CR410" s="1579">
        <v>40</v>
      </c>
      <c r="CS410" s="1579">
        <f t="shared" si="40"/>
        <v>10.66</v>
      </c>
      <c r="CT410" s="1579">
        <v>13</v>
      </c>
      <c r="CU410" s="2">
        <f t="shared" si="41"/>
        <v>13</v>
      </c>
      <c r="CV410" s="2" t="str">
        <f t="shared" si="38"/>
        <v>Content &amp; SEO - Associate Web Content Analyst</v>
      </c>
      <c r="CW410" s="2" t="str">
        <f>_xlfn.XLOOKUP(CL410,'[1]Rates &amp; Drop Downs INT'!D$373:D$430,'[1]Rates &amp; Drop Downs INT'!C$373:C$430,"X",1)</f>
        <v>Cloud &amp; Engineering - 2 | Associate Engineer</v>
      </c>
    </row>
    <row r="411" spans="2:102" ht="13.05" customHeight="1" x14ac:dyDescent="0.25">
      <c r="B411" s="346" t="s">
        <v>269</v>
      </c>
      <c r="C411" s="346" t="s">
        <v>1475</v>
      </c>
      <c r="D411" s="346"/>
      <c r="E411" s="346"/>
      <c r="F411" s="346" t="s">
        <v>1517</v>
      </c>
      <c r="G411" s="347">
        <v>18</v>
      </c>
      <c r="H411" s="346" t="s">
        <v>120</v>
      </c>
      <c r="I411" s="348">
        <v>49</v>
      </c>
      <c r="J411" s="351">
        <v>2</v>
      </c>
      <c r="CG411" s="2" t="s">
        <v>325</v>
      </c>
      <c r="CH411" s="2" t="s">
        <v>3333</v>
      </c>
      <c r="CI411" s="2" t="s">
        <v>1174</v>
      </c>
      <c r="CJ411" s="2" t="s">
        <v>1174</v>
      </c>
      <c r="CK411" s="2" t="s">
        <v>757</v>
      </c>
      <c r="CL411" s="2" t="s">
        <v>3567</v>
      </c>
      <c r="CM411" s="39">
        <v>3</v>
      </c>
      <c r="CN411" s="2" t="str">
        <f t="shared" si="39"/>
        <v>TADigital NA Consulting | Content &amp; SEO - Associate Manager</v>
      </c>
      <c r="CO411" s="2" t="str">
        <f t="shared" si="37"/>
        <v>TADigital India Consulting | Cloud &amp; Engineering - L2 / B1-B3 | Associate Engineer</v>
      </c>
      <c r="CP411" s="1579">
        <v>210</v>
      </c>
      <c r="CQ411" s="1579">
        <v>107.5</v>
      </c>
      <c r="CR411" s="1579">
        <v>75</v>
      </c>
      <c r="CS411" s="1579">
        <f t="shared" si="40"/>
        <v>22.55</v>
      </c>
      <c r="CT411" s="1579">
        <v>27.5</v>
      </c>
      <c r="CU411" s="2">
        <f t="shared" si="41"/>
        <v>13</v>
      </c>
      <c r="CV411" s="2" t="str">
        <f t="shared" si="38"/>
        <v>Content &amp; SEO - Associate Manager</v>
      </c>
      <c r="CW411" s="2" t="str">
        <f>_xlfn.XLOOKUP(CL411,'[1]Rates &amp; Drop Downs INT'!D$373:D$430,'[1]Rates &amp; Drop Downs INT'!C$373:C$430,"X",1)</f>
        <v>Cloud &amp; Engineering - 2 | Associate Engineer</v>
      </c>
    </row>
    <row r="412" spans="2:102" ht="13.05" customHeight="1" x14ac:dyDescent="0.25">
      <c r="B412" s="4" t="s">
        <v>269</v>
      </c>
      <c r="C412" s="4" t="s">
        <v>1528</v>
      </c>
      <c r="D412" s="4"/>
      <c r="E412" s="4"/>
      <c r="F412" s="4" t="s">
        <v>1574</v>
      </c>
      <c r="G412" s="343">
        <v>25</v>
      </c>
      <c r="H412" s="4" t="s">
        <v>120</v>
      </c>
      <c r="I412" s="344">
        <v>56</v>
      </c>
      <c r="J412" s="345">
        <v>3</v>
      </c>
      <c r="CG412" s="2" t="s">
        <v>325</v>
      </c>
      <c r="CH412" s="2" t="s">
        <v>3333</v>
      </c>
      <c r="CI412" s="2" t="s">
        <v>1174</v>
      </c>
      <c r="CJ412" s="2" t="s">
        <v>1174</v>
      </c>
      <c r="CK412" s="2" t="s">
        <v>3354</v>
      </c>
      <c r="CL412" s="2" t="s">
        <v>3549</v>
      </c>
      <c r="CM412" s="39">
        <v>5</v>
      </c>
      <c r="CN412" s="2" t="str">
        <f t="shared" si="39"/>
        <v>TADigital NA | Management - Sr. Practice Director / Sr. Delivery Director</v>
      </c>
      <c r="CO412" s="2" t="str">
        <f t="shared" si="37"/>
        <v>TADigital India Consulting | Cloud &amp; Engineering - L2 / B1-B3 | Associate Engineer</v>
      </c>
      <c r="CP412" s="1579">
        <v>340</v>
      </c>
      <c r="CQ412" s="1579">
        <v>170</v>
      </c>
      <c r="CR412" s="1579">
        <v>125</v>
      </c>
      <c r="CS412" s="1579">
        <f t="shared" si="40"/>
        <v>49.2</v>
      </c>
      <c r="CT412" s="1579">
        <v>60</v>
      </c>
      <c r="CU412" s="2">
        <f t="shared" si="41"/>
        <v>13</v>
      </c>
      <c r="CV412" s="2" t="str">
        <f t="shared" si="38"/>
        <v>Management - Sr. Practice Director / Sr. Delivery Director</v>
      </c>
      <c r="CW412" s="2" t="str">
        <f>_xlfn.XLOOKUP(CL412,'[1]Rates &amp; Drop Downs INT'!D$373:D$430,'[1]Rates &amp; Drop Downs INT'!C$373:C$430,"X",1)</f>
        <v>Cloud &amp; Engineering - 2 | Associate Engineer</v>
      </c>
      <c r="CX412" s="1578"/>
    </row>
    <row r="413" spans="2:102" ht="13.05" customHeight="1" x14ac:dyDescent="0.25">
      <c r="B413" s="346" t="s">
        <v>269</v>
      </c>
      <c r="C413" s="346" t="s">
        <v>1529</v>
      </c>
      <c r="D413" s="346"/>
      <c r="E413" s="346"/>
      <c r="F413" s="346" t="s">
        <v>1575</v>
      </c>
      <c r="G413" s="347">
        <v>33</v>
      </c>
      <c r="H413" s="346" t="s">
        <v>120</v>
      </c>
      <c r="I413" s="348">
        <v>69</v>
      </c>
      <c r="J413" s="351">
        <v>3</v>
      </c>
      <c r="CG413" s="2" t="s">
        <v>325</v>
      </c>
      <c r="CH413" s="2" t="s">
        <v>3333</v>
      </c>
      <c r="CI413" s="2" t="s">
        <v>1174</v>
      </c>
      <c r="CJ413" s="2" t="s">
        <v>1174</v>
      </c>
      <c r="CK413" s="2" t="s">
        <v>750</v>
      </c>
      <c r="CL413" s="2" t="s">
        <v>3568</v>
      </c>
      <c r="CM413" s="39">
        <v>3</v>
      </c>
      <c r="CN413" s="2" t="str">
        <f t="shared" si="39"/>
        <v>TADigital NA Consulting - Project Manager / Product Manager</v>
      </c>
      <c r="CO413" s="2" t="str">
        <f t="shared" si="37"/>
        <v>TADigital India Consulting | Cloud &amp; Engineering - L2 / B1-B3 | Associate Engineer</v>
      </c>
      <c r="CP413" s="1579">
        <v>190</v>
      </c>
      <c r="CQ413" s="1579">
        <v>110</v>
      </c>
      <c r="CR413" s="1579">
        <v>65</v>
      </c>
      <c r="CS413" s="1579">
        <f t="shared" si="40"/>
        <v>18.450000000000003</v>
      </c>
      <c r="CT413" s="1579">
        <v>22.5</v>
      </c>
      <c r="CU413" s="2">
        <f t="shared" si="41"/>
        <v>13</v>
      </c>
      <c r="CV413" s="2" t="str">
        <f t="shared" si="38"/>
        <v>Project Manager / Product Manager</v>
      </c>
      <c r="CW413" s="2" t="str">
        <f>_xlfn.XLOOKUP(CL413,'[1]Rates &amp; Drop Downs INT'!D$373:D$430,'[1]Rates &amp; Drop Downs INT'!C$373:C$430,"X",1)</f>
        <v>Cloud &amp; Engineering - 2 | Associate Engineer</v>
      </c>
    </row>
    <row r="414" spans="2:102" ht="13.05" customHeight="1" x14ac:dyDescent="0.25">
      <c r="B414" s="4" t="s">
        <v>269</v>
      </c>
      <c r="C414" s="4" t="s">
        <v>1605</v>
      </c>
      <c r="D414" s="4"/>
      <c r="E414" s="4"/>
      <c r="F414" s="4" t="s">
        <v>1600</v>
      </c>
      <c r="G414" s="343">
        <v>39</v>
      </c>
      <c r="H414" s="4" t="s">
        <v>120</v>
      </c>
      <c r="I414" s="344">
        <v>78</v>
      </c>
      <c r="J414" s="345">
        <v>4</v>
      </c>
      <c r="CG414" s="2" t="s">
        <v>325</v>
      </c>
      <c r="CH414" s="2" t="s">
        <v>3333</v>
      </c>
      <c r="CI414" s="2" t="s">
        <v>1174</v>
      </c>
      <c r="CJ414" s="2" t="s">
        <v>1174</v>
      </c>
      <c r="CK414" s="2" t="s">
        <v>3377</v>
      </c>
      <c r="CL414" s="2" t="s">
        <v>3568</v>
      </c>
      <c r="CM414" s="39">
        <v>5</v>
      </c>
      <c r="CN414" s="2" t="str">
        <f t="shared" si="39"/>
        <v>TADigital NA Consulting - Delivery Manager</v>
      </c>
      <c r="CO414" s="2" t="str">
        <f t="shared" si="37"/>
        <v>TADigital India Consulting | Cloud &amp; Engineering - L2 / B1-B3 | Associate Engineer</v>
      </c>
      <c r="CP414" s="1579">
        <v>265</v>
      </c>
      <c r="CQ414" s="1579">
        <v>140</v>
      </c>
      <c r="CR414" s="1579">
        <v>105</v>
      </c>
      <c r="CS414" s="1579">
        <f t="shared" si="40"/>
        <v>41</v>
      </c>
      <c r="CT414" s="1579">
        <v>50</v>
      </c>
      <c r="CU414" s="2">
        <f t="shared" si="41"/>
        <v>13</v>
      </c>
      <c r="CV414" s="2" t="str">
        <f t="shared" si="38"/>
        <v>Delivery Manager</v>
      </c>
      <c r="CW414" s="2" t="str">
        <f>_xlfn.XLOOKUP(CL414,'[1]Rates &amp; Drop Downs INT'!D$373:D$430,'[1]Rates &amp; Drop Downs INT'!C$373:C$430,"X",1)</f>
        <v>Cloud &amp; Engineering - 2 | Associate Engineer</v>
      </c>
    </row>
    <row r="415" spans="2:102" ht="13.05" customHeight="1" x14ac:dyDescent="0.25">
      <c r="B415" s="346" t="s">
        <v>269</v>
      </c>
      <c r="C415" s="346" t="s">
        <v>1614</v>
      </c>
      <c r="D415" s="346"/>
      <c r="E415" s="346"/>
      <c r="F415" s="346" t="s">
        <v>1641</v>
      </c>
      <c r="G415" s="347">
        <v>51</v>
      </c>
      <c r="H415" s="346" t="s">
        <v>120</v>
      </c>
      <c r="I415" s="348">
        <v>93</v>
      </c>
      <c r="J415" s="353">
        <v>5</v>
      </c>
      <c r="CG415" s="2" t="s">
        <v>325</v>
      </c>
      <c r="CH415" s="2" t="s">
        <v>3333</v>
      </c>
      <c r="CI415" s="2" t="s">
        <v>1174</v>
      </c>
      <c r="CJ415" s="2" t="s">
        <v>1174</v>
      </c>
      <c r="CK415" s="2" t="s">
        <v>3378</v>
      </c>
      <c r="CL415" s="2" t="s">
        <v>3568</v>
      </c>
      <c r="CM415" s="39">
        <v>5</v>
      </c>
      <c r="CN415" s="2" t="str">
        <f t="shared" si="39"/>
        <v>TADigital NA Consulting - Delivery Manager</v>
      </c>
      <c r="CO415" s="2" t="str">
        <f t="shared" si="37"/>
        <v>TADigital India Consulting | Cloud &amp; Engineering - L2 / B1-B3 | Associate Engineer</v>
      </c>
      <c r="CP415" s="1579">
        <v>265</v>
      </c>
      <c r="CQ415" s="1579">
        <v>140</v>
      </c>
      <c r="CR415" s="1579">
        <v>105</v>
      </c>
      <c r="CS415" s="1579">
        <f t="shared" si="40"/>
        <v>41</v>
      </c>
      <c r="CT415" s="1579">
        <v>50</v>
      </c>
      <c r="CU415" s="2">
        <f t="shared" si="41"/>
        <v>13</v>
      </c>
      <c r="CV415" s="2" t="str">
        <f t="shared" si="38"/>
        <v>Delivery Manager</v>
      </c>
      <c r="CW415" s="2" t="str">
        <f>_xlfn.XLOOKUP(CL415,'[1]Rates &amp; Drop Downs INT'!D$373:D$430,'[1]Rates &amp; Drop Downs INT'!C$373:C$430,"X",1)</f>
        <v>Cloud &amp; Engineering - 2 | Associate Engineer</v>
      </c>
    </row>
    <row r="416" spans="2:102" ht="13.05" customHeight="1" x14ac:dyDescent="0.25">
      <c r="B416" s="4" t="s">
        <v>269</v>
      </c>
      <c r="C416" s="4" t="s">
        <v>1664</v>
      </c>
      <c r="D416" s="4"/>
      <c r="E416" s="4"/>
      <c r="F416" s="4" t="s">
        <v>1659</v>
      </c>
      <c r="G416" s="343">
        <v>63</v>
      </c>
      <c r="H416" s="4" t="s">
        <v>120</v>
      </c>
      <c r="I416" s="344">
        <v>105</v>
      </c>
      <c r="J416" s="345">
        <v>6</v>
      </c>
      <c r="CG416" s="2" t="s">
        <v>325</v>
      </c>
      <c r="CH416" s="2" t="s">
        <v>3333</v>
      </c>
      <c r="CI416" s="2" t="s">
        <v>1174</v>
      </c>
      <c r="CJ416" s="2" t="s">
        <v>1174</v>
      </c>
      <c r="CK416" s="2" t="s">
        <v>3379</v>
      </c>
      <c r="CL416" s="2" t="s">
        <v>3569</v>
      </c>
      <c r="CM416" s="39">
        <v>3</v>
      </c>
      <c r="CN416" s="2" t="str">
        <f t="shared" si="39"/>
        <v>TADigital NA Consulting | Content &amp; SEO - Content Strategist</v>
      </c>
      <c r="CO416" s="2" t="str">
        <f t="shared" si="37"/>
        <v>TADigital India Consulting | Cloud &amp; Engineering - L2 / B1-B3 | Associate Engineer</v>
      </c>
      <c r="CP416" s="1579">
        <v>170</v>
      </c>
      <c r="CQ416" s="1579">
        <v>95</v>
      </c>
      <c r="CR416" s="1579">
        <v>60</v>
      </c>
      <c r="CS416" s="1579">
        <f t="shared" si="40"/>
        <v>18.450000000000003</v>
      </c>
      <c r="CT416" s="1579">
        <v>22.5</v>
      </c>
      <c r="CU416" s="2">
        <f t="shared" si="41"/>
        <v>13</v>
      </c>
      <c r="CV416" s="2" t="str">
        <f t="shared" si="38"/>
        <v>Content &amp; SEO - Content Strategist</v>
      </c>
      <c r="CW416" s="2" t="str">
        <f>_xlfn.XLOOKUP(CL416,'[1]Rates &amp; Drop Downs INT'!D$373:D$430,'[1]Rates &amp; Drop Downs INT'!C$373:C$430,"X",1)</f>
        <v>Cloud &amp; Engineering - 2 | Associate Engineer</v>
      </c>
    </row>
    <row r="417" spans="2:101" ht="13.05" customHeight="1" x14ac:dyDescent="0.25">
      <c r="B417" s="346" t="s">
        <v>269</v>
      </c>
      <c r="C417" s="346" t="s">
        <v>1481</v>
      </c>
      <c r="D417" s="346"/>
      <c r="E417" s="346"/>
      <c r="F417" s="346" t="s">
        <v>1518</v>
      </c>
      <c r="G417" s="347">
        <v>13</v>
      </c>
      <c r="H417" s="346" t="s">
        <v>120</v>
      </c>
      <c r="I417" s="348">
        <v>36</v>
      </c>
      <c r="J417" s="351">
        <v>2</v>
      </c>
      <c r="CG417" s="2" t="s">
        <v>325</v>
      </c>
      <c r="CH417" s="2" t="s">
        <v>3333</v>
      </c>
      <c r="CI417" s="2" t="s">
        <v>1174</v>
      </c>
      <c r="CJ417" s="2" t="s">
        <v>1174</v>
      </c>
      <c r="CK417" s="2" t="s">
        <v>749</v>
      </c>
      <c r="CL417" s="2" t="s">
        <v>749</v>
      </c>
      <c r="CM417" s="39">
        <v>2</v>
      </c>
      <c r="CN417" s="2" t="str">
        <f t="shared" si="39"/>
        <v>TADigital NA Consulting | Content &amp; SEO - Content Strategist</v>
      </c>
      <c r="CO417" s="2" t="str">
        <f t="shared" si="37"/>
        <v>TADigital India Consulting | Cloud &amp; Engineering - L2 / B1-B3 | Associate Engineer</v>
      </c>
      <c r="CP417" s="1579">
        <v>170</v>
      </c>
      <c r="CQ417" s="1579">
        <v>70</v>
      </c>
      <c r="CR417" s="1579">
        <v>55</v>
      </c>
      <c r="CS417" s="1579">
        <f t="shared" si="40"/>
        <v>14.760000000000002</v>
      </c>
      <c r="CT417" s="1579">
        <v>18</v>
      </c>
      <c r="CU417" s="2">
        <f t="shared" si="41"/>
        <v>13</v>
      </c>
      <c r="CV417" s="2" t="str">
        <f t="shared" si="38"/>
        <v>Content &amp; SEO - Content Strategist</v>
      </c>
      <c r="CW417" s="2" t="str">
        <f>_xlfn.XLOOKUP(CL417,'[1]Rates &amp; Drop Downs INT'!D$373:D$430,'[1]Rates &amp; Drop Downs INT'!C$373:C$430,"X",1)</f>
        <v>Cloud &amp; Engineering - 2 | Associate Engineer</v>
      </c>
    </row>
    <row r="418" spans="2:101" ht="13.05" customHeight="1" x14ac:dyDescent="0.25">
      <c r="B418" s="4" t="s">
        <v>269</v>
      </c>
      <c r="C418" s="4" t="s">
        <v>1482</v>
      </c>
      <c r="D418" s="4"/>
      <c r="E418" s="4"/>
      <c r="F418" s="4" t="s">
        <v>1519</v>
      </c>
      <c r="G418" s="343">
        <v>20</v>
      </c>
      <c r="H418" s="4" t="s">
        <v>120</v>
      </c>
      <c r="I418" s="344">
        <v>55</v>
      </c>
      <c r="J418" s="345">
        <v>2</v>
      </c>
      <c r="CG418" s="2" t="s">
        <v>325</v>
      </c>
      <c r="CH418" s="2" t="s">
        <v>3333</v>
      </c>
      <c r="CI418" s="2" t="s">
        <v>1174</v>
      </c>
      <c r="CJ418" s="2" t="s">
        <v>1174</v>
      </c>
      <c r="CK418" s="2" t="s">
        <v>3380</v>
      </c>
      <c r="CL418" s="2" t="s">
        <v>749</v>
      </c>
      <c r="CM418" s="39">
        <v>4</v>
      </c>
      <c r="CN418" s="2" t="str">
        <f t="shared" si="39"/>
        <v>TADigital NA Consulting - Sr. Project Manager</v>
      </c>
      <c r="CO418" s="2" t="str">
        <f t="shared" si="37"/>
        <v>TADigital India Consulting | Cloud &amp; Engineering - L2 / B1-B3 | Associate Engineer</v>
      </c>
      <c r="CP418" s="1579">
        <v>235</v>
      </c>
      <c r="CQ418" s="1579">
        <v>120</v>
      </c>
      <c r="CR418" s="1579">
        <v>80</v>
      </c>
      <c r="CS418" s="1579">
        <f t="shared" si="40"/>
        <v>34.85</v>
      </c>
      <c r="CT418" s="1579">
        <v>42.5</v>
      </c>
      <c r="CU418" s="2">
        <f t="shared" si="41"/>
        <v>13</v>
      </c>
      <c r="CV418" s="2" t="str">
        <f t="shared" si="38"/>
        <v>Sr. Project Manager</v>
      </c>
      <c r="CW418" s="2" t="str">
        <f>_xlfn.XLOOKUP(CL418,'[1]Rates &amp; Drop Downs INT'!D$373:D$430,'[1]Rates &amp; Drop Downs INT'!C$373:C$430,"X",1)</f>
        <v>Cloud &amp; Engineering - 2 | Associate Engineer</v>
      </c>
    </row>
    <row r="419" spans="2:101" ht="13.05" customHeight="1" x14ac:dyDescent="0.25">
      <c r="B419" s="346" t="s">
        <v>269</v>
      </c>
      <c r="C419" s="346" t="s">
        <v>1535</v>
      </c>
      <c r="D419" s="346"/>
      <c r="E419" s="346"/>
      <c r="F419" s="346" t="s">
        <v>1576</v>
      </c>
      <c r="G419" s="347">
        <v>35</v>
      </c>
      <c r="H419" s="346" t="s">
        <v>120</v>
      </c>
      <c r="I419" s="348">
        <v>78</v>
      </c>
      <c r="J419" s="351">
        <v>3</v>
      </c>
      <c r="CG419" s="2" t="s">
        <v>325</v>
      </c>
      <c r="CH419" s="2" t="s">
        <v>3333</v>
      </c>
      <c r="CI419" s="2" t="s">
        <v>1174</v>
      </c>
      <c r="CJ419" s="2" t="s">
        <v>1174</v>
      </c>
      <c r="CK419" s="2" t="s">
        <v>3381</v>
      </c>
      <c r="CL419" s="2" t="s">
        <v>749</v>
      </c>
      <c r="CM419" s="39">
        <v>4</v>
      </c>
      <c r="CN419" s="2" t="str">
        <f t="shared" si="39"/>
        <v>TADigital NA Consulting - Sr. Project Manager</v>
      </c>
      <c r="CO419" s="2" t="str">
        <f t="shared" si="37"/>
        <v>TADigital India Consulting | Cloud &amp; Engineering - L2 / B1-B3 | Associate Engineer</v>
      </c>
      <c r="CP419" s="1579">
        <v>235</v>
      </c>
      <c r="CQ419" s="1579">
        <v>120</v>
      </c>
      <c r="CR419" s="1579">
        <v>80</v>
      </c>
      <c r="CS419" s="1579">
        <f t="shared" si="40"/>
        <v>34.85</v>
      </c>
      <c r="CT419" s="1579">
        <v>42.5</v>
      </c>
      <c r="CU419" s="2">
        <f t="shared" si="41"/>
        <v>13</v>
      </c>
      <c r="CV419" s="2" t="str">
        <f t="shared" si="38"/>
        <v>Sr. Project Manager</v>
      </c>
      <c r="CW419" s="2" t="str">
        <f>_xlfn.XLOOKUP(CL419,'[1]Rates &amp; Drop Downs INT'!D$373:D$430,'[1]Rates &amp; Drop Downs INT'!C$373:C$430,"X",1)</f>
        <v>Cloud &amp; Engineering - 2 | Associate Engineer</v>
      </c>
    </row>
    <row r="420" spans="2:101" ht="13.05" customHeight="1" x14ac:dyDescent="0.25">
      <c r="B420" s="4" t="s">
        <v>269</v>
      </c>
      <c r="C420" s="4" t="s">
        <v>1536</v>
      </c>
      <c r="D420" s="4"/>
      <c r="E420" s="4"/>
      <c r="F420" s="4" t="s">
        <v>1577</v>
      </c>
      <c r="G420" s="343">
        <v>45</v>
      </c>
      <c r="H420" s="4" t="s">
        <v>120</v>
      </c>
      <c r="I420" s="344">
        <v>94</v>
      </c>
      <c r="J420" s="345">
        <v>3</v>
      </c>
      <c r="CG420" s="2" t="s">
        <v>325</v>
      </c>
      <c r="CH420" s="2" t="s">
        <v>3333</v>
      </c>
      <c r="CI420" s="2" t="s">
        <v>1174</v>
      </c>
      <c r="CJ420" s="2" t="s">
        <v>1174</v>
      </c>
      <c r="CK420" s="2" t="s">
        <v>3382</v>
      </c>
      <c r="CL420" s="2" t="s">
        <v>3568</v>
      </c>
      <c r="CM420" s="39">
        <v>2</v>
      </c>
      <c r="CN420" s="2" t="str">
        <f t="shared" si="39"/>
        <v>TADigital NA Consulting | Content &amp; SEO - Associate Content Strategist</v>
      </c>
      <c r="CO420" s="2" t="str">
        <f t="shared" si="37"/>
        <v>TADigital India Consulting | Cloud &amp; Engineering - L2 / B1-B3 | Associate Engineer</v>
      </c>
      <c r="CP420" s="1579">
        <v>160</v>
      </c>
      <c r="CQ420" s="1579">
        <v>90</v>
      </c>
      <c r="CR420" s="1579">
        <v>55</v>
      </c>
      <c r="CS420" s="1579">
        <f t="shared" si="40"/>
        <v>14.760000000000002</v>
      </c>
      <c r="CT420" s="1579">
        <v>18</v>
      </c>
      <c r="CU420" s="2">
        <f t="shared" si="41"/>
        <v>13</v>
      </c>
      <c r="CV420" s="2" t="str">
        <f t="shared" si="38"/>
        <v>Content &amp; SEO - Associate Content Strategist</v>
      </c>
      <c r="CW420" s="2" t="str">
        <f>_xlfn.XLOOKUP(CL420,'[1]Rates &amp; Drop Downs INT'!D$373:D$430,'[1]Rates &amp; Drop Downs INT'!C$373:C$430,"X",1)</f>
        <v>Cloud &amp; Engineering - 2 | Associate Engineer</v>
      </c>
    </row>
    <row r="421" spans="2:101" ht="13.05" customHeight="1" x14ac:dyDescent="0.25">
      <c r="B421" s="346" t="s">
        <v>269</v>
      </c>
      <c r="C421" s="346" t="s">
        <v>1610</v>
      </c>
      <c r="D421" s="346"/>
      <c r="E421" s="346"/>
      <c r="F421" s="346" t="s">
        <v>1601</v>
      </c>
      <c r="G421" s="347">
        <v>57</v>
      </c>
      <c r="H421" s="346" t="s">
        <v>120</v>
      </c>
      <c r="I421" s="348">
        <v>114</v>
      </c>
      <c r="J421" s="351">
        <v>4</v>
      </c>
      <c r="CG421" s="2" t="s">
        <v>325</v>
      </c>
      <c r="CH421" s="2" t="s">
        <v>3333</v>
      </c>
      <c r="CI421" s="2" t="s">
        <v>1223</v>
      </c>
      <c r="CJ421" s="2" t="s">
        <v>3339</v>
      </c>
      <c r="CK421" s="2" t="s">
        <v>3351</v>
      </c>
      <c r="CL421" s="2" t="s">
        <v>3545</v>
      </c>
      <c r="CM421" s="39">
        <v>2</v>
      </c>
      <c r="CN421" s="2" t="str">
        <f t="shared" si="39"/>
        <v>TADigital NA Consulting | Content &amp; SEO - Associate Web Content Analyst</v>
      </c>
      <c r="CO421" s="2" t="str">
        <f>_xlfn.XLOOKUP(CW421,$C$373:$C$430,$F$373:$F$430,"X",1)</f>
        <v>TADigital India Consulting | Cloud &amp; Engineering - L2 / B1-B3 | Associate Engineer</v>
      </c>
      <c r="CP421" s="1579">
        <v>0</v>
      </c>
      <c r="CQ421" s="1579">
        <v>0</v>
      </c>
      <c r="CR421" s="1579">
        <v>35</v>
      </c>
      <c r="CS421" s="1579">
        <f t="shared" si="40"/>
        <v>10.66</v>
      </c>
      <c r="CT421" s="1579">
        <v>13</v>
      </c>
      <c r="CU421" s="2">
        <f t="shared" si="41"/>
        <v>13</v>
      </c>
      <c r="CV421" s="2" t="str">
        <f t="shared" si="38"/>
        <v>Content &amp; SEO - Associate Web Content Analyst</v>
      </c>
      <c r="CW421" s="2" t="str">
        <f>_xlfn.XLOOKUP(CL421,'[1]Rates &amp; Drop Downs INT'!D$373:D$430,'[1]Rates &amp; Drop Downs INT'!C$373:C$430,"X",1)</f>
        <v>Cloud &amp; Engineering - 2 | Associate Engineer</v>
      </c>
    </row>
    <row r="422" spans="2:101" ht="13.05" customHeight="1" x14ac:dyDescent="0.25">
      <c r="B422" s="4" t="s">
        <v>269</v>
      </c>
      <c r="C422" s="4" t="s">
        <v>1620</v>
      </c>
      <c r="D422" s="4"/>
      <c r="E422" s="4"/>
      <c r="F422" s="4" t="s">
        <v>1642</v>
      </c>
      <c r="G422" s="343">
        <v>69</v>
      </c>
      <c r="H422" s="4" t="s">
        <v>120</v>
      </c>
      <c r="I422" s="344">
        <v>126</v>
      </c>
      <c r="J422" s="355">
        <v>5</v>
      </c>
      <c r="CG422" s="2" t="s">
        <v>325</v>
      </c>
      <c r="CH422" s="2" t="s">
        <v>3333</v>
      </c>
      <c r="CI422" s="2" t="s">
        <v>1223</v>
      </c>
      <c r="CJ422" s="2" t="s">
        <v>3339</v>
      </c>
      <c r="CK422" s="2" t="s">
        <v>720</v>
      </c>
      <c r="CL422" s="2" t="s">
        <v>3546</v>
      </c>
      <c r="CM422" s="39">
        <v>5</v>
      </c>
      <c r="CN422" s="2" t="str">
        <f t="shared" si="39"/>
        <v>TADigital NA | Management - Associate Practice Director</v>
      </c>
      <c r="CO422" s="2" t="str">
        <f t="shared" ref="CO422:CO485" si="42">_xlfn.XLOOKUP(CW422,$C$373:$C$430,$F$373:$F$430,"X",1)</f>
        <v>TADigital India Consulting | Cloud &amp; Engineering - L2 / B1-B3 | Associate Engineer</v>
      </c>
      <c r="CP422" s="1579">
        <v>290</v>
      </c>
      <c r="CQ422" s="1579">
        <v>140</v>
      </c>
      <c r="CR422" s="1579">
        <v>105</v>
      </c>
      <c r="CS422" s="1579">
        <f t="shared" si="40"/>
        <v>45.1</v>
      </c>
      <c r="CT422" s="1579">
        <v>55</v>
      </c>
      <c r="CU422" s="2">
        <f t="shared" si="41"/>
        <v>13</v>
      </c>
      <c r="CV422" s="2" t="str">
        <f t="shared" si="38"/>
        <v>Management - Associate Practice Director</v>
      </c>
      <c r="CW422" s="2" t="str">
        <f>_xlfn.XLOOKUP(CL422,'[1]Rates &amp; Drop Downs INT'!D$373:D$430,'[1]Rates &amp; Drop Downs INT'!C$373:C$430,"X",1)</f>
        <v>Cloud &amp; Engineering - 2 | Associate Engineer</v>
      </c>
    </row>
    <row r="423" spans="2:101" ht="13.05" customHeight="1" x14ac:dyDescent="0.25">
      <c r="B423" s="346" t="s">
        <v>269</v>
      </c>
      <c r="C423" s="346" t="s">
        <v>1668</v>
      </c>
      <c r="D423" s="346"/>
      <c r="E423" s="346"/>
      <c r="F423" s="346" t="s">
        <v>1660</v>
      </c>
      <c r="G423" s="347">
        <v>81</v>
      </c>
      <c r="H423" s="346" t="s">
        <v>120</v>
      </c>
      <c r="I423" s="348">
        <v>135</v>
      </c>
      <c r="J423" s="351">
        <v>6</v>
      </c>
      <c r="CG423" s="2" t="s">
        <v>325</v>
      </c>
      <c r="CH423" s="2" t="s">
        <v>3333</v>
      </c>
      <c r="CI423" s="2" t="s">
        <v>1223</v>
      </c>
      <c r="CJ423" s="2" t="s">
        <v>3339</v>
      </c>
      <c r="CK423" s="2" t="s">
        <v>532</v>
      </c>
      <c r="CL423" s="2" t="s">
        <v>3547</v>
      </c>
      <c r="CM423" s="39">
        <v>2</v>
      </c>
      <c r="CN423" s="2" t="str">
        <f t="shared" si="39"/>
        <v>TADigital NA Consulting | Content &amp; SEO - Associate Content Strategist</v>
      </c>
      <c r="CO423" s="2" t="str">
        <f t="shared" si="42"/>
        <v>TADigital India Consulting | Cloud &amp; Engineering - L2 / B1-B3 | Associate Engineer</v>
      </c>
      <c r="CP423" s="1579">
        <v>160</v>
      </c>
      <c r="CQ423" s="1579">
        <v>80</v>
      </c>
      <c r="CR423" s="1579">
        <v>55</v>
      </c>
      <c r="CS423" s="1579">
        <f t="shared" si="40"/>
        <v>14.760000000000002</v>
      </c>
      <c r="CT423" s="1579">
        <v>18</v>
      </c>
      <c r="CU423" s="2">
        <f t="shared" si="41"/>
        <v>13</v>
      </c>
      <c r="CV423" s="2" t="str">
        <f t="shared" si="38"/>
        <v>Content &amp; SEO - Associate Content Strategist</v>
      </c>
      <c r="CW423" s="2" t="str">
        <f>_xlfn.XLOOKUP(CL423,'[1]Rates &amp; Drop Downs INT'!D$373:D$430,'[1]Rates &amp; Drop Downs INT'!C$373:C$430,"X",1)</f>
        <v>Cloud &amp; Engineering - 2 | Associate Engineer</v>
      </c>
    </row>
    <row r="424" spans="2:101" ht="13.05" customHeight="1" x14ac:dyDescent="0.25">
      <c r="B424" s="4" t="s">
        <v>269</v>
      </c>
      <c r="C424" s="4" t="s">
        <v>1483</v>
      </c>
      <c r="D424" s="4"/>
      <c r="E424" s="4"/>
      <c r="F424" s="4" t="s">
        <v>1520</v>
      </c>
      <c r="G424" s="343">
        <v>13</v>
      </c>
      <c r="H424" s="4" t="s">
        <v>120</v>
      </c>
      <c r="I424" s="344">
        <v>36</v>
      </c>
      <c r="J424" s="345">
        <v>2</v>
      </c>
      <c r="CG424" s="2" t="s">
        <v>325</v>
      </c>
      <c r="CH424" s="2" t="s">
        <v>3333</v>
      </c>
      <c r="CI424" s="2" t="s">
        <v>1223</v>
      </c>
      <c r="CJ424" s="2" t="s">
        <v>3339</v>
      </c>
      <c r="CK424" s="2" t="s">
        <v>542</v>
      </c>
      <c r="CL424" s="2" t="s">
        <v>3548</v>
      </c>
      <c r="CM424" s="39">
        <v>5</v>
      </c>
      <c r="CN424" s="2" t="str">
        <f t="shared" si="39"/>
        <v>TADigital NA | Management - Associate Practice Director</v>
      </c>
      <c r="CO424" s="2" t="str">
        <f t="shared" si="42"/>
        <v>TADigital India Consulting | Cloud &amp; Engineering - L2 / B1-B3 | Associate Engineer</v>
      </c>
      <c r="CP424" s="1579">
        <v>290</v>
      </c>
      <c r="CQ424" s="1579">
        <v>167.5</v>
      </c>
      <c r="CR424" s="1579">
        <v>125</v>
      </c>
      <c r="CS424" s="1579">
        <f t="shared" si="40"/>
        <v>51.250000000000007</v>
      </c>
      <c r="CT424" s="1579">
        <v>62.5</v>
      </c>
      <c r="CU424" s="2">
        <f t="shared" si="41"/>
        <v>13</v>
      </c>
      <c r="CV424" s="2" t="str">
        <f t="shared" si="38"/>
        <v>Management - Associate Practice Director</v>
      </c>
      <c r="CW424" s="2" t="str">
        <f>_xlfn.XLOOKUP(CL424,'[1]Rates &amp; Drop Downs INT'!D$373:D$430,'[1]Rates &amp; Drop Downs INT'!C$373:C$430,"X",1)</f>
        <v>Cloud &amp; Engineering - 2 | Associate Engineer</v>
      </c>
    </row>
    <row r="425" spans="2:101" ht="13.05" customHeight="1" x14ac:dyDescent="0.25">
      <c r="B425" s="346" t="s">
        <v>269</v>
      </c>
      <c r="C425" s="346" t="s">
        <v>1484</v>
      </c>
      <c r="D425" s="346"/>
      <c r="E425" s="346"/>
      <c r="F425" s="346" t="s">
        <v>1521</v>
      </c>
      <c r="G425" s="347">
        <v>24</v>
      </c>
      <c r="H425" s="346" t="s">
        <v>120</v>
      </c>
      <c r="I425" s="348">
        <v>65</v>
      </c>
      <c r="J425" s="351">
        <v>2</v>
      </c>
      <c r="CG425" s="2" t="s">
        <v>325</v>
      </c>
      <c r="CH425" s="2" t="s">
        <v>3333</v>
      </c>
      <c r="CI425" s="2" t="s">
        <v>1223</v>
      </c>
      <c r="CJ425" s="2" t="s">
        <v>3339</v>
      </c>
      <c r="CK425" s="2" t="s">
        <v>3352</v>
      </c>
      <c r="CL425" s="2" t="s">
        <v>3549</v>
      </c>
      <c r="CM425" s="39">
        <v>5</v>
      </c>
      <c r="CN425" s="2" t="str">
        <f t="shared" si="39"/>
        <v>TADigital NA | Management - Practice Director / Delivery Director</v>
      </c>
      <c r="CO425" s="2" t="str">
        <f t="shared" si="42"/>
        <v>TADigital India Consulting | Cloud &amp; Engineering - L2 / B1-B3 | Associate Engineer</v>
      </c>
      <c r="CP425" s="1579">
        <v>315</v>
      </c>
      <c r="CQ425" s="1579">
        <v>165</v>
      </c>
      <c r="CR425" s="1579">
        <v>115</v>
      </c>
      <c r="CS425" s="1579">
        <f t="shared" si="40"/>
        <v>45.1</v>
      </c>
      <c r="CT425" s="1579">
        <v>55</v>
      </c>
      <c r="CU425" s="2">
        <f t="shared" si="41"/>
        <v>13</v>
      </c>
      <c r="CV425" s="2" t="str">
        <f t="shared" si="38"/>
        <v>Management - Practice Director / Delivery Director</v>
      </c>
      <c r="CW425" s="2" t="str">
        <f>_xlfn.XLOOKUP(CL425,'[1]Rates &amp; Drop Downs INT'!D$373:D$430,'[1]Rates &amp; Drop Downs INT'!C$373:C$430,"X",1)</f>
        <v>Cloud &amp; Engineering - 2 | Associate Engineer</v>
      </c>
    </row>
    <row r="426" spans="2:101" ht="13.05" customHeight="1" x14ac:dyDescent="0.25">
      <c r="B426" s="4" t="s">
        <v>269</v>
      </c>
      <c r="C426" s="4" t="s">
        <v>1537</v>
      </c>
      <c r="D426" s="4"/>
      <c r="E426" s="4"/>
      <c r="F426" s="4" t="s">
        <v>1578</v>
      </c>
      <c r="G426" s="343">
        <v>43</v>
      </c>
      <c r="H426" s="4" t="s">
        <v>120</v>
      </c>
      <c r="I426" s="344">
        <v>96</v>
      </c>
      <c r="J426" s="345">
        <v>3</v>
      </c>
      <c r="CG426" s="2" t="s">
        <v>325</v>
      </c>
      <c r="CH426" s="2" t="s">
        <v>3333</v>
      </c>
      <c r="CI426" s="2" t="s">
        <v>1223</v>
      </c>
      <c r="CJ426" s="2" t="s">
        <v>3339</v>
      </c>
      <c r="CK426" s="2" t="s">
        <v>446</v>
      </c>
      <c r="CL426" s="2" t="s">
        <v>3546</v>
      </c>
      <c r="CM426" s="39">
        <v>4</v>
      </c>
      <c r="CN426" s="2" t="str">
        <f t="shared" si="39"/>
        <v>TADigital NA Consulting - Sr. Project Manager</v>
      </c>
      <c r="CO426" s="2" t="str">
        <f t="shared" si="42"/>
        <v>TADigital India Consulting | Cloud &amp; Engineering - L2 / B1-B3 | Associate Engineer</v>
      </c>
      <c r="CP426" s="1579">
        <v>235</v>
      </c>
      <c r="CQ426" s="1579">
        <v>130</v>
      </c>
      <c r="CR426" s="1579">
        <v>80</v>
      </c>
      <c r="CS426" s="1579">
        <f t="shared" si="40"/>
        <v>38.950000000000003</v>
      </c>
      <c r="CT426" s="1579">
        <v>47.5</v>
      </c>
      <c r="CU426" s="2">
        <f t="shared" si="41"/>
        <v>13</v>
      </c>
      <c r="CV426" s="2" t="str">
        <f t="shared" si="38"/>
        <v>Sr. Project Manager</v>
      </c>
      <c r="CW426" s="2" t="str">
        <f>_xlfn.XLOOKUP(CL426,'[1]Rates &amp; Drop Downs INT'!D$373:D$430,'[1]Rates &amp; Drop Downs INT'!C$373:C$430,"X",1)</f>
        <v>Cloud &amp; Engineering - 2 | Associate Engineer</v>
      </c>
    </row>
    <row r="427" spans="2:101" ht="13.05" customHeight="1" x14ac:dyDescent="0.25">
      <c r="B427" s="346" t="s">
        <v>269</v>
      </c>
      <c r="C427" s="346" t="s">
        <v>1538</v>
      </c>
      <c r="D427" s="346"/>
      <c r="E427" s="346"/>
      <c r="F427" s="346" t="s">
        <v>1579</v>
      </c>
      <c r="G427" s="347">
        <v>56</v>
      </c>
      <c r="H427" s="346" t="s">
        <v>120</v>
      </c>
      <c r="I427" s="348">
        <v>117</v>
      </c>
      <c r="J427" s="351">
        <v>3</v>
      </c>
      <c r="CG427" s="2" t="s">
        <v>325</v>
      </c>
      <c r="CH427" s="2" t="s">
        <v>3333</v>
      </c>
      <c r="CI427" s="2" t="s">
        <v>1223</v>
      </c>
      <c r="CJ427" s="2" t="s">
        <v>3339</v>
      </c>
      <c r="CK427" s="2" t="s">
        <v>3353</v>
      </c>
      <c r="CL427" s="2" t="s">
        <v>3549</v>
      </c>
      <c r="CM427" s="39">
        <v>6</v>
      </c>
      <c r="CN427" s="2" t="str">
        <f t="shared" si="39"/>
        <v>TADigital NA | Management - Practice VP / Delivery VP</v>
      </c>
      <c r="CO427" s="2" t="str">
        <f t="shared" si="42"/>
        <v>TADigital India Consulting | Cloud &amp; Engineering - L2 / B1-B3 | Associate Engineer</v>
      </c>
      <c r="CP427" s="1579">
        <v>370</v>
      </c>
      <c r="CQ427" s="1579">
        <v>172.5</v>
      </c>
      <c r="CR427" s="1579">
        <v>135</v>
      </c>
      <c r="CS427" s="1579">
        <f t="shared" si="40"/>
        <v>51.250000000000007</v>
      </c>
      <c r="CT427" s="1579">
        <v>62.5</v>
      </c>
      <c r="CU427" s="2">
        <f t="shared" si="41"/>
        <v>13</v>
      </c>
      <c r="CV427" s="2" t="str">
        <f t="shared" si="38"/>
        <v>Management - Practice VP / Delivery VP</v>
      </c>
      <c r="CW427" s="2" t="str">
        <f>_xlfn.XLOOKUP(CL427,'[1]Rates &amp; Drop Downs INT'!D$373:D$430,'[1]Rates &amp; Drop Downs INT'!C$373:C$430,"X",1)</f>
        <v>Cloud &amp; Engineering - 2 | Associate Engineer</v>
      </c>
    </row>
    <row r="428" spans="2:101" ht="13.05" customHeight="1" x14ac:dyDescent="0.25">
      <c r="B428" s="4" t="s">
        <v>269</v>
      </c>
      <c r="C428" s="4" t="s">
        <v>1611</v>
      </c>
      <c r="D428" s="4"/>
      <c r="E428" s="4"/>
      <c r="F428" s="4" t="s">
        <v>1602</v>
      </c>
      <c r="G428" s="343">
        <v>69</v>
      </c>
      <c r="H428" s="4" t="s">
        <v>120</v>
      </c>
      <c r="I428" s="344">
        <v>138</v>
      </c>
      <c r="J428" s="345">
        <v>4</v>
      </c>
      <c r="CG428" s="2" t="s">
        <v>325</v>
      </c>
      <c r="CH428" s="2" t="s">
        <v>3333</v>
      </c>
      <c r="CI428" s="2" t="s">
        <v>1223</v>
      </c>
      <c r="CJ428" s="2" t="s">
        <v>3339</v>
      </c>
      <c r="CK428" s="2" t="s">
        <v>534</v>
      </c>
      <c r="CL428" s="2" t="s">
        <v>3550</v>
      </c>
      <c r="CM428" s="39">
        <v>2</v>
      </c>
      <c r="CN428" s="2" t="str">
        <f t="shared" si="39"/>
        <v>TADigital NA Consulting | Content &amp; SEO - Content Strategist</v>
      </c>
      <c r="CO428" s="2" t="str">
        <f t="shared" si="42"/>
        <v>TADigital India Consulting | Cloud &amp; Engineering - L2 / B1-B3 | Associate Engineer</v>
      </c>
      <c r="CP428" s="1579">
        <v>170</v>
      </c>
      <c r="CQ428" s="1579">
        <v>82.5</v>
      </c>
      <c r="CR428" s="1579">
        <v>65</v>
      </c>
      <c r="CS428" s="1579">
        <f t="shared" si="40"/>
        <v>18.450000000000003</v>
      </c>
      <c r="CT428" s="1579">
        <v>22.5</v>
      </c>
      <c r="CU428" s="2">
        <f t="shared" si="41"/>
        <v>13</v>
      </c>
      <c r="CV428" s="2" t="str">
        <f t="shared" si="38"/>
        <v>Content &amp; SEO - Content Strategist</v>
      </c>
      <c r="CW428" s="2" t="str">
        <f>_xlfn.XLOOKUP(CL428,'[1]Rates &amp; Drop Downs INT'!D$373:D$430,'[1]Rates &amp; Drop Downs INT'!C$373:C$430,"X",1)</f>
        <v>Cloud &amp; Engineering - 2 | Associate Engineer</v>
      </c>
    </row>
    <row r="429" spans="2:101" ht="13.05" customHeight="1" x14ac:dyDescent="0.25">
      <c r="B429" s="346" t="s">
        <v>269</v>
      </c>
      <c r="C429" s="346" t="s">
        <v>1621</v>
      </c>
      <c r="D429" s="346"/>
      <c r="E429" s="346"/>
      <c r="F429" s="346" t="s">
        <v>1643</v>
      </c>
      <c r="G429" s="347">
        <v>81</v>
      </c>
      <c r="H429" s="346" t="s">
        <v>120</v>
      </c>
      <c r="I429" s="348">
        <v>148</v>
      </c>
      <c r="J429" s="353">
        <v>5</v>
      </c>
      <c r="CG429" s="2" t="s">
        <v>325</v>
      </c>
      <c r="CH429" s="2" t="s">
        <v>3333</v>
      </c>
      <c r="CI429" s="2" t="s">
        <v>1223</v>
      </c>
      <c r="CJ429" s="2" t="s">
        <v>3339</v>
      </c>
      <c r="CK429" s="2" t="s">
        <v>3354</v>
      </c>
      <c r="CL429" s="2" t="s">
        <v>3549</v>
      </c>
      <c r="CM429" s="39">
        <v>5</v>
      </c>
      <c r="CN429" s="2" t="str">
        <f t="shared" si="39"/>
        <v>TADigital NA | Management - Sr. Practice Director / Sr. Delivery Director</v>
      </c>
      <c r="CO429" s="2" t="str">
        <f t="shared" si="42"/>
        <v>TADigital India Consulting | Cloud &amp; Engineering - L2 / B1-B3 | Associate Engineer</v>
      </c>
      <c r="CP429" s="1579">
        <v>340</v>
      </c>
      <c r="CQ429" s="1579">
        <v>170</v>
      </c>
      <c r="CR429" s="1579">
        <v>125</v>
      </c>
      <c r="CS429" s="1579">
        <f t="shared" si="40"/>
        <v>49.2</v>
      </c>
      <c r="CT429" s="1579">
        <v>60</v>
      </c>
      <c r="CU429" s="2">
        <f t="shared" si="41"/>
        <v>13</v>
      </c>
      <c r="CV429" s="2" t="str">
        <f t="shared" si="38"/>
        <v>Management - Sr. Practice Director / Sr. Delivery Director</v>
      </c>
      <c r="CW429" s="2" t="str">
        <f>_xlfn.XLOOKUP(CL429,'[1]Rates &amp; Drop Downs INT'!D$373:D$430,'[1]Rates &amp; Drop Downs INT'!C$373:C$430,"X",1)</f>
        <v>Cloud &amp; Engineering - 2 | Associate Engineer</v>
      </c>
    </row>
    <row r="430" spans="2:101" ht="13.05" customHeight="1" x14ac:dyDescent="0.25">
      <c r="B430" s="4" t="s">
        <v>269</v>
      </c>
      <c r="C430" s="4" t="s">
        <v>1669</v>
      </c>
      <c r="D430" s="4"/>
      <c r="E430" s="4"/>
      <c r="F430" s="4" t="s">
        <v>1661</v>
      </c>
      <c r="G430" s="343">
        <v>99</v>
      </c>
      <c r="H430" s="4" t="s">
        <v>120</v>
      </c>
      <c r="I430" s="344">
        <v>165</v>
      </c>
      <c r="J430" s="345">
        <v>6</v>
      </c>
      <c r="CG430" s="2" t="s">
        <v>325</v>
      </c>
      <c r="CH430" s="2" t="s">
        <v>3333</v>
      </c>
      <c r="CI430" s="2" t="s">
        <v>1223</v>
      </c>
      <c r="CJ430" s="2" t="s">
        <v>3339</v>
      </c>
      <c r="CK430" s="2" t="s">
        <v>448</v>
      </c>
      <c r="CL430" s="2" t="s">
        <v>3546</v>
      </c>
      <c r="CM430" s="39">
        <v>5</v>
      </c>
      <c r="CN430" s="2" t="str">
        <f t="shared" si="39"/>
        <v>TADigital NA Consulting - Delivery Manager</v>
      </c>
      <c r="CO430" s="2" t="str">
        <f t="shared" si="42"/>
        <v>TADigital India Consulting | Cloud &amp; Engineering - L2 / B1-B3 | Associate Engineer</v>
      </c>
      <c r="CP430" s="1579">
        <v>265</v>
      </c>
      <c r="CQ430" s="1579">
        <v>137.5</v>
      </c>
      <c r="CR430" s="1579">
        <v>90</v>
      </c>
      <c r="CS430" s="1579">
        <f t="shared" si="40"/>
        <v>38.950000000000003</v>
      </c>
      <c r="CT430" s="1579">
        <v>47.5</v>
      </c>
      <c r="CU430" s="2">
        <f t="shared" si="41"/>
        <v>13</v>
      </c>
      <c r="CV430" s="2" t="str">
        <f t="shared" si="38"/>
        <v>Delivery Manager</v>
      </c>
      <c r="CW430" s="2" t="str">
        <f>_xlfn.XLOOKUP(CL430,'[1]Rates &amp; Drop Downs INT'!D$373:D$430,'[1]Rates &amp; Drop Downs INT'!C$373:C$430,"X",1)</f>
        <v>Cloud &amp; Engineering - 2 | Associate Engineer</v>
      </c>
    </row>
    <row r="431" spans="2:101" ht="13.05" customHeight="1" x14ac:dyDescent="0.25">
      <c r="G431" s="357"/>
      <c r="I431" s="75"/>
      <c r="J431" s="77"/>
      <c r="CG431" s="2" t="s">
        <v>325</v>
      </c>
      <c r="CH431" s="2" t="s">
        <v>3333</v>
      </c>
      <c r="CI431" s="2" t="s">
        <v>1223</v>
      </c>
      <c r="CJ431" s="2" t="s">
        <v>3339</v>
      </c>
      <c r="CK431" s="2" t="s">
        <v>540</v>
      </c>
      <c r="CL431" s="2" t="s">
        <v>538</v>
      </c>
      <c r="CM431" s="39">
        <v>5</v>
      </c>
      <c r="CN431" s="2" t="str">
        <f t="shared" si="39"/>
        <v>TADigital NA Digital - Sr. Technical Architect</v>
      </c>
      <c r="CO431" s="2" t="str">
        <f t="shared" si="42"/>
        <v>TADigital India Consulting | Cloud &amp; Engineering - L2 / B1-B3 | Associate Engineer</v>
      </c>
      <c r="CP431" s="1579">
        <v>275</v>
      </c>
      <c r="CQ431" s="1579">
        <v>155</v>
      </c>
      <c r="CR431" s="1579">
        <v>105</v>
      </c>
      <c r="CS431" s="1579">
        <f t="shared" si="40"/>
        <v>36.900000000000006</v>
      </c>
      <c r="CT431" s="1579">
        <v>45</v>
      </c>
      <c r="CU431" s="2">
        <f t="shared" si="41"/>
        <v>13</v>
      </c>
      <c r="CV431" s="2" t="str">
        <f t="shared" si="38"/>
        <v>Sr. Technical Architect</v>
      </c>
      <c r="CW431" s="2" t="str">
        <f>_xlfn.XLOOKUP(CL431,'[1]Rates &amp; Drop Downs INT'!D$373:D$430,'[1]Rates &amp; Drop Downs INT'!C$373:C$430,"X",1)</f>
        <v>Cloud &amp; Engineering - 2 | Associate Engineer</v>
      </c>
    </row>
    <row r="432" spans="2:101" ht="13.05" customHeight="1" x14ac:dyDescent="0.25">
      <c r="G432" s="357"/>
      <c r="I432" s="75"/>
      <c r="J432" s="77"/>
      <c r="CG432" s="2" t="s">
        <v>325</v>
      </c>
      <c r="CH432" s="2" t="s">
        <v>3333</v>
      </c>
      <c r="CI432" s="2" t="s">
        <v>1223</v>
      </c>
      <c r="CJ432" s="2" t="s">
        <v>3339</v>
      </c>
      <c r="CK432" s="2" t="s">
        <v>538</v>
      </c>
      <c r="CL432" s="2" t="s">
        <v>538</v>
      </c>
      <c r="CM432" s="39">
        <v>4</v>
      </c>
      <c r="CN432" s="2" t="str">
        <f t="shared" si="39"/>
        <v>TADigital NA Consulting - Sr. Project Manager</v>
      </c>
      <c r="CO432" s="2" t="str">
        <f t="shared" si="42"/>
        <v>TADigital India Consulting | Cloud &amp; Engineering - L2 / B1-B3 | Associate Engineer</v>
      </c>
      <c r="CP432" s="1579">
        <v>235</v>
      </c>
      <c r="CQ432" s="1579">
        <v>132.5</v>
      </c>
      <c r="CR432" s="1579">
        <v>95</v>
      </c>
      <c r="CS432" s="1579">
        <f t="shared" si="40"/>
        <v>32.800000000000004</v>
      </c>
      <c r="CT432" s="1579">
        <v>40</v>
      </c>
      <c r="CU432" s="2">
        <f t="shared" si="41"/>
        <v>13</v>
      </c>
      <c r="CV432" s="2" t="str">
        <f t="shared" si="38"/>
        <v>Sr. Project Manager</v>
      </c>
      <c r="CW432" s="2" t="str">
        <f>_xlfn.XLOOKUP(CL432,'[1]Rates &amp; Drop Downs INT'!D$373:D$430,'[1]Rates &amp; Drop Downs INT'!C$373:C$430,"X",1)</f>
        <v>Cloud &amp; Engineering - 2 | Associate Engineer</v>
      </c>
    </row>
    <row r="433" spans="85:101" ht="13.05" customHeight="1" x14ac:dyDescent="0.25">
      <c r="CG433" s="2" t="s">
        <v>325</v>
      </c>
      <c r="CH433" s="2" t="s">
        <v>3333</v>
      </c>
      <c r="CI433" s="2" t="s">
        <v>1223</v>
      </c>
      <c r="CJ433" s="2" t="s">
        <v>3339</v>
      </c>
      <c r="CK433" s="2" t="s">
        <v>536</v>
      </c>
      <c r="CL433" s="2" t="s">
        <v>536</v>
      </c>
      <c r="CM433" s="39">
        <v>3</v>
      </c>
      <c r="CN433" s="2" t="str">
        <f t="shared" si="39"/>
        <v>TADigital NA Digital - Technical Lead</v>
      </c>
      <c r="CO433" s="2" t="str">
        <f t="shared" si="42"/>
        <v>TADigital India Consulting | Cloud &amp; Engineering - L2 / B1-B3 | Associate Engineer</v>
      </c>
      <c r="CP433" s="1579">
        <v>185</v>
      </c>
      <c r="CQ433" s="1579">
        <v>90</v>
      </c>
      <c r="CR433" s="1579">
        <v>85</v>
      </c>
      <c r="CS433" s="1579">
        <f t="shared" si="40"/>
        <v>24.6</v>
      </c>
      <c r="CT433" s="1579">
        <v>30</v>
      </c>
      <c r="CU433" s="2">
        <f t="shared" si="41"/>
        <v>13</v>
      </c>
      <c r="CV433" s="2" t="str">
        <f t="shared" si="38"/>
        <v>Technical Lead</v>
      </c>
      <c r="CW433" s="2" t="str">
        <f>_xlfn.XLOOKUP(CL433,'[1]Rates &amp; Drop Downs INT'!D$373:D$430,'[1]Rates &amp; Drop Downs INT'!C$373:C$430,"X",1)</f>
        <v>Cloud &amp; Engineering - 2 | Associate Engineer</v>
      </c>
    </row>
    <row r="434" spans="85:101" ht="13.05" customHeight="1" x14ac:dyDescent="0.25">
      <c r="CG434" s="2" t="s">
        <v>325</v>
      </c>
      <c r="CH434" s="2" t="s">
        <v>3333</v>
      </c>
      <c r="CI434" s="2" t="s">
        <v>3330</v>
      </c>
      <c r="CJ434" s="2" t="s">
        <v>3340</v>
      </c>
      <c r="CK434" s="2" t="s">
        <v>252</v>
      </c>
      <c r="CL434" s="2" t="s">
        <v>3564</v>
      </c>
      <c r="CM434" s="39">
        <v>2</v>
      </c>
      <c r="CN434" s="2" t="str">
        <f t="shared" si="39"/>
        <v>TADigital NA Consulting | Content &amp; SEO - Content Strategist</v>
      </c>
      <c r="CO434" s="2" t="str">
        <f t="shared" si="42"/>
        <v>TADigital India Consulting | Cloud &amp; Engineering - L2 / B1-B3 | Associate Engineer</v>
      </c>
      <c r="CP434" s="1579">
        <v>170</v>
      </c>
      <c r="CQ434" s="1579">
        <v>85</v>
      </c>
      <c r="CR434" s="1579">
        <v>45</v>
      </c>
      <c r="CS434" s="1579">
        <f t="shared" si="40"/>
        <v>14.760000000000002</v>
      </c>
      <c r="CT434" s="1579">
        <v>18</v>
      </c>
      <c r="CU434" s="2">
        <f t="shared" si="41"/>
        <v>13</v>
      </c>
      <c r="CV434" s="2" t="str">
        <f t="shared" si="38"/>
        <v>Content &amp; SEO - Content Strategist</v>
      </c>
      <c r="CW434" s="2" t="str">
        <f>_xlfn.XLOOKUP(CL434,'[1]Rates &amp; Drop Downs INT'!D$373:D$430,'[1]Rates &amp; Drop Downs INT'!C$373:C$430,"X",1)</f>
        <v>Cloud &amp; Engineering - 2 | Associate Engineer</v>
      </c>
    </row>
    <row r="435" spans="85:101" ht="13.05" customHeight="1" x14ac:dyDescent="0.25">
      <c r="CG435" s="2" t="s">
        <v>325</v>
      </c>
      <c r="CH435" s="2" t="s">
        <v>3333</v>
      </c>
      <c r="CI435" s="2" t="s">
        <v>3330</v>
      </c>
      <c r="CJ435" s="2" t="s">
        <v>3340</v>
      </c>
      <c r="CK435" s="2" t="s">
        <v>760</v>
      </c>
      <c r="CL435" s="2" t="s">
        <v>3564</v>
      </c>
      <c r="CM435" s="39">
        <v>2</v>
      </c>
      <c r="CN435" s="2" t="str">
        <f t="shared" si="39"/>
        <v>TADigital NA Consulting | Content &amp; SEO - Sr. Web Content Analyst</v>
      </c>
      <c r="CO435" s="2" t="str">
        <f t="shared" si="42"/>
        <v>TADigital India Consulting | Cloud &amp; Engineering - L2 / B1-B3 | Associate Engineer</v>
      </c>
      <c r="CP435" s="1579">
        <v>135</v>
      </c>
      <c r="CQ435" s="1579">
        <v>75</v>
      </c>
      <c r="CR435" s="1579">
        <v>35</v>
      </c>
      <c r="CS435" s="1579">
        <f t="shared" si="40"/>
        <v>10.66</v>
      </c>
      <c r="CT435" s="1579">
        <v>13</v>
      </c>
      <c r="CU435" s="2">
        <f t="shared" si="41"/>
        <v>13</v>
      </c>
      <c r="CV435" s="2" t="str">
        <f t="shared" si="38"/>
        <v>Content &amp; SEO - Sr. Web Content Analyst</v>
      </c>
      <c r="CW435" s="2" t="str">
        <f>_xlfn.XLOOKUP(CL435,'[1]Rates &amp; Drop Downs INT'!D$373:D$430,'[1]Rates &amp; Drop Downs INT'!C$373:C$430,"X",1)</f>
        <v>Cloud &amp; Engineering - 2 | Associate Engineer</v>
      </c>
    </row>
    <row r="436" spans="85:101" ht="13.05" customHeight="1" x14ac:dyDescent="0.25">
      <c r="CG436" s="2" t="s">
        <v>325</v>
      </c>
      <c r="CH436" s="2" t="s">
        <v>3333</v>
      </c>
      <c r="CI436" s="2" t="s">
        <v>3330</v>
      </c>
      <c r="CJ436" s="2" t="s">
        <v>3340</v>
      </c>
      <c r="CK436" s="2" t="s">
        <v>762</v>
      </c>
      <c r="CL436" s="2" t="s">
        <v>3565</v>
      </c>
      <c r="CM436" s="39">
        <v>2</v>
      </c>
      <c r="CN436" s="2" t="str">
        <f t="shared" si="39"/>
        <v>TADigital NA Consulting | Strategy - Associate Digital Strategist</v>
      </c>
      <c r="CO436" s="2" t="str">
        <f t="shared" si="42"/>
        <v>TADigital India Consulting | Cloud &amp; Engineering - L2 / B1-B3 | Associate Engineer</v>
      </c>
      <c r="CP436" s="1579">
        <v>200</v>
      </c>
      <c r="CQ436" s="1579">
        <v>85</v>
      </c>
      <c r="CR436" s="1579">
        <v>60</v>
      </c>
      <c r="CS436" s="1579">
        <f t="shared" si="40"/>
        <v>1.6400000000000001</v>
      </c>
      <c r="CT436" s="1579">
        <v>2</v>
      </c>
      <c r="CU436" s="2">
        <f t="shared" si="41"/>
        <v>13</v>
      </c>
      <c r="CV436" s="2" t="str">
        <f t="shared" si="38"/>
        <v>Strategy - Associate Digital Strategist</v>
      </c>
      <c r="CW436" s="2" t="str">
        <f>_xlfn.XLOOKUP(CL436,'[1]Rates &amp; Drop Downs INT'!D$373:D$430,'[1]Rates &amp; Drop Downs INT'!C$373:C$430,"X",1)</f>
        <v>Cloud &amp; Engineering - 2 | Associate Engineer</v>
      </c>
    </row>
    <row r="437" spans="85:101" ht="13.05" customHeight="1" x14ac:dyDescent="0.25">
      <c r="CG437" s="2" t="s">
        <v>325</v>
      </c>
      <c r="CH437" s="2" t="s">
        <v>3333</v>
      </c>
      <c r="CI437" s="2" t="s">
        <v>3330</v>
      </c>
      <c r="CJ437" s="2" t="s">
        <v>3340</v>
      </c>
      <c r="CK437" s="2" t="s">
        <v>730</v>
      </c>
      <c r="CL437" s="2" t="s">
        <v>3560</v>
      </c>
      <c r="CM437" s="39">
        <v>3</v>
      </c>
      <c r="CN437" s="2" t="str">
        <f t="shared" si="39"/>
        <v>TADigital NA Consulting | Content &amp; SEO - Associate Manager</v>
      </c>
      <c r="CO437" s="2" t="str">
        <f t="shared" si="42"/>
        <v>TADigital India Consulting | Cloud &amp; Engineering - L2 / B1-B3 | Associate Engineer</v>
      </c>
      <c r="CP437" s="1579">
        <v>210</v>
      </c>
      <c r="CQ437" s="1579">
        <v>122.5</v>
      </c>
      <c r="CR437" s="1579">
        <v>75</v>
      </c>
      <c r="CS437" s="1579">
        <f t="shared" si="40"/>
        <v>20.5</v>
      </c>
      <c r="CT437" s="1579">
        <v>25</v>
      </c>
      <c r="CU437" s="2">
        <f t="shared" si="41"/>
        <v>13</v>
      </c>
      <c r="CV437" s="2" t="str">
        <f t="shared" si="38"/>
        <v>Content &amp; SEO - Associate Manager</v>
      </c>
      <c r="CW437" s="2" t="str">
        <f>_xlfn.XLOOKUP(CL437,'[1]Rates &amp; Drop Downs INT'!D$373:D$430,'[1]Rates &amp; Drop Downs INT'!C$373:C$430,"X",1)</f>
        <v>Cloud &amp; Engineering - 2 | Associate Engineer</v>
      </c>
    </row>
    <row r="438" spans="85:101" ht="13.05" customHeight="1" x14ac:dyDescent="0.25">
      <c r="CG438" s="2" t="s">
        <v>325</v>
      </c>
      <c r="CH438" s="2" t="s">
        <v>3333</v>
      </c>
      <c r="CI438" s="2" t="s">
        <v>3330</v>
      </c>
      <c r="CJ438" s="2" t="s">
        <v>3340</v>
      </c>
      <c r="CK438" s="2" t="s">
        <v>720</v>
      </c>
      <c r="CL438" s="2" t="s">
        <v>3546</v>
      </c>
      <c r="CM438" s="39">
        <v>5</v>
      </c>
      <c r="CN438" s="2" t="str">
        <f t="shared" si="39"/>
        <v>TADigital NA | Management - Associate Practice Director</v>
      </c>
      <c r="CO438" s="2" t="str">
        <f t="shared" si="42"/>
        <v>TADigital India Consulting | Cloud &amp; Engineering - L2 / B1-B3 | Associate Engineer</v>
      </c>
      <c r="CP438" s="1579">
        <v>290</v>
      </c>
      <c r="CQ438" s="1579">
        <v>140</v>
      </c>
      <c r="CR438" s="1579">
        <v>105</v>
      </c>
      <c r="CS438" s="1579">
        <f t="shared" si="40"/>
        <v>45.1</v>
      </c>
      <c r="CT438" s="1579">
        <v>55</v>
      </c>
      <c r="CU438" s="2">
        <f t="shared" si="41"/>
        <v>13</v>
      </c>
      <c r="CV438" s="2" t="str">
        <f t="shared" si="38"/>
        <v>Management - Associate Practice Director</v>
      </c>
      <c r="CW438" s="2" t="str">
        <f>_xlfn.XLOOKUP(CL438,'[1]Rates &amp; Drop Downs INT'!D$373:D$430,'[1]Rates &amp; Drop Downs INT'!C$373:C$430,"X",1)</f>
        <v>Cloud &amp; Engineering - 2 | Associate Engineer</v>
      </c>
    </row>
    <row r="439" spans="85:101" ht="13.05" customHeight="1" x14ac:dyDescent="0.25">
      <c r="CG439" s="2" t="s">
        <v>325</v>
      </c>
      <c r="CH439" s="2" t="s">
        <v>3333</v>
      </c>
      <c r="CI439" s="2" t="s">
        <v>3330</v>
      </c>
      <c r="CJ439" s="2" t="s">
        <v>3340</v>
      </c>
      <c r="CK439" s="2" t="s">
        <v>3373</v>
      </c>
      <c r="CL439" s="2">
        <v>0</v>
      </c>
      <c r="CM439" s="39">
        <v>7</v>
      </c>
      <c r="CN439" s="2" t="str">
        <f t="shared" si="39"/>
        <v>TADigital NA | Management - L7 / S2-EX3 | CXO / CDO</v>
      </c>
      <c r="CO439" s="2" t="str">
        <f t="shared" si="42"/>
        <v>TADigital India Consulting | Cloud &amp; Engineering - L2 / B1-B3 | Associate Engineer</v>
      </c>
      <c r="CP439" s="1579">
        <v>500</v>
      </c>
      <c r="CQ439" s="1579">
        <v>285</v>
      </c>
      <c r="CR439" s="1579">
        <v>0</v>
      </c>
      <c r="CS439" s="1579">
        <f t="shared" si="40"/>
        <v>0</v>
      </c>
      <c r="CT439" s="1579">
        <v>0</v>
      </c>
      <c r="CU439" s="2">
        <f t="shared" si="41"/>
        <v>13</v>
      </c>
      <c r="CV439" s="2" t="str">
        <f t="shared" si="38"/>
        <v>Management - CXO / CDO</v>
      </c>
      <c r="CW439" s="2" t="str">
        <f>_xlfn.XLOOKUP(CL439,'[1]Rates &amp; Drop Downs INT'!D$373:D$430,'[1]Rates &amp; Drop Downs INT'!C$373:C$430,"X",1)</f>
        <v>Cloud &amp; Engineering - 2 | Associate Engineer</v>
      </c>
    </row>
    <row r="440" spans="85:101" ht="13.05" customHeight="1" x14ac:dyDescent="0.25">
      <c r="CG440" s="2" t="s">
        <v>325</v>
      </c>
      <c r="CH440" s="2" t="s">
        <v>3333</v>
      </c>
      <c r="CI440" s="2" t="s">
        <v>3330</v>
      </c>
      <c r="CJ440" s="2" t="s">
        <v>3340</v>
      </c>
      <c r="CK440" s="2" t="s">
        <v>763</v>
      </c>
      <c r="CL440" s="2">
        <v>0</v>
      </c>
      <c r="CM440" s="39">
        <v>3</v>
      </c>
      <c r="CN440" s="2" t="str">
        <f t="shared" si="39"/>
        <v>TADigital NA Consulting | Strategy - Digital Strategist</v>
      </c>
      <c r="CO440" s="2" t="str">
        <f t="shared" si="42"/>
        <v>TADigital India Consulting | Cloud &amp; Engineering - L2 / B1-B3 | Associate Engineer</v>
      </c>
      <c r="CP440" s="1579">
        <v>205</v>
      </c>
      <c r="CQ440" s="1579">
        <v>105</v>
      </c>
      <c r="CR440" s="1579">
        <v>65</v>
      </c>
      <c r="CS440" s="1579">
        <f t="shared" si="40"/>
        <v>16.400000000000002</v>
      </c>
      <c r="CT440" s="1579">
        <v>20</v>
      </c>
      <c r="CU440" s="2">
        <f t="shared" si="41"/>
        <v>13</v>
      </c>
      <c r="CV440" s="2" t="str">
        <f t="shared" si="38"/>
        <v>Strategy - Digital Strategist</v>
      </c>
      <c r="CW440" s="2" t="str">
        <f>_xlfn.XLOOKUP(CL440,'[1]Rates &amp; Drop Downs INT'!D$373:D$430,'[1]Rates &amp; Drop Downs INT'!C$373:C$430,"X",1)</f>
        <v>Cloud &amp; Engineering - 2 | Associate Engineer</v>
      </c>
    </row>
    <row r="441" spans="85:101" ht="13.05" customHeight="1" x14ac:dyDescent="0.25">
      <c r="CG441" s="2" t="s">
        <v>325</v>
      </c>
      <c r="CH441" s="2" t="s">
        <v>3333</v>
      </c>
      <c r="CI441" s="2" t="s">
        <v>3330</v>
      </c>
      <c r="CJ441" s="2" t="s">
        <v>3340</v>
      </c>
      <c r="CK441" s="2" t="s">
        <v>3352</v>
      </c>
      <c r="CL441" s="2" t="s">
        <v>3549</v>
      </c>
      <c r="CM441" s="39">
        <v>5</v>
      </c>
      <c r="CN441" s="2" t="str">
        <f t="shared" si="39"/>
        <v>TADigital NA | Management - Practice Director / Delivery Director</v>
      </c>
      <c r="CO441" s="2" t="str">
        <f t="shared" si="42"/>
        <v>TADigital India Consulting | Cloud &amp; Engineering - L2 / B1-B3 | Associate Engineer</v>
      </c>
      <c r="CP441" s="1579">
        <v>315</v>
      </c>
      <c r="CQ441" s="1579">
        <v>165</v>
      </c>
      <c r="CR441" s="1579">
        <v>115</v>
      </c>
      <c r="CS441" s="1579">
        <f t="shared" si="40"/>
        <v>45.1</v>
      </c>
      <c r="CT441" s="1579">
        <v>55</v>
      </c>
      <c r="CU441" s="2">
        <f t="shared" si="41"/>
        <v>13</v>
      </c>
      <c r="CV441" s="2" t="str">
        <f t="shared" si="38"/>
        <v>Management - Practice Director / Delivery Director</v>
      </c>
      <c r="CW441" s="2" t="str">
        <f>_xlfn.XLOOKUP(CL441,'[1]Rates &amp; Drop Downs INT'!D$373:D$430,'[1]Rates &amp; Drop Downs INT'!C$373:C$430,"X",1)</f>
        <v>Cloud &amp; Engineering - 2 | Associate Engineer</v>
      </c>
    </row>
    <row r="442" spans="85:101" ht="13.05" customHeight="1" x14ac:dyDescent="0.25">
      <c r="CG442" s="2" t="s">
        <v>325</v>
      </c>
      <c r="CH442" s="2" t="s">
        <v>3333</v>
      </c>
      <c r="CI442" s="2" t="s">
        <v>3330</v>
      </c>
      <c r="CJ442" s="2" t="s">
        <v>3340</v>
      </c>
      <c r="CK442" s="2" t="s">
        <v>446</v>
      </c>
      <c r="CL442" s="2" t="s">
        <v>3546</v>
      </c>
      <c r="CM442" s="39">
        <v>4</v>
      </c>
      <c r="CN442" s="2" t="str">
        <f t="shared" si="39"/>
        <v>TADigital NA Consulting - Sr. Project Manager</v>
      </c>
      <c r="CO442" s="2" t="str">
        <f t="shared" si="42"/>
        <v>TADigital India Consulting | Cloud &amp; Engineering - L2 / B1-B3 | Associate Engineer</v>
      </c>
      <c r="CP442" s="1579">
        <v>235</v>
      </c>
      <c r="CQ442" s="1579">
        <v>130</v>
      </c>
      <c r="CR442" s="1579">
        <v>80</v>
      </c>
      <c r="CS442" s="1579">
        <f t="shared" si="40"/>
        <v>38.950000000000003</v>
      </c>
      <c r="CT442" s="1579">
        <v>47.5</v>
      </c>
      <c r="CU442" s="2">
        <f t="shared" si="41"/>
        <v>13</v>
      </c>
      <c r="CV442" s="2" t="str">
        <f t="shared" si="38"/>
        <v>Sr. Project Manager</v>
      </c>
      <c r="CW442" s="2" t="str">
        <f>_xlfn.XLOOKUP(CL442,'[1]Rates &amp; Drop Downs INT'!D$373:D$430,'[1]Rates &amp; Drop Downs INT'!C$373:C$430,"X",1)</f>
        <v>Cloud &amp; Engineering - 2 | Associate Engineer</v>
      </c>
    </row>
    <row r="443" spans="85:101" ht="13.05" customHeight="1" x14ac:dyDescent="0.25">
      <c r="CG443" s="2" t="s">
        <v>325</v>
      </c>
      <c r="CH443" s="2" t="s">
        <v>3333</v>
      </c>
      <c r="CI443" s="2" t="s">
        <v>3330</v>
      </c>
      <c r="CJ443" s="2" t="s">
        <v>3340</v>
      </c>
      <c r="CK443" s="2" t="s">
        <v>3353</v>
      </c>
      <c r="CL443" s="2" t="s">
        <v>3549</v>
      </c>
      <c r="CM443" s="39">
        <v>6</v>
      </c>
      <c r="CN443" s="2" t="str">
        <f t="shared" si="39"/>
        <v>TADigital NA | Management - Practice VP / Delivery VP</v>
      </c>
      <c r="CO443" s="2" t="str">
        <f t="shared" si="42"/>
        <v>TADigital India Consulting | Cloud &amp; Engineering - L2 / B1-B3 | Associate Engineer</v>
      </c>
      <c r="CP443" s="1579">
        <v>370</v>
      </c>
      <c r="CQ443" s="1579">
        <v>172.5</v>
      </c>
      <c r="CR443" s="1579">
        <v>135</v>
      </c>
      <c r="CS443" s="1579">
        <f t="shared" si="40"/>
        <v>51.250000000000007</v>
      </c>
      <c r="CT443" s="1579">
        <v>62.5</v>
      </c>
      <c r="CU443" s="2">
        <f t="shared" si="41"/>
        <v>13</v>
      </c>
      <c r="CV443" s="2" t="str">
        <f t="shared" si="38"/>
        <v>Management - Practice VP / Delivery VP</v>
      </c>
      <c r="CW443" s="2" t="str">
        <f>_xlfn.XLOOKUP(CL443,'[1]Rates &amp; Drop Downs INT'!D$373:D$430,'[1]Rates &amp; Drop Downs INT'!C$373:C$430,"X",1)</f>
        <v>Cloud &amp; Engineering - 2 | Associate Engineer</v>
      </c>
    </row>
    <row r="444" spans="85:101" ht="13.05" customHeight="1" x14ac:dyDescent="0.25">
      <c r="CG444" s="2" t="s">
        <v>325</v>
      </c>
      <c r="CH444" s="2" t="s">
        <v>3333</v>
      </c>
      <c r="CI444" s="2" t="s">
        <v>3330</v>
      </c>
      <c r="CJ444" s="2" t="s">
        <v>3340</v>
      </c>
      <c r="CK444" s="2" t="s">
        <v>761</v>
      </c>
      <c r="CL444" s="2" t="s">
        <v>3564</v>
      </c>
      <c r="CM444" s="39">
        <v>2</v>
      </c>
      <c r="CN444" s="2" t="str">
        <f t="shared" si="39"/>
        <v>TADigital NA Consulting - Project Manager / Product Manager</v>
      </c>
      <c r="CO444" s="2" t="str">
        <f t="shared" si="42"/>
        <v>TADigital India Consulting | Cloud &amp; Engineering - L2 / B1-B3 | Associate Engineer</v>
      </c>
      <c r="CP444" s="1579">
        <v>190</v>
      </c>
      <c r="CQ444" s="1579">
        <v>85</v>
      </c>
      <c r="CR444" s="1579">
        <v>55</v>
      </c>
      <c r="CS444" s="1579">
        <f t="shared" si="40"/>
        <v>18.040000000000003</v>
      </c>
      <c r="CT444" s="1579">
        <v>22</v>
      </c>
      <c r="CU444" s="2">
        <f t="shared" si="41"/>
        <v>13</v>
      </c>
      <c r="CV444" s="2" t="str">
        <f t="shared" si="38"/>
        <v>Project Manager / Product Manager</v>
      </c>
      <c r="CW444" s="2" t="str">
        <f>_xlfn.XLOOKUP(CL444,'[1]Rates &amp; Drop Downs INT'!D$373:D$430,'[1]Rates &amp; Drop Downs INT'!C$373:C$430,"X",1)</f>
        <v>Cloud &amp; Engineering - 2 | Associate Engineer</v>
      </c>
    </row>
    <row r="445" spans="85:101" ht="13.05" customHeight="1" x14ac:dyDescent="0.25">
      <c r="CG445" s="2" t="s">
        <v>325</v>
      </c>
      <c r="CH445" s="2" t="s">
        <v>3333</v>
      </c>
      <c r="CI445" s="2" t="s">
        <v>3330</v>
      </c>
      <c r="CJ445" s="2" t="s">
        <v>3340</v>
      </c>
      <c r="CK445" s="2" t="s">
        <v>764</v>
      </c>
      <c r="CL445" s="2" t="s">
        <v>3566</v>
      </c>
      <c r="CM445" s="39">
        <v>3</v>
      </c>
      <c r="CN445" s="2" t="str">
        <f t="shared" si="39"/>
        <v>TADigital NA Consulting | Content &amp; SEO - Associate Manager</v>
      </c>
      <c r="CO445" s="2" t="str">
        <f t="shared" si="42"/>
        <v>TADigital India Consulting | Cloud &amp; Engineering - L2 / B1-B3 | Associate Engineer</v>
      </c>
      <c r="CP445" s="1579">
        <v>210</v>
      </c>
      <c r="CQ445" s="1579">
        <v>105</v>
      </c>
      <c r="CR445" s="1579">
        <v>70</v>
      </c>
      <c r="CS445" s="1579">
        <f t="shared" si="40"/>
        <v>18.450000000000003</v>
      </c>
      <c r="CT445" s="1579">
        <v>22.5</v>
      </c>
      <c r="CU445" s="2">
        <f t="shared" si="41"/>
        <v>13</v>
      </c>
      <c r="CV445" s="2" t="str">
        <f t="shared" si="38"/>
        <v>Content &amp; SEO - Associate Manager</v>
      </c>
      <c r="CW445" s="2" t="str">
        <f>_xlfn.XLOOKUP(CL445,'[1]Rates &amp; Drop Downs INT'!D$373:D$430,'[1]Rates &amp; Drop Downs INT'!C$373:C$430,"X",1)</f>
        <v>Cloud &amp; Engineering - 2 | Associate Engineer</v>
      </c>
    </row>
    <row r="446" spans="85:101" ht="13.05" customHeight="1" x14ac:dyDescent="0.25">
      <c r="CG446" s="2" t="s">
        <v>325</v>
      </c>
      <c r="CH446" s="2" t="s">
        <v>3333</v>
      </c>
      <c r="CI446" s="2" t="s">
        <v>3330</v>
      </c>
      <c r="CJ446" s="2" t="s">
        <v>3340</v>
      </c>
      <c r="CK446" s="2" t="s">
        <v>3354</v>
      </c>
      <c r="CL446" s="2" t="s">
        <v>3549</v>
      </c>
      <c r="CM446" s="39">
        <v>5</v>
      </c>
      <c r="CN446" s="2" t="str">
        <f t="shared" si="39"/>
        <v>TADigital NA | Management - Sr. Practice Director / Sr. Delivery Director</v>
      </c>
      <c r="CO446" s="2" t="str">
        <f t="shared" si="42"/>
        <v>TADigital India Consulting | Cloud &amp; Engineering - L2 / B1-B3 | Associate Engineer</v>
      </c>
      <c r="CP446" s="1579">
        <v>340</v>
      </c>
      <c r="CQ446" s="1579">
        <v>170</v>
      </c>
      <c r="CR446" s="1579">
        <v>125</v>
      </c>
      <c r="CS446" s="1579">
        <f t="shared" si="40"/>
        <v>49.2</v>
      </c>
      <c r="CT446" s="1579">
        <v>60</v>
      </c>
      <c r="CU446" s="2">
        <f t="shared" si="41"/>
        <v>13</v>
      </c>
      <c r="CV446" s="2" t="str">
        <f t="shared" si="38"/>
        <v>Management - Sr. Practice Director / Sr. Delivery Director</v>
      </c>
      <c r="CW446" s="2" t="str">
        <f>_xlfn.XLOOKUP(CL446,'[1]Rates &amp; Drop Downs INT'!D$373:D$430,'[1]Rates &amp; Drop Downs INT'!C$373:C$430,"X",1)</f>
        <v>Cloud &amp; Engineering - 2 | Associate Engineer</v>
      </c>
    </row>
    <row r="447" spans="85:101" ht="13.05" customHeight="1" x14ac:dyDescent="0.25">
      <c r="CG447" s="2" t="s">
        <v>325</v>
      </c>
      <c r="CH447" s="2" t="s">
        <v>3333</v>
      </c>
      <c r="CI447" s="2" t="s">
        <v>3330</v>
      </c>
      <c r="CJ447" s="2" t="s">
        <v>3340</v>
      </c>
      <c r="CK447" s="2" t="s">
        <v>448</v>
      </c>
      <c r="CL447" s="2" t="s">
        <v>3546</v>
      </c>
      <c r="CM447" s="39">
        <v>5</v>
      </c>
      <c r="CN447" s="2" t="str">
        <f t="shared" si="39"/>
        <v>TADigital NA Consulting - Delivery Manager</v>
      </c>
      <c r="CO447" s="2" t="str">
        <f t="shared" si="42"/>
        <v>TADigital India Consulting | Cloud &amp; Engineering - L2 / B1-B3 | Associate Engineer</v>
      </c>
      <c r="CP447" s="1579">
        <v>265</v>
      </c>
      <c r="CQ447" s="1579">
        <v>137.5</v>
      </c>
      <c r="CR447" s="1579">
        <v>90</v>
      </c>
      <c r="CS447" s="1579">
        <f t="shared" si="40"/>
        <v>38.950000000000003</v>
      </c>
      <c r="CT447" s="1579">
        <v>47.5</v>
      </c>
      <c r="CU447" s="2">
        <f t="shared" si="41"/>
        <v>13</v>
      </c>
      <c r="CV447" s="2" t="str">
        <f t="shared" si="38"/>
        <v>Delivery Manager</v>
      </c>
      <c r="CW447" s="2" t="str">
        <f>_xlfn.XLOOKUP(CL447,'[1]Rates &amp; Drop Downs INT'!D$373:D$430,'[1]Rates &amp; Drop Downs INT'!C$373:C$430,"X",1)</f>
        <v>Cloud &amp; Engineering - 2 | Associate Engineer</v>
      </c>
    </row>
    <row r="448" spans="85:101" ht="13.05" customHeight="1" x14ac:dyDescent="0.25">
      <c r="CG448" s="2" t="s">
        <v>288</v>
      </c>
      <c r="CH448" s="2" t="s">
        <v>288</v>
      </c>
      <c r="CI448" s="2" t="s">
        <v>3331</v>
      </c>
      <c r="CJ448" s="2" t="s">
        <v>1224</v>
      </c>
      <c r="CK448" s="2" t="s">
        <v>565</v>
      </c>
      <c r="CL448" s="2">
        <v>0</v>
      </c>
      <c r="CM448" s="39">
        <v>3</v>
      </c>
      <c r="CN448" s="2" t="str">
        <f t="shared" si="39"/>
        <v>TADigital NA Digital - BA Lead</v>
      </c>
      <c r="CO448" s="2" t="str">
        <f t="shared" si="42"/>
        <v>TADigital India Consulting | Cloud &amp; Engineering - L2 / B1-B3 | Associate Engineer</v>
      </c>
      <c r="CP448" s="1579">
        <v>195</v>
      </c>
      <c r="CQ448" s="1579">
        <v>107.5</v>
      </c>
      <c r="CR448" s="1579">
        <v>85</v>
      </c>
      <c r="CS448" s="1579">
        <f t="shared" si="40"/>
        <v>26.650000000000002</v>
      </c>
      <c r="CT448" s="1579">
        <v>32.5</v>
      </c>
      <c r="CU448" s="2">
        <f t="shared" si="41"/>
        <v>13</v>
      </c>
      <c r="CV448" s="2" t="str">
        <f t="shared" si="38"/>
        <v>BA Lead</v>
      </c>
      <c r="CW448" s="2" t="str">
        <f>_xlfn.XLOOKUP(CL448,'[1]Rates &amp; Drop Downs INT'!D$373:D$430,'[1]Rates &amp; Drop Downs INT'!C$373:C$430,"X",1)</f>
        <v>Cloud &amp; Engineering - 2 | Associate Engineer</v>
      </c>
    </row>
    <row r="449" spans="85:101" ht="13.05" customHeight="1" x14ac:dyDescent="0.25">
      <c r="CG449" s="2" t="s">
        <v>288</v>
      </c>
      <c r="CH449" s="2" t="s">
        <v>288</v>
      </c>
      <c r="CI449" s="2" t="s">
        <v>3331</v>
      </c>
      <c r="CJ449" s="2" t="s">
        <v>1224</v>
      </c>
      <c r="CK449" s="2" t="s">
        <v>380</v>
      </c>
      <c r="CL449" s="2">
        <v>0</v>
      </c>
      <c r="CM449" s="39">
        <v>2</v>
      </c>
      <c r="CN449" s="2" t="str">
        <f t="shared" si="39"/>
        <v>TADigital NA Consulting | Content &amp; SEO - Associate Content Strategist</v>
      </c>
      <c r="CO449" s="2" t="str">
        <f t="shared" si="42"/>
        <v>TADigital India Consulting | Cloud &amp; Engineering - L2 / B1-B3 | Associate Engineer</v>
      </c>
      <c r="CP449" s="1579">
        <v>160</v>
      </c>
      <c r="CQ449" s="1579">
        <v>97.5</v>
      </c>
      <c r="CR449" s="1579">
        <v>55</v>
      </c>
      <c r="CS449" s="1579">
        <f t="shared" si="40"/>
        <v>18.450000000000003</v>
      </c>
      <c r="CT449" s="1579">
        <v>22.5</v>
      </c>
      <c r="CU449" s="2">
        <f t="shared" si="41"/>
        <v>13</v>
      </c>
      <c r="CV449" s="2" t="str">
        <f t="shared" si="38"/>
        <v>Content &amp; SEO - Associate Content Strategist</v>
      </c>
      <c r="CW449" s="2" t="str">
        <f>_xlfn.XLOOKUP(CL449,'[1]Rates &amp; Drop Downs INT'!D$373:D$430,'[1]Rates &amp; Drop Downs INT'!C$373:C$430,"X",1)</f>
        <v>Cloud &amp; Engineering - 2 | Associate Engineer</v>
      </c>
    </row>
    <row r="450" spans="85:101" ht="13.05" customHeight="1" x14ac:dyDescent="0.25">
      <c r="CG450" s="2" t="s">
        <v>288</v>
      </c>
      <c r="CH450" s="2" t="s">
        <v>288</v>
      </c>
      <c r="CI450" s="2" t="s">
        <v>3331</v>
      </c>
      <c r="CJ450" s="2" t="s">
        <v>1224</v>
      </c>
      <c r="CK450" s="2" t="s">
        <v>563</v>
      </c>
      <c r="CL450" s="2">
        <v>0</v>
      </c>
      <c r="CM450" s="39">
        <v>2</v>
      </c>
      <c r="CN450" s="2" t="str">
        <f t="shared" si="39"/>
        <v>TADigital NA Digital - Technical Lead</v>
      </c>
      <c r="CO450" s="2" t="str">
        <f t="shared" si="42"/>
        <v>TADigital India Consulting | Cloud &amp; Engineering - L2 / B1-B3 | Associate Engineer</v>
      </c>
      <c r="CP450" s="1579">
        <v>185</v>
      </c>
      <c r="CQ450" s="1579">
        <v>105</v>
      </c>
      <c r="CR450" s="1579">
        <v>65</v>
      </c>
      <c r="CS450" s="1579">
        <f t="shared" si="40"/>
        <v>24.6</v>
      </c>
      <c r="CT450" s="1579">
        <v>30</v>
      </c>
      <c r="CU450" s="2">
        <f t="shared" si="41"/>
        <v>13</v>
      </c>
      <c r="CV450" s="2" t="str">
        <f t="shared" si="38"/>
        <v>Technical Lead</v>
      </c>
      <c r="CW450" s="2" t="str">
        <f>_xlfn.XLOOKUP(CL450,'[1]Rates &amp; Drop Downs INT'!D$373:D$430,'[1]Rates &amp; Drop Downs INT'!C$373:C$430,"X",1)</f>
        <v>Cloud &amp; Engineering - 2 | Associate Engineer</v>
      </c>
    </row>
    <row r="451" spans="85:101" ht="13.05" customHeight="1" x14ac:dyDescent="0.25">
      <c r="CG451" s="2" t="s">
        <v>288</v>
      </c>
      <c r="CH451" s="2" t="s">
        <v>288</v>
      </c>
      <c r="CI451" s="2" t="s">
        <v>1229</v>
      </c>
      <c r="CJ451" s="2" t="s">
        <v>3341</v>
      </c>
      <c r="CK451" s="2" t="s">
        <v>3351</v>
      </c>
      <c r="CL451" s="2" t="s">
        <v>3545</v>
      </c>
      <c r="CM451" s="39">
        <v>2</v>
      </c>
      <c r="CN451" s="2" t="str">
        <f t="shared" si="39"/>
        <v>TADigital NA Consulting | Content &amp; SEO - Associate Web Content Analyst</v>
      </c>
      <c r="CO451" s="2" t="str">
        <f t="shared" si="42"/>
        <v>TADigital India Consulting | Cloud &amp; Engineering - L2 / B1-B3 | Associate Engineer</v>
      </c>
      <c r="CP451" s="1579">
        <v>0</v>
      </c>
      <c r="CQ451" s="1579">
        <v>0</v>
      </c>
      <c r="CR451" s="1579">
        <v>35</v>
      </c>
      <c r="CS451" s="1579">
        <f t="shared" si="40"/>
        <v>10.66</v>
      </c>
      <c r="CT451" s="1579">
        <v>13</v>
      </c>
      <c r="CU451" s="2">
        <f t="shared" si="41"/>
        <v>13</v>
      </c>
      <c r="CV451" s="2" t="str">
        <f t="shared" si="38"/>
        <v>Content &amp; SEO - Associate Web Content Analyst</v>
      </c>
      <c r="CW451" s="2" t="str">
        <f>_xlfn.XLOOKUP(CL451,'[1]Rates &amp; Drop Downs INT'!D$373:D$430,'[1]Rates &amp; Drop Downs INT'!C$373:C$430,"X",1)</f>
        <v>Cloud &amp; Engineering - 2 | Associate Engineer</v>
      </c>
    </row>
    <row r="452" spans="85:101" ht="13.05" customHeight="1" x14ac:dyDescent="0.25">
      <c r="CG452" s="2" t="s">
        <v>288</v>
      </c>
      <c r="CH452" s="2" t="s">
        <v>288</v>
      </c>
      <c r="CI452" s="2" t="s">
        <v>1229</v>
      </c>
      <c r="CJ452" s="2" t="s">
        <v>3341</v>
      </c>
      <c r="CK452" s="2" t="s">
        <v>720</v>
      </c>
      <c r="CL452" s="2" t="s">
        <v>3546</v>
      </c>
      <c r="CM452" s="39">
        <v>5</v>
      </c>
      <c r="CN452" s="2" t="str">
        <f t="shared" si="39"/>
        <v>TADigital NA | Management - Associate Practice Director</v>
      </c>
      <c r="CO452" s="2" t="str">
        <f t="shared" si="42"/>
        <v>TADigital India Consulting | Cloud &amp; Engineering - L2 / B1-B3 | Associate Engineer</v>
      </c>
      <c r="CP452" s="1579">
        <v>290</v>
      </c>
      <c r="CQ452" s="1579">
        <v>140</v>
      </c>
      <c r="CR452" s="1579">
        <v>105</v>
      </c>
      <c r="CS452" s="1579">
        <f t="shared" si="40"/>
        <v>45.1</v>
      </c>
      <c r="CT452" s="1579">
        <v>55</v>
      </c>
      <c r="CU452" s="2">
        <f t="shared" si="41"/>
        <v>13</v>
      </c>
      <c r="CV452" s="2" t="str">
        <f t="shared" si="38"/>
        <v>Management - Associate Practice Director</v>
      </c>
      <c r="CW452" s="2" t="str">
        <f>_xlfn.XLOOKUP(CL452,'[1]Rates &amp; Drop Downs INT'!D$373:D$430,'[1]Rates &amp; Drop Downs INT'!C$373:C$430,"X",1)</f>
        <v>Cloud &amp; Engineering - 2 | Associate Engineer</v>
      </c>
    </row>
    <row r="453" spans="85:101" ht="13.05" customHeight="1" x14ac:dyDescent="0.25">
      <c r="CG453" s="2" t="s">
        <v>288</v>
      </c>
      <c r="CH453" s="2" t="s">
        <v>288</v>
      </c>
      <c r="CI453" s="2" t="s">
        <v>1229</v>
      </c>
      <c r="CJ453" s="2" t="s">
        <v>3341</v>
      </c>
      <c r="CK453" s="2" t="s">
        <v>532</v>
      </c>
      <c r="CL453" s="2" t="s">
        <v>3547</v>
      </c>
      <c r="CM453" s="39">
        <v>2</v>
      </c>
      <c r="CN453" s="2" t="str">
        <f t="shared" si="39"/>
        <v>TADigital NA Consulting | Content &amp; SEO - Associate Content Strategist</v>
      </c>
      <c r="CO453" s="2" t="str">
        <f t="shared" si="42"/>
        <v>TADigital India Consulting | Cloud &amp; Engineering - L2 / B1-B3 | Associate Engineer</v>
      </c>
      <c r="CP453" s="1579">
        <v>160</v>
      </c>
      <c r="CQ453" s="1579">
        <v>80</v>
      </c>
      <c r="CR453" s="1579">
        <v>55</v>
      </c>
      <c r="CS453" s="1579">
        <f t="shared" si="40"/>
        <v>14.760000000000002</v>
      </c>
      <c r="CT453" s="1579">
        <v>18</v>
      </c>
      <c r="CU453" s="2">
        <f t="shared" si="41"/>
        <v>13</v>
      </c>
      <c r="CV453" s="2" t="str">
        <f t="shared" si="38"/>
        <v>Content &amp; SEO - Associate Content Strategist</v>
      </c>
      <c r="CW453" s="2" t="str">
        <f>_xlfn.XLOOKUP(CL453,'[1]Rates &amp; Drop Downs INT'!D$373:D$430,'[1]Rates &amp; Drop Downs INT'!C$373:C$430,"X",1)</f>
        <v>Cloud &amp; Engineering - 2 | Associate Engineer</v>
      </c>
    </row>
    <row r="454" spans="85:101" ht="13.05" customHeight="1" x14ac:dyDescent="0.25">
      <c r="CG454" s="2" t="s">
        <v>288</v>
      </c>
      <c r="CH454" s="2" t="s">
        <v>288</v>
      </c>
      <c r="CI454" s="2" t="s">
        <v>1229</v>
      </c>
      <c r="CJ454" s="2" t="s">
        <v>3341</v>
      </c>
      <c r="CK454" s="2" t="s">
        <v>542</v>
      </c>
      <c r="CL454" s="2" t="s">
        <v>3548</v>
      </c>
      <c r="CM454" s="39">
        <v>5</v>
      </c>
      <c r="CN454" s="2" t="str">
        <f t="shared" si="39"/>
        <v>TADigital NA | Management - Associate Practice Director</v>
      </c>
      <c r="CO454" s="2" t="str">
        <f t="shared" si="42"/>
        <v>TADigital India Consulting | Cloud &amp; Engineering - L2 / B1-B3 | Associate Engineer</v>
      </c>
      <c r="CP454" s="1579">
        <v>290</v>
      </c>
      <c r="CQ454" s="1579">
        <v>167.5</v>
      </c>
      <c r="CR454" s="1579">
        <v>125</v>
      </c>
      <c r="CS454" s="1579">
        <f t="shared" si="40"/>
        <v>51.250000000000007</v>
      </c>
      <c r="CT454" s="1579">
        <v>62.5</v>
      </c>
      <c r="CU454" s="2">
        <f t="shared" si="41"/>
        <v>13</v>
      </c>
      <c r="CV454" s="2" t="str">
        <f t="shared" ref="CV454:CV517" si="43">_xlfn.XLOOKUP(CN454,$F$205:$F$287,TADNorthAmerica,"X",1)</f>
        <v>Management - Associate Practice Director</v>
      </c>
      <c r="CW454" s="2" t="str">
        <f>_xlfn.XLOOKUP(CL454,'[1]Rates &amp; Drop Downs INT'!D$373:D$430,'[1]Rates &amp; Drop Downs INT'!C$373:C$430,"X",1)</f>
        <v>Cloud &amp; Engineering - 2 | Associate Engineer</v>
      </c>
    </row>
    <row r="455" spans="85:101" ht="13.05" customHeight="1" x14ac:dyDescent="0.25">
      <c r="CG455" s="2" t="s">
        <v>288</v>
      </c>
      <c r="CH455" s="2" t="s">
        <v>288</v>
      </c>
      <c r="CI455" s="2" t="s">
        <v>1229</v>
      </c>
      <c r="CJ455" s="2" t="s">
        <v>3341</v>
      </c>
      <c r="CK455" s="2" t="s">
        <v>3352</v>
      </c>
      <c r="CL455" s="2" t="s">
        <v>3549</v>
      </c>
      <c r="CM455" s="39">
        <v>5</v>
      </c>
      <c r="CN455" s="2" t="str">
        <f t="shared" ref="CN455:CN518" si="44">_xlfn.XLOOKUP(CP455,$I$205:$I$287,$F$205:$F$287,"X",1)</f>
        <v>TADigital NA | Management - Practice Director / Delivery Director</v>
      </c>
      <c r="CO455" s="2" t="str">
        <f t="shared" si="42"/>
        <v>TADigital India Consulting | Cloud &amp; Engineering - L2 / B1-B3 | Associate Engineer</v>
      </c>
      <c r="CP455" s="1579">
        <v>315</v>
      </c>
      <c r="CQ455" s="1579">
        <v>165</v>
      </c>
      <c r="CR455" s="1579">
        <v>115</v>
      </c>
      <c r="CS455" s="1579">
        <f t="shared" ref="CS455:CS518" si="45">CT455*(1-0.18)</f>
        <v>45.1</v>
      </c>
      <c r="CT455" s="1579">
        <v>55</v>
      </c>
      <c r="CU455" s="2">
        <f t="shared" ref="CU455:CU518" si="46">_xlfn.XLOOKUP(CW455,$C$373:$C$430,$G$373:$G$430,"X",1)</f>
        <v>13</v>
      </c>
      <c r="CV455" s="2" t="str">
        <f t="shared" si="43"/>
        <v>Management - Practice Director / Delivery Director</v>
      </c>
      <c r="CW455" s="2" t="str">
        <f>_xlfn.XLOOKUP(CL455,'[1]Rates &amp; Drop Downs INT'!D$373:D$430,'[1]Rates &amp; Drop Downs INT'!C$373:C$430,"X",1)</f>
        <v>Cloud &amp; Engineering - 2 | Associate Engineer</v>
      </c>
    </row>
    <row r="456" spans="85:101" ht="13.05" customHeight="1" x14ac:dyDescent="0.25">
      <c r="CG456" s="2" t="s">
        <v>288</v>
      </c>
      <c r="CH456" s="2" t="s">
        <v>288</v>
      </c>
      <c r="CI456" s="2" t="s">
        <v>1229</v>
      </c>
      <c r="CJ456" s="2" t="s">
        <v>3341</v>
      </c>
      <c r="CK456" s="2" t="s">
        <v>446</v>
      </c>
      <c r="CL456" s="2" t="s">
        <v>3546</v>
      </c>
      <c r="CM456" s="39">
        <v>4</v>
      </c>
      <c r="CN456" s="2" t="str">
        <f t="shared" si="44"/>
        <v>TADigital NA Consulting - Sr. Project Manager</v>
      </c>
      <c r="CO456" s="2" t="str">
        <f t="shared" si="42"/>
        <v>TADigital India Consulting | Cloud &amp; Engineering - L2 / B1-B3 | Associate Engineer</v>
      </c>
      <c r="CP456" s="1579">
        <v>235</v>
      </c>
      <c r="CQ456" s="1579">
        <v>130</v>
      </c>
      <c r="CR456" s="1579">
        <v>80</v>
      </c>
      <c r="CS456" s="1579">
        <f t="shared" si="45"/>
        <v>38.950000000000003</v>
      </c>
      <c r="CT456" s="1579">
        <v>47.5</v>
      </c>
      <c r="CU456" s="2">
        <f t="shared" si="46"/>
        <v>13</v>
      </c>
      <c r="CV456" s="2" t="str">
        <f t="shared" si="43"/>
        <v>Sr. Project Manager</v>
      </c>
      <c r="CW456" s="2" t="str">
        <f>_xlfn.XLOOKUP(CL456,'[1]Rates &amp; Drop Downs INT'!D$373:D$430,'[1]Rates &amp; Drop Downs INT'!C$373:C$430,"X",1)</f>
        <v>Cloud &amp; Engineering - 2 | Associate Engineer</v>
      </c>
    </row>
    <row r="457" spans="85:101" ht="13.05" customHeight="1" x14ac:dyDescent="0.25">
      <c r="CG457" s="2" t="s">
        <v>288</v>
      </c>
      <c r="CH457" s="2" t="s">
        <v>288</v>
      </c>
      <c r="CI457" s="2" t="s">
        <v>1229</v>
      </c>
      <c r="CJ457" s="2" t="s">
        <v>3341</v>
      </c>
      <c r="CK457" s="2" t="s">
        <v>3353</v>
      </c>
      <c r="CL457" s="2" t="s">
        <v>3549</v>
      </c>
      <c r="CM457" s="39">
        <v>6</v>
      </c>
      <c r="CN457" s="2" t="str">
        <f t="shared" si="44"/>
        <v>TADigital NA | Management - Practice VP / Delivery VP</v>
      </c>
      <c r="CO457" s="2" t="str">
        <f t="shared" si="42"/>
        <v>TADigital India Consulting | Cloud &amp; Engineering - L2 / B1-B3 | Associate Engineer</v>
      </c>
      <c r="CP457" s="1579">
        <v>370</v>
      </c>
      <c r="CQ457" s="1579">
        <v>172.5</v>
      </c>
      <c r="CR457" s="1579">
        <v>135</v>
      </c>
      <c r="CS457" s="1579">
        <f t="shared" si="45"/>
        <v>51.250000000000007</v>
      </c>
      <c r="CT457" s="1579">
        <v>62.5</v>
      </c>
      <c r="CU457" s="2">
        <f t="shared" si="46"/>
        <v>13</v>
      </c>
      <c r="CV457" s="2" t="str">
        <f t="shared" si="43"/>
        <v>Management - Practice VP / Delivery VP</v>
      </c>
      <c r="CW457" s="2" t="str">
        <f>_xlfn.XLOOKUP(CL457,'[1]Rates &amp; Drop Downs INT'!D$373:D$430,'[1]Rates &amp; Drop Downs INT'!C$373:C$430,"X",1)</f>
        <v>Cloud &amp; Engineering - 2 | Associate Engineer</v>
      </c>
    </row>
    <row r="458" spans="85:101" ht="13.05" customHeight="1" x14ac:dyDescent="0.25">
      <c r="CG458" s="2" t="s">
        <v>288</v>
      </c>
      <c r="CH458" s="2" t="s">
        <v>288</v>
      </c>
      <c r="CI458" s="2" t="s">
        <v>1229</v>
      </c>
      <c r="CJ458" s="2" t="s">
        <v>3341</v>
      </c>
      <c r="CK458" s="2" t="s">
        <v>534</v>
      </c>
      <c r="CL458" s="2" t="s">
        <v>3550</v>
      </c>
      <c r="CM458" s="39">
        <v>2</v>
      </c>
      <c r="CN458" s="2" t="str">
        <f t="shared" si="44"/>
        <v>TADigital NA Consulting | Content &amp; SEO - Content Strategist</v>
      </c>
      <c r="CO458" s="2" t="str">
        <f t="shared" si="42"/>
        <v>TADigital India Consulting | Cloud &amp; Engineering - L2 / B1-B3 | Associate Engineer</v>
      </c>
      <c r="CP458" s="1579">
        <v>170</v>
      </c>
      <c r="CQ458" s="1579">
        <v>82.5</v>
      </c>
      <c r="CR458" s="1579">
        <v>65</v>
      </c>
      <c r="CS458" s="1579">
        <f t="shared" si="45"/>
        <v>18.450000000000003</v>
      </c>
      <c r="CT458" s="1579">
        <v>22.5</v>
      </c>
      <c r="CU458" s="2">
        <f t="shared" si="46"/>
        <v>13</v>
      </c>
      <c r="CV458" s="2" t="str">
        <f t="shared" si="43"/>
        <v>Content &amp; SEO - Content Strategist</v>
      </c>
      <c r="CW458" s="2" t="str">
        <f>_xlfn.XLOOKUP(CL458,'[1]Rates &amp; Drop Downs INT'!D$373:D$430,'[1]Rates &amp; Drop Downs INT'!C$373:C$430,"X",1)</f>
        <v>Cloud &amp; Engineering - 2 | Associate Engineer</v>
      </c>
    </row>
    <row r="459" spans="85:101" ht="13.05" customHeight="1" x14ac:dyDescent="0.25">
      <c r="CG459" s="2" t="s">
        <v>288</v>
      </c>
      <c r="CH459" s="2" t="s">
        <v>288</v>
      </c>
      <c r="CI459" s="2" t="s">
        <v>1229</v>
      </c>
      <c r="CJ459" s="2" t="s">
        <v>3341</v>
      </c>
      <c r="CK459" s="2" t="s">
        <v>3354</v>
      </c>
      <c r="CL459" s="2" t="s">
        <v>3549</v>
      </c>
      <c r="CM459" s="39">
        <v>5</v>
      </c>
      <c r="CN459" s="2" t="str">
        <f t="shared" si="44"/>
        <v>TADigital NA | Management - Sr. Practice Director / Sr. Delivery Director</v>
      </c>
      <c r="CO459" s="2" t="str">
        <f t="shared" si="42"/>
        <v>TADigital India Consulting | Cloud &amp; Engineering - L2 / B1-B3 | Associate Engineer</v>
      </c>
      <c r="CP459" s="1579">
        <v>340</v>
      </c>
      <c r="CQ459" s="1579">
        <v>170</v>
      </c>
      <c r="CR459" s="1579">
        <v>125</v>
      </c>
      <c r="CS459" s="1579">
        <f t="shared" si="45"/>
        <v>49.2</v>
      </c>
      <c r="CT459" s="1579">
        <v>60</v>
      </c>
      <c r="CU459" s="2">
        <f t="shared" si="46"/>
        <v>13</v>
      </c>
      <c r="CV459" s="2" t="str">
        <f t="shared" si="43"/>
        <v>Management - Sr. Practice Director / Sr. Delivery Director</v>
      </c>
      <c r="CW459" s="2" t="str">
        <f>_xlfn.XLOOKUP(CL459,'[1]Rates &amp; Drop Downs INT'!D$373:D$430,'[1]Rates &amp; Drop Downs INT'!C$373:C$430,"X",1)</f>
        <v>Cloud &amp; Engineering - 2 | Associate Engineer</v>
      </c>
    </row>
    <row r="460" spans="85:101" ht="13.05" customHeight="1" x14ac:dyDescent="0.25">
      <c r="CG460" s="2" t="s">
        <v>288</v>
      </c>
      <c r="CH460" s="2" t="s">
        <v>288</v>
      </c>
      <c r="CI460" s="2" t="s">
        <v>1229</v>
      </c>
      <c r="CJ460" s="2" t="s">
        <v>3341</v>
      </c>
      <c r="CK460" s="2" t="s">
        <v>448</v>
      </c>
      <c r="CL460" s="2" t="s">
        <v>3546</v>
      </c>
      <c r="CM460" s="39">
        <v>5</v>
      </c>
      <c r="CN460" s="2" t="str">
        <f t="shared" si="44"/>
        <v>TADigital NA Consulting - Delivery Manager</v>
      </c>
      <c r="CO460" s="2" t="str">
        <f t="shared" si="42"/>
        <v>TADigital India Consulting | Cloud &amp; Engineering - L2 / B1-B3 | Associate Engineer</v>
      </c>
      <c r="CP460" s="1579">
        <v>265</v>
      </c>
      <c r="CQ460" s="1579">
        <v>137.5</v>
      </c>
      <c r="CR460" s="1579">
        <v>90</v>
      </c>
      <c r="CS460" s="1579">
        <f t="shared" si="45"/>
        <v>38.950000000000003</v>
      </c>
      <c r="CT460" s="1579">
        <v>47.5</v>
      </c>
      <c r="CU460" s="2">
        <f t="shared" si="46"/>
        <v>13</v>
      </c>
      <c r="CV460" s="2" t="str">
        <f t="shared" si="43"/>
        <v>Delivery Manager</v>
      </c>
      <c r="CW460" s="2" t="str">
        <f>_xlfn.XLOOKUP(CL460,'[1]Rates &amp; Drop Downs INT'!D$373:D$430,'[1]Rates &amp; Drop Downs INT'!C$373:C$430,"X",1)</f>
        <v>Cloud &amp; Engineering - 2 | Associate Engineer</v>
      </c>
    </row>
    <row r="461" spans="85:101" ht="13.05" customHeight="1" x14ac:dyDescent="0.25">
      <c r="CG461" s="2" t="s">
        <v>288</v>
      </c>
      <c r="CH461" s="2" t="s">
        <v>288</v>
      </c>
      <c r="CI461" s="2" t="s">
        <v>1229</v>
      </c>
      <c r="CJ461" s="2" t="s">
        <v>3341</v>
      </c>
      <c r="CK461" s="2" t="s">
        <v>540</v>
      </c>
      <c r="CL461" s="2" t="s">
        <v>538</v>
      </c>
      <c r="CM461" s="39">
        <v>5</v>
      </c>
      <c r="CN461" s="2" t="str">
        <f t="shared" si="44"/>
        <v>TADigital NA Digital - Sr. Technical Architect</v>
      </c>
      <c r="CO461" s="2" t="str">
        <f t="shared" si="42"/>
        <v>TADigital India Consulting | Cloud &amp; Engineering - L2 / B1-B3 | Associate Engineer</v>
      </c>
      <c r="CP461" s="1579">
        <v>275</v>
      </c>
      <c r="CQ461" s="1579">
        <v>155</v>
      </c>
      <c r="CR461" s="1579">
        <v>105</v>
      </c>
      <c r="CS461" s="1579">
        <f t="shared" si="45"/>
        <v>36.900000000000006</v>
      </c>
      <c r="CT461" s="1579">
        <v>45</v>
      </c>
      <c r="CU461" s="2">
        <f t="shared" si="46"/>
        <v>13</v>
      </c>
      <c r="CV461" s="2" t="str">
        <f t="shared" si="43"/>
        <v>Sr. Technical Architect</v>
      </c>
      <c r="CW461" s="2" t="str">
        <f>_xlfn.XLOOKUP(CL461,'[1]Rates &amp; Drop Downs INT'!D$373:D$430,'[1]Rates &amp; Drop Downs INT'!C$373:C$430,"X",1)</f>
        <v>Cloud &amp; Engineering - 2 | Associate Engineer</v>
      </c>
    </row>
    <row r="462" spans="85:101" ht="13.05" customHeight="1" x14ac:dyDescent="0.25">
      <c r="CG462" s="2" t="s">
        <v>288</v>
      </c>
      <c r="CH462" s="2" t="s">
        <v>288</v>
      </c>
      <c r="CI462" s="2" t="s">
        <v>1229</v>
      </c>
      <c r="CJ462" s="2" t="s">
        <v>3341</v>
      </c>
      <c r="CK462" s="2" t="s">
        <v>538</v>
      </c>
      <c r="CL462" s="2" t="s">
        <v>538</v>
      </c>
      <c r="CM462" s="39">
        <v>4</v>
      </c>
      <c r="CN462" s="2" t="str">
        <f t="shared" si="44"/>
        <v>TADigital NA Consulting - Sr. Project Manager</v>
      </c>
      <c r="CO462" s="2" t="str">
        <f t="shared" si="42"/>
        <v>TADigital India Consulting | Cloud &amp; Engineering - L2 / B1-B3 | Associate Engineer</v>
      </c>
      <c r="CP462" s="1579">
        <v>235</v>
      </c>
      <c r="CQ462" s="1579">
        <v>132.5</v>
      </c>
      <c r="CR462" s="1579">
        <v>95</v>
      </c>
      <c r="CS462" s="1579">
        <f t="shared" si="45"/>
        <v>32.800000000000004</v>
      </c>
      <c r="CT462" s="1579">
        <v>40</v>
      </c>
      <c r="CU462" s="2">
        <f t="shared" si="46"/>
        <v>13</v>
      </c>
      <c r="CV462" s="2" t="str">
        <f t="shared" si="43"/>
        <v>Sr. Project Manager</v>
      </c>
      <c r="CW462" s="2" t="str">
        <f>_xlfn.XLOOKUP(CL462,'[1]Rates &amp; Drop Downs INT'!D$373:D$430,'[1]Rates &amp; Drop Downs INT'!C$373:C$430,"X",1)</f>
        <v>Cloud &amp; Engineering - 2 | Associate Engineer</v>
      </c>
    </row>
    <row r="463" spans="85:101" ht="13.05" customHeight="1" x14ac:dyDescent="0.25">
      <c r="CG463" s="2" t="s">
        <v>288</v>
      </c>
      <c r="CH463" s="2" t="s">
        <v>288</v>
      </c>
      <c r="CI463" s="2" t="s">
        <v>1229</v>
      </c>
      <c r="CJ463" s="2" t="s">
        <v>3341</v>
      </c>
      <c r="CK463" s="2" t="s">
        <v>536</v>
      </c>
      <c r="CL463" s="2" t="s">
        <v>536</v>
      </c>
      <c r="CM463" s="39">
        <v>3</v>
      </c>
      <c r="CN463" s="2" t="str">
        <f t="shared" si="44"/>
        <v>TADigital NA Digital - Technical Lead</v>
      </c>
      <c r="CO463" s="2" t="str">
        <f t="shared" si="42"/>
        <v>TADigital India Consulting | Cloud &amp; Engineering - L2 / B1-B3 | Associate Engineer</v>
      </c>
      <c r="CP463" s="1579">
        <v>185</v>
      </c>
      <c r="CQ463" s="1579">
        <v>90</v>
      </c>
      <c r="CR463" s="1579">
        <v>85</v>
      </c>
      <c r="CS463" s="1579">
        <f t="shared" si="45"/>
        <v>24.6</v>
      </c>
      <c r="CT463" s="1579">
        <v>30</v>
      </c>
      <c r="CU463" s="2">
        <f t="shared" si="46"/>
        <v>13</v>
      </c>
      <c r="CV463" s="2" t="str">
        <f t="shared" si="43"/>
        <v>Technical Lead</v>
      </c>
      <c r="CW463" s="2" t="str">
        <f>_xlfn.XLOOKUP(CL463,'[1]Rates &amp; Drop Downs INT'!D$373:D$430,'[1]Rates &amp; Drop Downs INT'!C$373:C$430,"X",1)</f>
        <v>Cloud &amp; Engineering - 2 | Associate Engineer</v>
      </c>
    </row>
    <row r="464" spans="85:101" ht="13.05" customHeight="1" x14ac:dyDescent="0.25">
      <c r="CG464" s="2" t="s">
        <v>288</v>
      </c>
      <c r="CH464" s="2" t="s">
        <v>288</v>
      </c>
      <c r="CI464" s="2" t="s">
        <v>1228</v>
      </c>
      <c r="CJ464" s="2" t="s">
        <v>3342</v>
      </c>
      <c r="CK464" s="2" t="s">
        <v>3351</v>
      </c>
      <c r="CL464" s="2" t="s">
        <v>3545</v>
      </c>
      <c r="CM464" s="39">
        <v>2</v>
      </c>
      <c r="CN464" s="2" t="str">
        <f t="shared" si="44"/>
        <v>TADigital NA Consulting | Content &amp; SEO - Associate Web Content Analyst</v>
      </c>
      <c r="CO464" s="2" t="str">
        <f t="shared" si="42"/>
        <v>TADigital India Consulting | Cloud &amp; Engineering - L2 / B1-B3 | Associate Engineer</v>
      </c>
      <c r="CP464" s="1579">
        <v>0</v>
      </c>
      <c r="CQ464" s="1579">
        <v>0</v>
      </c>
      <c r="CR464" s="1579">
        <v>35</v>
      </c>
      <c r="CS464" s="1579">
        <f t="shared" si="45"/>
        <v>10.66</v>
      </c>
      <c r="CT464" s="1579">
        <v>13</v>
      </c>
      <c r="CU464" s="2">
        <f t="shared" si="46"/>
        <v>13</v>
      </c>
      <c r="CV464" s="2" t="str">
        <f t="shared" si="43"/>
        <v>Content &amp; SEO - Associate Web Content Analyst</v>
      </c>
      <c r="CW464" s="2" t="str">
        <f>_xlfn.XLOOKUP(CL464,'[1]Rates &amp; Drop Downs INT'!D$373:D$430,'[1]Rates &amp; Drop Downs INT'!C$373:C$430,"X",1)</f>
        <v>Cloud &amp; Engineering - 2 | Associate Engineer</v>
      </c>
    </row>
    <row r="465" spans="85:101" ht="13.05" customHeight="1" x14ac:dyDescent="0.25">
      <c r="CG465" s="2" t="s">
        <v>288</v>
      </c>
      <c r="CH465" s="2" t="s">
        <v>288</v>
      </c>
      <c r="CI465" s="2" t="s">
        <v>1228</v>
      </c>
      <c r="CJ465" s="2" t="s">
        <v>3342</v>
      </c>
      <c r="CK465" s="2" t="s">
        <v>720</v>
      </c>
      <c r="CL465" s="2" t="s">
        <v>3546</v>
      </c>
      <c r="CM465" s="39">
        <v>5</v>
      </c>
      <c r="CN465" s="2" t="str">
        <f t="shared" si="44"/>
        <v>TADigital NA | Management - Associate Practice Director</v>
      </c>
      <c r="CO465" s="2" t="str">
        <f t="shared" si="42"/>
        <v>TADigital India Consulting | Cloud &amp; Engineering - L2 / B1-B3 | Associate Engineer</v>
      </c>
      <c r="CP465" s="1579">
        <v>290</v>
      </c>
      <c r="CQ465" s="1579">
        <v>140</v>
      </c>
      <c r="CR465" s="1579">
        <v>105</v>
      </c>
      <c r="CS465" s="1579">
        <f t="shared" si="45"/>
        <v>45.1</v>
      </c>
      <c r="CT465" s="1579">
        <v>55</v>
      </c>
      <c r="CU465" s="2">
        <f t="shared" si="46"/>
        <v>13</v>
      </c>
      <c r="CV465" s="2" t="str">
        <f t="shared" si="43"/>
        <v>Management - Associate Practice Director</v>
      </c>
      <c r="CW465" s="2" t="str">
        <f>_xlfn.XLOOKUP(CL465,'[1]Rates &amp; Drop Downs INT'!D$373:D$430,'[1]Rates &amp; Drop Downs INT'!C$373:C$430,"X",1)</f>
        <v>Cloud &amp; Engineering - 2 | Associate Engineer</v>
      </c>
    </row>
    <row r="466" spans="85:101" ht="13.05" customHeight="1" x14ac:dyDescent="0.25">
      <c r="CG466" s="2" t="s">
        <v>288</v>
      </c>
      <c r="CH466" s="2" t="s">
        <v>288</v>
      </c>
      <c r="CI466" s="2" t="s">
        <v>1228</v>
      </c>
      <c r="CJ466" s="2" t="s">
        <v>3342</v>
      </c>
      <c r="CK466" s="2" t="s">
        <v>532</v>
      </c>
      <c r="CL466" s="2" t="s">
        <v>3547</v>
      </c>
      <c r="CM466" s="39">
        <v>2</v>
      </c>
      <c r="CN466" s="2" t="str">
        <f t="shared" si="44"/>
        <v>TADigital NA Consulting | Content &amp; SEO - Associate Content Strategist</v>
      </c>
      <c r="CO466" s="2" t="str">
        <f t="shared" si="42"/>
        <v>TADigital India Consulting | Cloud &amp; Engineering - L2 / B1-B3 | Associate Engineer</v>
      </c>
      <c r="CP466" s="1579">
        <v>160</v>
      </c>
      <c r="CQ466" s="1579">
        <v>80</v>
      </c>
      <c r="CR466" s="1579">
        <v>55</v>
      </c>
      <c r="CS466" s="1579">
        <f t="shared" si="45"/>
        <v>14.760000000000002</v>
      </c>
      <c r="CT466" s="1579">
        <v>18</v>
      </c>
      <c r="CU466" s="2">
        <f t="shared" si="46"/>
        <v>13</v>
      </c>
      <c r="CV466" s="2" t="str">
        <f t="shared" si="43"/>
        <v>Content &amp; SEO - Associate Content Strategist</v>
      </c>
      <c r="CW466" s="2" t="str">
        <f>_xlfn.XLOOKUP(CL466,'[1]Rates &amp; Drop Downs INT'!D$373:D$430,'[1]Rates &amp; Drop Downs INT'!C$373:C$430,"X",1)</f>
        <v>Cloud &amp; Engineering - 2 | Associate Engineer</v>
      </c>
    </row>
    <row r="467" spans="85:101" ht="13.05" customHeight="1" x14ac:dyDescent="0.25">
      <c r="CG467" s="2" t="s">
        <v>288</v>
      </c>
      <c r="CH467" s="2" t="s">
        <v>288</v>
      </c>
      <c r="CI467" s="2" t="s">
        <v>1228</v>
      </c>
      <c r="CJ467" s="2" t="s">
        <v>3342</v>
      </c>
      <c r="CK467" s="2" t="s">
        <v>542</v>
      </c>
      <c r="CL467" s="2" t="s">
        <v>3548</v>
      </c>
      <c r="CM467" s="39">
        <v>5</v>
      </c>
      <c r="CN467" s="2" t="str">
        <f t="shared" si="44"/>
        <v>TADigital NA | Management - Associate Practice Director</v>
      </c>
      <c r="CO467" s="2" t="str">
        <f t="shared" si="42"/>
        <v>TADigital India Consulting | Cloud &amp; Engineering - L2 / B1-B3 | Associate Engineer</v>
      </c>
      <c r="CP467" s="1579">
        <v>290</v>
      </c>
      <c r="CQ467" s="1579">
        <v>167.5</v>
      </c>
      <c r="CR467" s="1579">
        <v>125</v>
      </c>
      <c r="CS467" s="1579">
        <f t="shared" si="45"/>
        <v>51.250000000000007</v>
      </c>
      <c r="CT467" s="1579">
        <v>62.5</v>
      </c>
      <c r="CU467" s="2">
        <f t="shared" si="46"/>
        <v>13</v>
      </c>
      <c r="CV467" s="2" t="str">
        <f t="shared" si="43"/>
        <v>Management - Associate Practice Director</v>
      </c>
      <c r="CW467" s="2" t="str">
        <f>_xlfn.XLOOKUP(CL467,'[1]Rates &amp; Drop Downs INT'!D$373:D$430,'[1]Rates &amp; Drop Downs INT'!C$373:C$430,"X",1)</f>
        <v>Cloud &amp; Engineering - 2 | Associate Engineer</v>
      </c>
    </row>
    <row r="468" spans="85:101" ht="13.05" customHeight="1" x14ac:dyDescent="0.25">
      <c r="CG468" s="2" t="s">
        <v>288</v>
      </c>
      <c r="CH468" s="2" t="s">
        <v>288</v>
      </c>
      <c r="CI468" s="2" t="s">
        <v>1228</v>
      </c>
      <c r="CJ468" s="2" t="s">
        <v>3342</v>
      </c>
      <c r="CK468" s="2" t="s">
        <v>3352</v>
      </c>
      <c r="CL468" s="2" t="s">
        <v>3549</v>
      </c>
      <c r="CM468" s="39">
        <v>5</v>
      </c>
      <c r="CN468" s="2" t="str">
        <f t="shared" si="44"/>
        <v>TADigital NA | Management - Practice Director / Delivery Director</v>
      </c>
      <c r="CO468" s="2" t="str">
        <f t="shared" si="42"/>
        <v>TADigital India Consulting | Cloud &amp; Engineering - L2 / B1-B3 | Associate Engineer</v>
      </c>
      <c r="CP468" s="1579">
        <v>315</v>
      </c>
      <c r="CQ468" s="1579">
        <v>165</v>
      </c>
      <c r="CR468" s="1579">
        <v>115</v>
      </c>
      <c r="CS468" s="1579">
        <f t="shared" si="45"/>
        <v>45.1</v>
      </c>
      <c r="CT468" s="1579">
        <v>55</v>
      </c>
      <c r="CU468" s="2">
        <f t="shared" si="46"/>
        <v>13</v>
      </c>
      <c r="CV468" s="2" t="str">
        <f t="shared" si="43"/>
        <v>Management - Practice Director / Delivery Director</v>
      </c>
      <c r="CW468" s="2" t="str">
        <f>_xlfn.XLOOKUP(CL468,'[1]Rates &amp; Drop Downs INT'!D$373:D$430,'[1]Rates &amp; Drop Downs INT'!C$373:C$430,"X",1)</f>
        <v>Cloud &amp; Engineering - 2 | Associate Engineer</v>
      </c>
    </row>
    <row r="469" spans="85:101" ht="13.05" customHeight="1" x14ac:dyDescent="0.25">
      <c r="CG469" s="2" t="s">
        <v>288</v>
      </c>
      <c r="CH469" s="2" t="s">
        <v>288</v>
      </c>
      <c r="CI469" s="2" t="s">
        <v>1228</v>
      </c>
      <c r="CJ469" s="2" t="s">
        <v>3342</v>
      </c>
      <c r="CK469" s="2" t="s">
        <v>446</v>
      </c>
      <c r="CL469" s="2" t="s">
        <v>3546</v>
      </c>
      <c r="CM469" s="39">
        <v>4</v>
      </c>
      <c r="CN469" s="2" t="str">
        <f t="shared" si="44"/>
        <v>TADigital NA Consulting - Sr. Project Manager</v>
      </c>
      <c r="CO469" s="2" t="str">
        <f t="shared" si="42"/>
        <v>TADigital India Consulting | Cloud &amp; Engineering - L2 / B1-B3 | Associate Engineer</v>
      </c>
      <c r="CP469" s="1579">
        <v>235</v>
      </c>
      <c r="CQ469" s="1579">
        <v>130</v>
      </c>
      <c r="CR469" s="1579">
        <v>80</v>
      </c>
      <c r="CS469" s="1579">
        <f t="shared" si="45"/>
        <v>38.950000000000003</v>
      </c>
      <c r="CT469" s="1579">
        <v>47.5</v>
      </c>
      <c r="CU469" s="2">
        <f t="shared" si="46"/>
        <v>13</v>
      </c>
      <c r="CV469" s="2" t="str">
        <f t="shared" si="43"/>
        <v>Sr. Project Manager</v>
      </c>
      <c r="CW469" s="2" t="str">
        <f>_xlfn.XLOOKUP(CL469,'[1]Rates &amp; Drop Downs INT'!D$373:D$430,'[1]Rates &amp; Drop Downs INT'!C$373:C$430,"X",1)</f>
        <v>Cloud &amp; Engineering - 2 | Associate Engineer</v>
      </c>
    </row>
    <row r="470" spans="85:101" ht="13.05" customHeight="1" x14ac:dyDescent="0.25">
      <c r="CG470" s="2" t="s">
        <v>288</v>
      </c>
      <c r="CH470" s="2" t="s">
        <v>288</v>
      </c>
      <c r="CI470" s="2" t="s">
        <v>1228</v>
      </c>
      <c r="CJ470" s="2" t="s">
        <v>3342</v>
      </c>
      <c r="CK470" s="2" t="s">
        <v>3353</v>
      </c>
      <c r="CL470" s="2" t="s">
        <v>3549</v>
      </c>
      <c r="CM470" s="39">
        <v>6</v>
      </c>
      <c r="CN470" s="2" t="str">
        <f t="shared" si="44"/>
        <v>TADigital NA | Management - Practice VP / Delivery VP</v>
      </c>
      <c r="CO470" s="2" t="str">
        <f t="shared" si="42"/>
        <v>TADigital India Consulting | Cloud &amp; Engineering - L2 / B1-B3 | Associate Engineer</v>
      </c>
      <c r="CP470" s="1579">
        <v>370</v>
      </c>
      <c r="CQ470" s="1579">
        <v>172.5</v>
      </c>
      <c r="CR470" s="1579">
        <v>135</v>
      </c>
      <c r="CS470" s="1579">
        <f t="shared" si="45"/>
        <v>51.250000000000007</v>
      </c>
      <c r="CT470" s="1579">
        <v>62.5</v>
      </c>
      <c r="CU470" s="2">
        <f t="shared" si="46"/>
        <v>13</v>
      </c>
      <c r="CV470" s="2" t="str">
        <f t="shared" si="43"/>
        <v>Management - Practice VP / Delivery VP</v>
      </c>
      <c r="CW470" s="2" t="str">
        <f>_xlfn.XLOOKUP(CL470,'[1]Rates &amp; Drop Downs INT'!D$373:D$430,'[1]Rates &amp; Drop Downs INT'!C$373:C$430,"X",1)</f>
        <v>Cloud &amp; Engineering - 2 | Associate Engineer</v>
      </c>
    </row>
    <row r="471" spans="85:101" ht="13.05" customHeight="1" x14ac:dyDescent="0.25">
      <c r="CG471" s="2" t="s">
        <v>288</v>
      </c>
      <c r="CH471" s="2" t="s">
        <v>288</v>
      </c>
      <c r="CI471" s="2" t="s">
        <v>1228</v>
      </c>
      <c r="CJ471" s="2" t="s">
        <v>3342</v>
      </c>
      <c r="CK471" s="2" t="s">
        <v>534</v>
      </c>
      <c r="CL471" s="2" t="s">
        <v>3550</v>
      </c>
      <c r="CM471" s="39">
        <v>2</v>
      </c>
      <c r="CN471" s="2" t="str">
        <f t="shared" si="44"/>
        <v>TADigital NA Consulting | Content &amp; SEO - Content Strategist</v>
      </c>
      <c r="CO471" s="2" t="str">
        <f t="shared" si="42"/>
        <v>TADigital India Consulting | Cloud &amp; Engineering - L2 / B1-B3 | Associate Engineer</v>
      </c>
      <c r="CP471" s="1579">
        <v>170</v>
      </c>
      <c r="CQ471" s="1579">
        <v>82.5</v>
      </c>
      <c r="CR471" s="1579">
        <v>65</v>
      </c>
      <c r="CS471" s="1579">
        <f t="shared" si="45"/>
        <v>18.450000000000003</v>
      </c>
      <c r="CT471" s="1579">
        <v>22.5</v>
      </c>
      <c r="CU471" s="2">
        <f t="shared" si="46"/>
        <v>13</v>
      </c>
      <c r="CV471" s="2" t="str">
        <f t="shared" si="43"/>
        <v>Content &amp; SEO - Content Strategist</v>
      </c>
      <c r="CW471" s="2" t="str">
        <f>_xlfn.XLOOKUP(CL471,'[1]Rates &amp; Drop Downs INT'!D$373:D$430,'[1]Rates &amp; Drop Downs INT'!C$373:C$430,"X",1)</f>
        <v>Cloud &amp; Engineering - 2 | Associate Engineer</v>
      </c>
    </row>
    <row r="472" spans="85:101" ht="13.05" customHeight="1" x14ac:dyDescent="0.25">
      <c r="CG472" s="2" t="s">
        <v>288</v>
      </c>
      <c r="CH472" s="2" t="s">
        <v>288</v>
      </c>
      <c r="CI472" s="2" t="s">
        <v>1228</v>
      </c>
      <c r="CJ472" s="2" t="s">
        <v>3342</v>
      </c>
      <c r="CK472" s="2" t="s">
        <v>3354</v>
      </c>
      <c r="CL472" s="2" t="s">
        <v>3549</v>
      </c>
      <c r="CM472" s="39">
        <v>5</v>
      </c>
      <c r="CN472" s="2" t="str">
        <f t="shared" si="44"/>
        <v>TADigital NA | Management - Sr. Practice Director / Sr. Delivery Director</v>
      </c>
      <c r="CO472" s="2" t="str">
        <f t="shared" si="42"/>
        <v>TADigital India Consulting | Cloud &amp; Engineering - L2 / B1-B3 | Associate Engineer</v>
      </c>
      <c r="CP472" s="1579">
        <v>340</v>
      </c>
      <c r="CQ472" s="1579">
        <v>170</v>
      </c>
      <c r="CR472" s="1579">
        <v>125</v>
      </c>
      <c r="CS472" s="1579">
        <f t="shared" si="45"/>
        <v>49.2</v>
      </c>
      <c r="CT472" s="1579">
        <v>60</v>
      </c>
      <c r="CU472" s="2">
        <f t="shared" si="46"/>
        <v>13</v>
      </c>
      <c r="CV472" s="2" t="str">
        <f t="shared" si="43"/>
        <v>Management - Sr. Practice Director / Sr. Delivery Director</v>
      </c>
      <c r="CW472" s="2" t="str">
        <f>_xlfn.XLOOKUP(CL472,'[1]Rates &amp; Drop Downs INT'!D$373:D$430,'[1]Rates &amp; Drop Downs INT'!C$373:C$430,"X",1)</f>
        <v>Cloud &amp; Engineering - 2 | Associate Engineer</v>
      </c>
    </row>
    <row r="473" spans="85:101" ht="13.05" customHeight="1" x14ac:dyDescent="0.25">
      <c r="CG473" s="2" t="s">
        <v>288</v>
      </c>
      <c r="CH473" s="2" t="s">
        <v>288</v>
      </c>
      <c r="CI473" s="2" t="s">
        <v>1228</v>
      </c>
      <c r="CJ473" s="2" t="s">
        <v>3342</v>
      </c>
      <c r="CK473" s="2" t="s">
        <v>448</v>
      </c>
      <c r="CL473" s="2" t="s">
        <v>3546</v>
      </c>
      <c r="CM473" s="39">
        <v>5</v>
      </c>
      <c r="CN473" s="2" t="str">
        <f t="shared" si="44"/>
        <v>TADigital NA Consulting - Delivery Manager</v>
      </c>
      <c r="CO473" s="2" t="str">
        <f t="shared" si="42"/>
        <v>TADigital India Consulting | Cloud &amp; Engineering - L2 / B1-B3 | Associate Engineer</v>
      </c>
      <c r="CP473" s="1579">
        <v>265</v>
      </c>
      <c r="CQ473" s="1579">
        <v>137.5</v>
      </c>
      <c r="CR473" s="1579">
        <v>90</v>
      </c>
      <c r="CS473" s="1579">
        <f t="shared" si="45"/>
        <v>38.950000000000003</v>
      </c>
      <c r="CT473" s="1579">
        <v>47.5</v>
      </c>
      <c r="CU473" s="2">
        <f t="shared" si="46"/>
        <v>13</v>
      </c>
      <c r="CV473" s="2" t="str">
        <f t="shared" si="43"/>
        <v>Delivery Manager</v>
      </c>
      <c r="CW473" s="2" t="str">
        <f>_xlfn.XLOOKUP(CL473,'[1]Rates &amp; Drop Downs INT'!D$373:D$430,'[1]Rates &amp; Drop Downs INT'!C$373:C$430,"X",1)</f>
        <v>Cloud &amp; Engineering - 2 | Associate Engineer</v>
      </c>
    </row>
    <row r="474" spans="85:101" ht="13.05" customHeight="1" x14ac:dyDescent="0.25">
      <c r="CG474" s="2" t="s">
        <v>288</v>
      </c>
      <c r="CH474" s="2" t="s">
        <v>288</v>
      </c>
      <c r="CI474" s="2" t="s">
        <v>1228</v>
      </c>
      <c r="CJ474" s="2" t="s">
        <v>3342</v>
      </c>
      <c r="CK474" s="2" t="s">
        <v>540</v>
      </c>
      <c r="CL474" s="2" t="s">
        <v>538</v>
      </c>
      <c r="CM474" s="39">
        <v>5</v>
      </c>
      <c r="CN474" s="2" t="str">
        <f t="shared" si="44"/>
        <v>TADigital NA Digital - Sr. Technical Architect</v>
      </c>
      <c r="CO474" s="2" t="str">
        <f t="shared" si="42"/>
        <v>TADigital India Consulting | Cloud &amp; Engineering - L2 / B1-B3 | Associate Engineer</v>
      </c>
      <c r="CP474" s="1579">
        <v>275</v>
      </c>
      <c r="CQ474" s="1579">
        <v>155</v>
      </c>
      <c r="CR474" s="1579">
        <v>105</v>
      </c>
      <c r="CS474" s="1579">
        <f t="shared" si="45"/>
        <v>36.900000000000006</v>
      </c>
      <c r="CT474" s="1579">
        <v>45</v>
      </c>
      <c r="CU474" s="2">
        <f t="shared" si="46"/>
        <v>13</v>
      </c>
      <c r="CV474" s="2" t="str">
        <f t="shared" si="43"/>
        <v>Sr. Technical Architect</v>
      </c>
      <c r="CW474" s="2" t="str">
        <f>_xlfn.XLOOKUP(CL474,'[1]Rates &amp; Drop Downs INT'!D$373:D$430,'[1]Rates &amp; Drop Downs INT'!C$373:C$430,"X",1)</f>
        <v>Cloud &amp; Engineering - 2 | Associate Engineer</v>
      </c>
    </row>
    <row r="475" spans="85:101" ht="13.05" customHeight="1" x14ac:dyDescent="0.25">
      <c r="CG475" s="2" t="s">
        <v>288</v>
      </c>
      <c r="CH475" s="2" t="s">
        <v>288</v>
      </c>
      <c r="CI475" s="2" t="s">
        <v>1228</v>
      </c>
      <c r="CJ475" s="2" t="s">
        <v>3342</v>
      </c>
      <c r="CK475" s="2" t="s">
        <v>538</v>
      </c>
      <c r="CL475" s="2" t="s">
        <v>538</v>
      </c>
      <c r="CM475" s="39">
        <v>4</v>
      </c>
      <c r="CN475" s="2" t="str">
        <f t="shared" si="44"/>
        <v>TADigital NA Consulting - Sr. Project Manager</v>
      </c>
      <c r="CO475" s="2" t="str">
        <f t="shared" si="42"/>
        <v>TADigital India Consulting | Cloud &amp; Engineering - L2 / B1-B3 | Associate Engineer</v>
      </c>
      <c r="CP475" s="1579">
        <v>235</v>
      </c>
      <c r="CQ475" s="1579">
        <v>132.5</v>
      </c>
      <c r="CR475" s="1579">
        <v>95</v>
      </c>
      <c r="CS475" s="1579">
        <f t="shared" si="45"/>
        <v>32.800000000000004</v>
      </c>
      <c r="CT475" s="1579">
        <v>40</v>
      </c>
      <c r="CU475" s="2">
        <f t="shared" si="46"/>
        <v>13</v>
      </c>
      <c r="CV475" s="2" t="str">
        <f t="shared" si="43"/>
        <v>Sr. Project Manager</v>
      </c>
      <c r="CW475" s="2" t="str">
        <f>_xlfn.XLOOKUP(CL475,'[1]Rates &amp; Drop Downs INT'!D$373:D$430,'[1]Rates &amp; Drop Downs INT'!C$373:C$430,"X",1)</f>
        <v>Cloud &amp; Engineering - 2 | Associate Engineer</v>
      </c>
    </row>
    <row r="476" spans="85:101" ht="13.05" customHeight="1" x14ac:dyDescent="0.25">
      <c r="CG476" s="2" t="s">
        <v>288</v>
      </c>
      <c r="CH476" s="2" t="s">
        <v>288</v>
      </c>
      <c r="CI476" s="2" t="s">
        <v>1228</v>
      </c>
      <c r="CJ476" s="2" t="s">
        <v>3342</v>
      </c>
      <c r="CK476" s="2" t="s">
        <v>536</v>
      </c>
      <c r="CL476" s="2" t="s">
        <v>536</v>
      </c>
      <c r="CM476" s="39">
        <v>3</v>
      </c>
      <c r="CN476" s="2" t="str">
        <f t="shared" si="44"/>
        <v>TADigital NA Digital - Technical Lead</v>
      </c>
      <c r="CO476" s="2" t="str">
        <f t="shared" si="42"/>
        <v>TADigital India Consulting | Cloud &amp; Engineering - L2 / B1-B3 | Associate Engineer</v>
      </c>
      <c r="CP476" s="1579">
        <v>185</v>
      </c>
      <c r="CQ476" s="1579">
        <v>90</v>
      </c>
      <c r="CR476" s="1579">
        <v>85</v>
      </c>
      <c r="CS476" s="1579">
        <f t="shared" si="45"/>
        <v>24.6</v>
      </c>
      <c r="CT476" s="1579">
        <v>30</v>
      </c>
      <c r="CU476" s="2">
        <f t="shared" si="46"/>
        <v>13</v>
      </c>
      <c r="CV476" s="2" t="str">
        <f t="shared" si="43"/>
        <v>Technical Lead</v>
      </c>
      <c r="CW476" s="2" t="str">
        <f>_xlfn.XLOOKUP(CL476,'[1]Rates &amp; Drop Downs INT'!D$373:D$430,'[1]Rates &amp; Drop Downs INT'!C$373:C$430,"X",1)</f>
        <v>Cloud &amp; Engineering - 2 | Associate Engineer</v>
      </c>
    </row>
    <row r="477" spans="85:101" ht="13.05" customHeight="1" x14ac:dyDescent="0.25">
      <c r="CG477" s="2" t="s">
        <v>288</v>
      </c>
      <c r="CH477" s="2" t="s">
        <v>288</v>
      </c>
      <c r="CI477" s="2" t="s">
        <v>1225</v>
      </c>
      <c r="CJ477" s="2" t="s">
        <v>3343</v>
      </c>
      <c r="CK477" s="2" t="s">
        <v>3363</v>
      </c>
      <c r="CL477" s="2">
        <v>0</v>
      </c>
      <c r="CM477" s="39">
        <v>2</v>
      </c>
      <c r="CN477" s="2" t="str">
        <f t="shared" si="44"/>
        <v>TADigital NA Consulting | Content &amp; SEO - Associate Web Content Analyst</v>
      </c>
      <c r="CO477" s="2" t="str">
        <f t="shared" si="42"/>
        <v>TADigital India Consulting | Cloud &amp; Engineering - L2 / B1-B3 | Associate Engineer</v>
      </c>
      <c r="CP477" s="1579">
        <v>0</v>
      </c>
      <c r="CQ477" s="1579">
        <v>0</v>
      </c>
      <c r="CR477" s="1579">
        <v>35</v>
      </c>
      <c r="CS477" s="1579">
        <f t="shared" si="45"/>
        <v>10.66</v>
      </c>
      <c r="CT477" s="1579">
        <v>13</v>
      </c>
      <c r="CU477" s="2">
        <f t="shared" si="46"/>
        <v>13</v>
      </c>
      <c r="CV477" s="2" t="str">
        <f t="shared" si="43"/>
        <v>Content &amp; SEO - Associate Web Content Analyst</v>
      </c>
      <c r="CW477" s="2" t="str">
        <f>_xlfn.XLOOKUP(CL477,'[1]Rates &amp; Drop Downs INT'!D$373:D$430,'[1]Rates &amp; Drop Downs INT'!C$373:C$430,"X",1)</f>
        <v>Cloud &amp; Engineering - 2 | Associate Engineer</v>
      </c>
    </row>
    <row r="478" spans="85:101" ht="13.05" customHeight="1" x14ac:dyDescent="0.25">
      <c r="CG478" s="2" t="s">
        <v>288</v>
      </c>
      <c r="CH478" s="2" t="s">
        <v>288</v>
      </c>
      <c r="CI478" s="2" t="s">
        <v>1225</v>
      </c>
      <c r="CJ478" s="2" t="s">
        <v>3343</v>
      </c>
      <c r="CK478" s="2" t="s">
        <v>720</v>
      </c>
      <c r="CL478" s="2" t="s">
        <v>3546</v>
      </c>
      <c r="CM478" s="39">
        <v>5</v>
      </c>
      <c r="CN478" s="2" t="str">
        <f t="shared" si="44"/>
        <v>TADigital NA | Management - Associate Practice Director</v>
      </c>
      <c r="CO478" s="2" t="str">
        <f t="shared" si="42"/>
        <v>TADigital India Consulting | Cloud &amp; Engineering - L2 / B1-B3 | Associate Engineer</v>
      </c>
      <c r="CP478" s="1579">
        <v>290</v>
      </c>
      <c r="CQ478" s="1579">
        <v>140</v>
      </c>
      <c r="CR478" s="1579">
        <v>105</v>
      </c>
      <c r="CS478" s="1579">
        <f t="shared" si="45"/>
        <v>45.1</v>
      </c>
      <c r="CT478" s="1579">
        <v>55</v>
      </c>
      <c r="CU478" s="2">
        <f t="shared" si="46"/>
        <v>13</v>
      </c>
      <c r="CV478" s="2" t="str">
        <f t="shared" si="43"/>
        <v>Management - Associate Practice Director</v>
      </c>
      <c r="CW478" s="2" t="str">
        <f>_xlfn.XLOOKUP(CL478,'[1]Rates &amp; Drop Downs INT'!D$373:D$430,'[1]Rates &amp; Drop Downs INT'!C$373:C$430,"X",1)</f>
        <v>Cloud &amp; Engineering - 2 | Associate Engineer</v>
      </c>
    </row>
    <row r="479" spans="85:101" ht="13.05" customHeight="1" x14ac:dyDescent="0.25">
      <c r="CG479" s="2" t="s">
        <v>288</v>
      </c>
      <c r="CH479" s="2" t="s">
        <v>288</v>
      </c>
      <c r="CI479" s="2" t="s">
        <v>1225</v>
      </c>
      <c r="CJ479" s="2" t="s">
        <v>3343</v>
      </c>
      <c r="CK479" s="2" t="s">
        <v>580</v>
      </c>
      <c r="CL479" s="2" t="s">
        <v>3551</v>
      </c>
      <c r="CM479" s="39">
        <v>4</v>
      </c>
      <c r="CN479" s="2" t="str">
        <f t="shared" si="44"/>
        <v>TADigital NA Consulting - Sr. Project Manager</v>
      </c>
      <c r="CO479" s="2" t="str">
        <f t="shared" si="42"/>
        <v>TADigital India Consulting | Cloud &amp; Engineering - L2 / B1-B3 | Associate Engineer</v>
      </c>
      <c r="CP479" s="1579">
        <v>235</v>
      </c>
      <c r="CQ479" s="1579">
        <v>120</v>
      </c>
      <c r="CR479" s="1579">
        <v>90</v>
      </c>
      <c r="CS479" s="1579">
        <f t="shared" si="45"/>
        <v>36.900000000000006</v>
      </c>
      <c r="CT479" s="1579">
        <v>45</v>
      </c>
      <c r="CU479" s="2">
        <f t="shared" si="46"/>
        <v>13</v>
      </c>
      <c r="CV479" s="2" t="str">
        <f t="shared" si="43"/>
        <v>Sr. Project Manager</v>
      </c>
      <c r="CW479" s="2" t="str">
        <f>_xlfn.XLOOKUP(CL479,'[1]Rates &amp; Drop Downs INT'!D$373:D$430,'[1]Rates &amp; Drop Downs INT'!C$373:C$430,"X",1)</f>
        <v>Cloud &amp; Engineering - 2 | Associate Engineer</v>
      </c>
    </row>
    <row r="480" spans="85:101" ht="13.05" customHeight="1" x14ac:dyDescent="0.25">
      <c r="CG480" s="2" t="s">
        <v>288</v>
      </c>
      <c r="CH480" s="2" t="s">
        <v>288</v>
      </c>
      <c r="CI480" s="2" t="s">
        <v>1225</v>
      </c>
      <c r="CJ480" s="2" t="s">
        <v>3343</v>
      </c>
      <c r="CK480" s="2" t="s">
        <v>329</v>
      </c>
      <c r="CL480" s="2" t="s">
        <v>3552</v>
      </c>
      <c r="CM480" s="39">
        <v>2</v>
      </c>
      <c r="CN480" s="2" t="str">
        <f t="shared" si="44"/>
        <v>TADigital NA Digital - DevOps Engineer</v>
      </c>
      <c r="CO480" s="2" t="str">
        <f t="shared" si="42"/>
        <v>TADigital India Consulting | Cloud &amp; Engineering - L2 / B1-B3 | Associate Engineer</v>
      </c>
      <c r="CP480" s="1579">
        <v>130</v>
      </c>
      <c r="CQ480" s="1579">
        <v>70</v>
      </c>
      <c r="CR480" s="1579">
        <v>55</v>
      </c>
      <c r="CS480" s="1579">
        <f t="shared" si="45"/>
        <v>14.760000000000002</v>
      </c>
      <c r="CT480" s="1579">
        <v>18</v>
      </c>
      <c r="CU480" s="2">
        <f t="shared" si="46"/>
        <v>13</v>
      </c>
      <c r="CV480" s="2" t="str">
        <f t="shared" si="43"/>
        <v>DevOps Engineer</v>
      </c>
      <c r="CW480" s="2" t="str">
        <f>_xlfn.XLOOKUP(CL480,'[1]Rates &amp; Drop Downs INT'!D$373:D$430,'[1]Rates &amp; Drop Downs INT'!C$373:C$430,"X",1)</f>
        <v>Cloud &amp; Engineering - 2 | Associate Engineer</v>
      </c>
    </row>
    <row r="481" spans="85:101" ht="13.05" customHeight="1" x14ac:dyDescent="0.25">
      <c r="CG481" s="2" t="s">
        <v>288</v>
      </c>
      <c r="CH481" s="2" t="s">
        <v>288</v>
      </c>
      <c r="CI481" s="2" t="s">
        <v>1225</v>
      </c>
      <c r="CJ481" s="2" t="s">
        <v>3343</v>
      </c>
      <c r="CK481" s="2" t="s">
        <v>578</v>
      </c>
      <c r="CL481" s="2" t="s">
        <v>3553</v>
      </c>
      <c r="CM481" s="39">
        <v>3</v>
      </c>
      <c r="CN481" s="2" t="str">
        <f t="shared" si="44"/>
        <v>TADigital NA Digital - Technical Lead</v>
      </c>
      <c r="CO481" s="2" t="str">
        <f t="shared" si="42"/>
        <v>TADigital India Consulting | Cloud &amp; Engineering - L2 / B1-B3 | Associate Engineer</v>
      </c>
      <c r="CP481" s="1579">
        <v>185</v>
      </c>
      <c r="CQ481" s="1579">
        <v>105</v>
      </c>
      <c r="CR481" s="1579">
        <v>80</v>
      </c>
      <c r="CS481" s="1579">
        <f t="shared" si="45"/>
        <v>22.55</v>
      </c>
      <c r="CT481" s="1579">
        <v>27.5</v>
      </c>
      <c r="CU481" s="2">
        <f t="shared" si="46"/>
        <v>13</v>
      </c>
      <c r="CV481" s="2" t="str">
        <f t="shared" si="43"/>
        <v>Technical Lead</v>
      </c>
      <c r="CW481" s="2" t="str">
        <f>_xlfn.XLOOKUP(CL481,'[1]Rates &amp; Drop Downs INT'!D$373:D$430,'[1]Rates &amp; Drop Downs INT'!C$373:C$430,"X",1)</f>
        <v>Cloud &amp; Engineering - 2 | Associate Engineer</v>
      </c>
    </row>
    <row r="482" spans="85:101" ht="13.05" customHeight="1" x14ac:dyDescent="0.25">
      <c r="CG482" s="2" t="s">
        <v>288</v>
      </c>
      <c r="CH482" s="2" t="s">
        <v>288</v>
      </c>
      <c r="CI482" s="2" t="s">
        <v>1225</v>
      </c>
      <c r="CJ482" s="2" t="s">
        <v>3343</v>
      </c>
      <c r="CK482" s="2" t="s">
        <v>582</v>
      </c>
      <c r="CL482" s="2">
        <v>0</v>
      </c>
      <c r="CM482" s="39">
        <v>5</v>
      </c>
      <c r="CN482" s="2" t="str">
        <f t="shared" si="44"/>
        <v>TADigital NA Consulting - Delivery Manager</v>
      </c>
      <c r="CO482" s="2" t="str">
        <f t="shared" si="42"/>
        <v>TADigital India Consulting | Cloud &amp; Engineering - L2 / B1-B3 | Associate Engineer</v>
      </c>
      <c r="CP482" s="1579">
        <v>265</v>
      </c>
      <c r="CQ482" s="1579">
        <v>132.5</v>
      </c>
      <c r="CR482" s="1579">
        <v>105</v>
      </c>
      <c r="CS482" s="1579">
        <f t="shared" si="45"/>
        <v>41</v>
      </c>
      <c r="CT482" s="1579">
        <v>50</v>
      </c>
      <c r="CU482" s="2">
        <f t="shared" si="46"/>
        <v>13</v>
      </c>
      <c r="CV482" s="2" t="str">
        <f t="shared" si="43"/>
        <v>Delivery Manager</v>
      </c>
      <c r="CW482" s="2" t="str">
        <f>_xlfn.XLOOKUP(CL482,'[1]Rates &amp; Drop Downs INT'!D$373:D$430,'[1]Rates &amp; Drop Downs INT'!C$373:C$430,"X",1)</f>
        <v>Cloud &amp; Engineering - 2 | Associate Engineer</v>
      </c>
    </row>
    <row r="483" spans="85:101" ht="13.05" customHeight="1" x14ac:dyDescent="0.25">
      <c r="CG483" s="2" t="s">
        <v>288</v>
      </c>
      <c r="CH483" s="2" t="s">
        <v>288</v>
      </c>
      <c r="CI483" s="2" t="s">
        <v>1225</v>
      </c>
      <c r="CJ483" s="2" t="s">
        <v>3343</v>
      </c>
      <c r="CK483" s="2" t="s">
        <v>3352</v>
      </c>
      <c r="CL483" s="2" t="s">
        <v>3549</v>
      </c>
      <c r="CM483" s="39">
        <v>5</v>
      </c>
      <c r="CN483" s="2" t="str">
        <f t="shared" si="44"/>
        <v>TADigital NA | Management - Practice Director / Delivery Director</v>
      </c>
      <c r="CO483" s="2" t="str">
        <f t="shared" si="42"/>
        <v>TADigital India Consulting | Cloud &amp; Engineering - L2 / B1-B3 | Associate Engineer</v>
      </c>
      <c r="CP483" s="1579">
        <v>315</v>
      </c>
      <c r="CQ483" s="1579">
        <v>165</v>
      </c>
      <c r="CR483" s="1579">
        <v>115</v>
      </c>
      <c r="CS483" s="1579">
        <f t="shared" si="45"/>
        <v>45.1</v>
      </c>
      <c r="CT483" s="1579">
        <v>55</v>
      </c>
      <c r="CU483" s="2">
        <f t="shared" si="46"/>
        <v>13</v>
      </c>
      <c r="CV483" s="2" t="str">
        <f t="shared" si="43"/>
        <v>Management - Practice Director / Delivery Director</v>
      </c>
      <c r="CW483" s="2" t="str">
        <f>_xlfn.XLOOKUP(CL483,'[1]Rates &amp; Drop Downs INT'!D$373:D$430,'[1]Rates &amp; Drop Downs INT'!C$373:C$430,"X",1)</f>
        <v>Cloud &amp; Engineering - 2 | Associate Engineer</v>
      </c>
    </row>
    <row r="484" spans="85:101" ht="13.05" customHeight="1" x14ac:dyDescent="0.25">
      <c r="CG484" s="2" t="s">
        <v>288</v>
      </c>
      <c r="CH484" s="2" t="s">
        <v>288</v>
      </c>
      <c r="CI484" s="2" t="s">
        <v>1225</v>
      </c>
      <c r="CJ484" s="2" t="s">
        <v>3343</v>
      </c>
      <c r="CK484" s="2" t="s">
        <v>446</v>
      </c>
      <c r="CL484" s="2" t="s">
        <v>3546</v>
      </c>
      <c r="CM484" s="39">
        <v>4</v>
      </c>
      <c r="CN484" s="2" t="str">
        <f t="shared" si="44"/>
        <v>TADigital NA Consulting - Sr. Project Manager</v>
      </c>
      <c r="CO484" s="2" t="str">
        <f t="shared" si="42"/>
        <v>TADigital India Consulting | Cloud &amp; Engineering - L2 / B1-B3 | Associate Engineer</v>
      </c>
      <c r="CP484" s="1579">
        <v>235</v>
      </c>
      <c r="CQ484" s="1579">
        <v>130</v>
      </c>
      <c r="CR484" s="1579">
        <v>80</v>
      </c>
      <c r="CS484" s="1579">
        <f t="shared" si="45"/>
        <v>38.950000000000003</v>
      </c>
      <c r="CT484" s="1579">
        <v>47.5</v>
      </c>
      <c r="CU484" s="2">
        <f t="shared" si="46"/>
        <v>13</v>
      </c>
      <c r="CV484" s="2" t="str">
        <f t="shared" si="43"/>
        <v>Sr. Project Manager</v>
      </c>
      <c r="CW484" s="2" t="str">
        <f>_xlfn.XLOOKUP(CL484,'[1]Rates &amp; Drop Downs INT'!D$373:D$430,'[1]Rates &amp; Drop Downs INT'!C$373:C$430,"X",1)</f>
        <v>Cloud &amp; Engineering - 2 | Associate Engineer</v>
      </c>
    </row>
    <row r="485" spans="85:101" ht="13.05" customHeight="1" x14ac:dyDescent="0.25">
      <c r="CG485" s="2" t="s">
        <v>288</v>
      </c>
      <c r="CH485" s="2" t="s">
        <v>288</v>
      </c>
      <c r="CI485" s="2" t="s">
        <v>1225</v>
      </c>
      <c r="CJ485" s="2" t="s">
        <v>3343</v>
      </c>
      <c r="CK485" s="2" t="s">
        <v>3353</v>
      </c>
      <c r="CL485" s="2" t="s">
        <v>3549</v>
      </c>
      <c r="CM485" s="39">
        <v>6</v>
      </c>
      <c r="CN485" s="2" t="str">
        <f t="shared" si="44"/>
        <v>TADigital NA | Management - Practice VP / Delivery VP</v>
      </c>
      <c r="CO485" s="2" t="str">
        <f t="shared" si="42"/>
        <v>TADigital India Consulting | Cloud &amp; Engineering - L2 / B1-B3 | Associate Engineer</v>
      </c>
      <c r="CP485" s="1579">
        <v>370</v>
      </c>
      <c r="CQ485" s="1579">
        <v>172.5</v>
      </c>
      <c r="CR485" s="1579">
        <v>135</v>
      </c>
      <c r="CS485" s="1579">
        <f t="shared" si="45"/>
        <v>51.250000000000007</v>
      </c>
      <c r="CT485" s="1579">
        <v>62.5</v>
      </c>
      <c r="CU485" s="2">
        <f t="shared" si="46"/>
        <v>13</v>
      </c>
      <c r="CV485" s="2" t="str">
        <f t="shared" si="43"/>
        <v>Management - Practice VP / Delivery VP</v>
      </c>
      <c r="CW485" s="2" t="str">
        <f>_xlfn.XLOOKUP(CL485,'[1]Rates &amp; Drop Downs INT'!D$373:D$430,'[1]Rates &amp; Drop Downs INT'!C$373:C$430,"X",1)</f>
        <v>Cloud &amp; Engineering - 2 | Associate Engineer</v>
      </c>
    </row>
    <row r="486" spans="85:101" ht="13.05" customHeight="1" x14ac:dyDescent="0.25">
      <c r="CG486" s="2" t="s">
        <v>288</v>
      </c>
      <c r="CH486" s="2" t="s">
        <v>288</v>
      </c>
      <c r="CI486" s="2" t="s">
        <v>1225</v>
      </c>
      <c r="CJ486" s="2" t="s">
        <v>3343</v>
      </c>
      <c r="CK486" s="2" t="s">
        <v>576</v>
      </c>
      <c r="CL486" s="2" t="s">
        <v>3554</v>
      </c>
      <c r="CM486" s="39">
        <v>2</v>
      </c>
      <c r="CN486" s="2" t="str">
        <f t="shared" si="44"/>
        <v>TADigital NA Consulting | Content &amp; SEO - Associate Content Strategist</v>
      </c>
      <c r="CO486" s="2" t="str">
        <f t="shared" ref="CO486:CO549" si="47">_xlfn.XLOOKUP(CW486,$C$373:$C$430,$F$373:$F$430,"X",1)</f>
        <v>TADigital India Consulting | Cloud &amp; Engineering - L2 / B1-B3 | Associate Engineer</v>
      </c>
      <c r="CP486" s="1579">
        <v>160</v>
      </c>
      <c r="CQ486" s="1579">
        <v>80</v>
      </c>
      <c r="CR486" s="1579">
        <v>65</v>
      </c>
      <c r="CS486" s="1579">
        <f t="shared" si="45"/>
        <v>16.400000000000002</v>
      </c>
      <c r="CT486" s="1579">
        <v>20</v>
      </c>
      <c r="CU486" s="2">
        <f t="shared" si="46"/>
        <v>13</v>
      </c>
      <c r="CV486" s="2" t="str">
        <f t="shared" si="43"/>
        <v>Content &amp; SEO - Associate Content Strategist</v>
      </c>
      <c r="CW486" s="2" t="str">
        <f>_xlfn.XLOOKUP(CL486,'[1]Rates &amp; Drop Downs INT'!D$373:D$430,'[1]Rates &amp; Drop Downs INT'!C$373:C$430,"X",1)</f>
        <v>Cloud &amp; Engineering - 2 | Associate Engineer</v>
      </c>
    </row>
    <row r="487" spans="85:101" ht="13.05" customHeight="1" x14ac:dyDescent="0.25">
      <c r="CG487" s="2" t="s">
        <v>288</v>
      </c>
      <c r="CH487" s="2" t="s">
        <v>288</v>
      </c>
      <c r="CI487" s="2" t="s">
        <v>1225</v>
      </c>
      <c r="CJ487" s="2" t="s">
        <v>3343</v>
      </c>
      <c r="CK487" s="2" t="s">
        <v>3354</v>
      </c>
      <c r="CL487" s="2" t="s">
        <v>3549</v>
      </c>
      <c r="CM487" s="39">
        <v>5</v>
      </c>
      <c r="CN487" s="2" t="str">
        <f t="shared" si="44"/>
        <v>TADigital NA | Management - Sr. Practice Director / Sr. Delivery Director</v>
      </c>
      <c r="CO487" s="2" t="str">
        <f t="shared" si="47"/>
        <v>TADigital India Consulting | Cloud &amp; Engineering - L2 / B1-B3 | Associate Engineer</v>
      </c>
      <c r="CP487" s="1579">
        <v>340</v>
      </c>
      <c r="CQ487" s="1579">
        <v>170</v>
      </c>
      <c r="CR487" s="1579">
        <v>125</v>
      </c>
      <c r="CS487" s="1579">
        <f t="shared" si="45"/>
        <v>49.2</v>
      </c>
      <c r="CT487" s="1579">
        <v>60</v>
      </c>
      <c r="CU487" s="2">
        <f t="shared" si="46"/>
        <v>13</v>
      </c>
      <c r="CV487" s="2" t="str">
        <f t="shared" si="43"/>
        <v>Management - Sr. Practice Director / Sr. Delivery Director</v>
      </c>
      <c r="CW487" s="2" t="str">
        <f>_xlfn.XLOOKUP(CL487,'[1]Rates &amp; Drop Downs INT'!D$373:D$430,'[1]Rates &amp; Drop Downs INT'!C$373:C$430,"X",1)</f>
        <v>Cloud &amp; Engineering - 2 | Associate Engineer</v>
      </c>
    </row>
    <row r="488" spans="85:101" ht="13.05" customHeight="1" x14ac:dyDescent="0.25">
      <c r="CG488" s="2" t="s">
        <v>288</v>
      </c>
      <c r="CH488" s="2" t="s">
        <v>288</v>
      </c>
      <c r="CI488" s="2" t="s">
        <v>1225</v>
      </c>
      <c r="CJ488" s="2" t="s">
        <v>3343</v>
      </c>
      <c r="CK488" s="2" t="s">
        <v>448</v>
      </c>
      <c r="CL488" s="2" t="s">
        <v>3546</v>
      </c>
      <c r="CM488" s="39">
        <v>5</v>
      </c>
      <c r="CN488" s="2" t="str">
        <f t="shared" si="44"/>
        <v>TADigital NA Consulting - Delivery Manager</v>
      </c>
      <c r="CO488" s="2" t="str">
        <f t="shared" si="47"/>
        <v>TADigital India Consulting | Cloud &amp; Engineering - L2 / B1-B3 | Associate Engineer</v>
      </c>
      <c r="CP488" s="1579">
        <v>265</v>
      </c>
      <c r="CQ488" s="1579">
        <v>137.5</v>
      </c>
      <c r="CR488" s="1579">
        <v>90</v>
      </c>
      <c r="CS488" s="1579">
        <f t="shared" si="45"/>
        <v>38.950000000000003</v>
      </c>
      <c r="CT488" s="1579">
        <v>47.5</v>
      </c>
      <c r="CU488" s="2">
        <f t="shared" si="46"/>
        <v>13</v>
      </c>
      <c r="CV488" s="2" t="str">
        <f t="shared" si="43"/>
        <v>Delivery Manager</v>
      </c>
      <c r="CW488" s="2" t="str">
        <f>_xlfn.XLOOKUP(CL488,'[1]Rates &amp; Drop Downs INT'!D$373:D$430,'[1]Rates &amp; Drop Downs INT'!C$373:C$430,"X",1)</f>
        <v>Cloud &amp; Engineering - 2 | Associate Engineer</v>
      </c>
    </row>
    <row r="489" spans="85:101" ht="13.05" customHeight="1" x14ac:dyDescent="0.25">
      <c r="CG489" s="2" t="s">
        <v>288</v>
      </c>
      <c r="CH489" s="2" t="s">
        <v>288</v>
      </c>
      <c r="CI489" s="2" t="s">
        <v>1226</v>
      </c>
      <c r="CJ489" s="2" t="s">
        <v>3344</v>
      </c>
      <c r="CK489" s="2" t="s">
        <v>720</v>
      </c>
      <c r="CL489" s="2" t="s">
        <v>3546</v>
      </c>
      <c r="CM489" s="39">
        <v>5</v>
      </c>
      <c r="CN489" s="2" t="str">
        <f t="shared" si="44"/>
        <v>TADigital NA | Management - Associate Practice Director</v>
      </c>
      <c r="CO489" s="2" t="str">
        <f t="shared" si="47"/>
        <v>TADigital India Consulting | Cloud &amp; Engineering - L2 / B1-B3 | Associate Engineer</v>
      </c>
      <c r="CP489" s="1579">
        <v>290</v>
      </c>
      <c r="CQ489" s="1579">
        <v>140</v>
      </c>
      <c r="CR489" s="1579">
        <v>105</v>
      </c>
      <c r="CS489" s="1579">
        <f t="shared" si="45"/>
        <v>45.1</v>
      </c>
      <c r="CT489" s="1579">
        <v>55</v>
      </c>
      <c r="CU489" s="2">
        <f t="shared" si="46"/>
        <v>13</v>
      </c>
      <c r="CV489" s="2" t="str">
        <f t="shared" si="43"/>
        <v>Management - Associate Practice Director</v>
      </c>
      <c r="CW489" s="2" t="str">
        <f>_xlfn.XLOOKUP(CL489,'[1]Rates &amp; Drop Downs INT'!D$373:D$430,'[1]Rates &amp; Drop Downs INT'!C$373:C$430,"X",1)</f>
        <v>Cloud &amp; Engineering - 2 | Associate Engineer</v>
      </c>
    </row>
    <row r="490" spans="85:101" ht="13.05" customHeight="1" x14ac:dyDescent="0.25">
      <c r="CG490" s="2" t="s">
        <v>288</v>
      </c>
      <c r="CH490" s="2" t="s">
        <v>288</v>
      </c>
      <c r="CI490" s="2" t="s">
        <v>1226</v>
      </c>
      <c r="CJ490" s="2" t="s">
        <v>3344</v>
      </c>
      <c r="CK490" s="2" t="s">
        <v>3364</v>
      </c>
      <c r="CL490" s="2" t="s">
        <v>3545</v>
      </c>
      <c r="CM490" s="39">
        <v>2</v>
      </c>
      <c r="CN490" s="2" t="str">
        <f t="shared" si="44"/>
        <v>TADigital NA Consulting | Content &amp; SEO - Associate Web Content Analyst</v>
      </c>
      <c r="CO490" s="2" t="str">
        <f t="shared" si="47"/>
        <v>TADigital India Consulting | Cloud &amp; Engineering - L2 / B1-B3 | Associate Engineer</v>
      </c>
      <c r="CP490" s="1579">
        <v>0</v>
      </c>
      <c r="CQ490" s="1579">
        <v>0</v>
      </c>
      <c r="CR490" s="1579">
        <v>30</v>
      </c>
      <c r="CS490" s="1579">
        <f t="shared" si="45"/>
        <v>10.66</v>
      </c>
      <c r="CT490" s="1579">
        <v>13</v>
      </c>
      <c r="CU490" s="2">
        <f t="shared" si="46"/>
        <v>13</v>
      </c>
      <c r="CV490" s="2" t="str">
        <f t="shared" si="43"/>
        <v>Content &amp; SEO - Associate Web Content Analyst</v>
      </c>
      <c r="CW490" s="2" t="str">
        <f>_xlfn.XLOOKUP(CL490,'[1]Rates &amp; Drop Downs INT'!D$373:D$430,'[1]Rates &amp; Drop Downs INT'!C$373:C$430,"X",1)</f>
        <v>Cloud &amp; Engineering - 2 | Associate Engineer</v>
      </c>
    </row>
    <row r="491" spans="85:101" ht="13.05" customHeight="1" x14ac:dyDescent="0.25">
      <c r="CG491" s="2" t="s">
        <v>288</v>
      </c>
      <c r="CH491" s="2" t="s">
        <v>288</v>
      </c>
      <c r="CI491" s="2" t="s">
        <v>1226</v>
      </c>
      <c r="CJ491" s="2" t="s">
        <v>3344</v>
      </c>
      <c r="CK491" s="2" t="s">
        <v>3352</v>
      </c>
      <c r="CL491" s="2" t="s">
        <v>3549</v>
      </c>
      <c r="CM491" s="39">
        <v>5</v>
      </c>
      <c r="CN491" s="2" t="str">
        <f t="shared" si="44"/>
        <v>TADigital NA | Management - Practice Director / Delivery Director</v>
      </c>
      <c r="CO491" s="2" t="str">
        <f t="shared" si="47"/>
        <v>TADigital India Consulting | Cloud &amp; Engineering - L2 / B1-B3 | Associate Engineer</v>
      </c>
      <c r="CP491" s="1579">
        <v>315</v>
      </c>
      <c r="CQ491" s="1579">
        <v>165</v>
      </c>
      <c r="CR491" s="1579">
        <v>115</v>
      </c>
      <c r="CS491" s="1579">
        <f t="shared" si="45"/>
        <v>45.1</v>
      </c>
      <c r="CT491" s="1579">
        <v>55</v>
      </c>
      <c r="CU491" s="2">
        <f t="shared" si="46"/>
        <v>13</v>
      </c>
      <c r="CV491" s="2" t="str">
        <f t="shared" si="43"/>
        <v>Management - Practice Director / Delivery Director</v>
      </c>
      <c r="CW491" s="2" t="str">
        <f>_xlfn.XLOOKUP(CL491,'[1]Rates &amp; Drop Downs INT'!D$373:D$430,'[1]Rates &amp; Drop Downs INT'!C$373:C$430,"X",1)</f>
        <v>Cloud &amp; Engineering - 2 | Associate Engineer</v>
      </c>
    </row>
    <row r="492" spans="85:101" ht="13.05" customHeight="1" x14ac:dyDescent="0.25">
      <c r="CG492" s="2" t="s">
        <v>288</v>
      </c>
      <c r="CH492" s="2" t="s">
        <v>288</v>
      </c>
      <c r="CI492" s="2" t="s">
        <v>1226</v>
      </c>
      <c r="CJ492" s="2" t="s">
        <v>3344</v>
      </c>
      <c r="CK492" s="2" t="s">
        <v>3353</v>
      </c>
      <c r="CL492" s="2" t="s">
        <v>3549</v>
      </c>
      <c r="CM492" s="39">
        <v>6</v>
      </c>
      <c r="CN492" s="2" t="str">
        <f t="shared" si="44"/>
        <v>TADigital NA | Management - Practice VP / Delivery VP</v>
      </c>
      <c r="CO492" s="2" t="str">
        <f t="shared" si="47"/>
        <v>TADigital India Consulting | Cloud &amp; Engineering - L2 / B1-B3 | Associate Engineer</v>
      </c>
      <c r="CP492" s="1579">
        <v>370</v>
      </c>
      <c r="CQ492" s="1579">
        <v>172.5</v>
      </c>
      <c r="CR492" s="1579">
        <v>135</v>
      </c>
      <c r="CS492" s="1579">
        <f t="shared" si="45"/>
        <v>51.250000000000007</v>
      </c>
      <c r="CT492" s="1579">
        <v>62.5</v>
      </c>
      <c r="CU492" s="2">
        <f t="shared" si="46"/>
        <v>13</v>
      </c>
      <c r="CV492" s="2" t="str">
        <f t="shared" si="43"/>
        <v>Management - Practice VP / Delivery VP</v>
      </c>
      <c r="CW492" s="2" t="str">
        <f>_xlfn.XLOOKUP(CL492,'[1]Rates &amp; Drop Downs INT'!D$373:D$430,'[1]Rates &amp; Drop Downs INT'!C$373:C$430,"X",1)</f>
        <v>Cloud &amp; Engineering - 2 | Associate Engineer</v>
      </c>
    </row>
    <row r="493" spans="85:101" ht="13.05" customHeight="1" x14ac:dyDescent="0.25">
      <c r="CG493" s="2" t="s">
        <v>288</v>
      </c>
      <c r="CH493" s="2" t="s">
        <v>288</v>
      </c>
      <c r="CI493" s="2" t="s">
        <v>1226</v>
      </c>
      <c r="CJ493" s="2" t="s">
        <v>3344</v>
      </c>
      <c r="CK493" s="2" t="s">
        <v>567</v>
      </c>
      <c r="CL493" s="2" t="s">
        <v>3555</v>
      </c>
      <c r="CM493" s="39">
        <v>2</v>
      </c>
      <c r="CN493" s="2" t="str">
        <f t="shared" si="44"/>
        <v>TADigital NA Consulting | Content &amp; SEO - Content Analyst</v>
      </c>
      <c r="CO493" s="2" t="str">
        <f t="shared" si="47"/>
        <v>TADigital India Consulting | Cloud &amp; Engineering - L2 / B1-B3 | Associate Engineer</v>
      </c>
      <c r="CP493" s="1579">
        <v>125</v>
      </c>
      <c r="CQ493" s="1579">
        <v>75</v>
      </c>
      <c r="CR493" s="1579">
        <v>40</v>
      </c>
      <c r="CS493" s="1579">
        <f t="shared" si="45"/>
        <v>14.760000000000002</v>
      </c>
      <c r="CT493" s="1579">
        <v>18</v>
      </c>
      <c r="CU493" s="2">
        <f t="shared" si="46"/>
        <v>13</v>
      </c>
      <c r="CV493" s="2" t="str">
        <f t="shared" si="43"/>
        <v>Content &amp; SEO - Content Analyst</v>
      </c>
      <c r="CW493" s="2" t="str">
        <f>_xlfn.XLOOKUP(CL493,'[1]Rates &amp; Drop Downs INT'!D$373:D$430,'[1]Rates &amp; Drop Downs INT'!C$373:C$430,"X",1)</f>
        <v>Cloud &amp; Engineering - 2 | Associate Engineer</v>
      </c>
    </row>
    <row r="494" spans="85:101" ht="13.05" customHeight="1" x14ac:dyDescent="0.25">
      <c r="CG494" s="2" t="s">
        <v>288</v>
      </c>
      <c r="CH494" s="2" t="s">
        <v>288</v>
      </c>
      <c r="CI494" s="2" t="s">
        <v>1226</v>
      </c>
      <c r="CJ494" s="2" t="s">
        <v>3344</v>
      </c>
      <c r="CK494" s="2" t="s">
        <v>571</v>
      </c>
      <c r="CL494" s="2" t="s">
        <v>3556</v>
      </c>
      <c r="CM494" s="39">
        <v>3</v>
      </c>
      <c r="CN494" s="2" t="str">
        <f t="shared" si="44"/>
        <v>TADigital NA Consulting | Content &amp; SEO - Content Strategist</v>
      </c>
      <c r="CO494" s="2" t="str">
        <f t="shared" si="47"/>
        <v>TADigital India Consulting | Cloud &amp; Engineering - L2 / B1-B3 | Associate Engineer</v>
      </c>
      <c r="CP494" s="1579">
        <v>170</v>
      </c>
      <c r="CQ494" s="1579">
        <v>82.5</v>
      </c>
      <c r="CR494" s="1579">
        <v>70</v>
      </c>
      <c r="CS494" s="1579">
        <f t="shared" si="45"/>
        <v>20.5</v>
      </c>
      <c r="CT494" s="1579">
        <v>25</v>
      </c>
      <c r="CU494" s="2">
        <f t="shared" si="46"/>
        <v>13</v>
      </c>
      <c r="CV494" s="2" t="str">
        <f t="shared" si="43"/>
        <v>Content &amp; SEO - Content Strategist</v>
      </c>
      <c r="CW494" s="2" t="str">
        <f>_xlfn.XLOOKUP(CL494,'[1]Rates &amp; Drop Downs INT'!D$373:D$430,'[1]Rates &amp; Drop Downs INT'!C$373:C$430,"X",1)</f>
        <v>Cloud &amp; Engineering - 2 | Associate Engineer</v>
      </c>
    </row>
    <row r="495" spans="85:101" ht="13.05" customHeight="1" x14ac:dyDescent="0.25">
      <c r="CG495" s="2" t="s">
        <v>288</v>
      </c>
      <c r="CH495" s="2" t="s">
        <v>288</v>
      </c>
      <c r="CI495" s="2" t="s">
        <v>1226</v>
      </c>
      <c r="CJ495" s="2" t="s">
        <v>3344</v>
      </c>
      <c r="CK495" s="2" t="s">
        <v>573</v>
      </c>
      <c r="CL495" s="2" t="s">
        <v>3557</v>
      </c>
      <c r="CM495" s="39">
        <v>4</v>
      </c>
      <c r="CN495" s="2" t="str">
        <f t="shared" si="44"/>
        <v>TADigital NA Consulting - Project Manager / Product Manager</v>
      </c>
      <c r="CO495" s="2" t="str">
        <f t="shared" si="47"/>
        <v>TADigital India Consulting | Cloud &amp; Engineering - L2 / B1-B3 | Associate Engineer</v>
      </c>
      <c r="CP495" s="1579">
        <v>190</v>
      </c>
      <c r="CQ495" s="1579">
        <v>85</v>
      </c>
      <c r="CR495" s="1579">
        <v>80</v>
      </c>
      <c r="CS495" s="1579">
        <f t="shared" si="45"/>
        <v>26.650000000000002</v>
      </c>
      <c r="CT495" s="1579">
        <v>32.5</v>
      </c>
      <c r="CU495" s="2">
        <f t="shared" si="46"/>
        <v>13</v>
      </c>
      <c r="CV495" s="2" t="str">
        <f t="shared" si="43"/>
        <v>Project Manager / Product Manager</v>
      </c>
      <c r="CW495" s="2" t="str">
        <f>_xlfn.XLOOKUP(CL495,'[1]Rates &amp; Drop Downs INT'!D$373:D$430,'[1]Rates &amp; Drop Downs INT'!C$373:C$430,"X",1)</f>
        <v>Cloud &amp; Engineering - 2 | Associate Engineer</v>
      </c>
    </row>
    <row r="496" spans="85:101" ht="13.05" customHeight="1" x14ac:dyDescent="0.25">
      <c r="CG496" s="2" t="s">
        <v>288</v>
      </c>
      <c r="CH496" s="2" t="s">
        <v>288</v>
      </c>
      <c r="CI496" s="2" t="s">
        <v>1226</v>
      </c>
      <c r="CJ496" s="2" t="s">
        <v>3344</v>
      </c>
      <c r="CK496" s="2" t="s">
        <v>3354</v>
      </c>
      <c r="CL496" s="2" t="s">
        <v>3549</v>
      </c>
      <c r="CM496" s="39">
        <v>5</v>
      </c>
      <c r="CN496" s="2" t="str">
        <f t="shared" si="44"/>
        <v>TADigital NA | Management - Sr. Practice Director / Sr. Delivery Director</v>
      </c>
      <c r="CO496" s="2" t="str">
        <f t="shared" si="47"/>
        <v>TADigital India Consulting | Cloud &amp; Engineering - L2 / B1-B3 | Associate Engineer</v>
      </c>
      <c r="CP496" s="1579">
        <v>340</v>
      </c>
      <c r="CQ496" s="1579">
        <v>170</v>
      </c>
      <c r="CR496" s="1579">
        <v>125</v>
      </c>
      <c r="CS496" s="1579">
        <f t="shared" si="45"/>
        <v>49.2</v>
      </c>
      <c r="CT496" s="1579">
        <v>60</v>
      </c>
      <c r="CU496" s="2">
        <f t="shared" si="46"/>
        <v>13</v>
      </c>
      <c r="CV496" s="2" t="str">
        <f t="shared" si="43"/>
        <v>Management - Sr. Practice Director / Sr. Delivery Director</v>
      </c>
      <c r="CW496" s="2" t="str">
        <f>_xlfn.XLOOKUP(CL496,'[1]Rates &amp; Drop Downs INT'!D$373:D$430,'[1]Rates &amp; Drop Downs INT'!C$373:C$430,"X",1)</f>
        <v>Cloud &amp; Engineering - 2 | Associate Engineer</v>
      </c>
    </row>
    <row r="497" spans="85:101" ht="13.05" customHeight="1" x14ac:dyDescent="0.25">
      <c r="CG497" s="2" t="s">
        <v>288</v>
      </c>
      <c r="CH497" s="2" t="s">
        <v>288</v>
      </c>
      <c r="CI497" s="2" t="s">
        <v>1226</v>
      </c>
      <c r="CJ497" s="2" t="s">
        <v>3344</v>
      </c>
      <c r="CK497" s="2" t="s">
        <v>569</v>
      </c>
      <c r="CL497" s="2" t="s">
        <v>3550</v>
      </c>
      <c r="CM497" s="39">
        <v>2</v>
      </c>
      <c r="CN497" s="2" t="str">
        <f t="shared" si="44"/>
        <v>TADigital NA Consulting | Content &amp; SEO - Content Strategist</v>
      </c>
      <c r="CO497" s="2" t="str">
        <f t="shared" si="47"/>
        <v>TADigital India Consulting | Cloud &amp; Engineering - L2 / B1-B3 | Associate Engineer</v>
      </c>
      <c r="CP497" s="1579">
        <v>165</v>
      </c>
      <c r="CQ497" s="1579">
        <v>80</v>
      </c>
      <c r="CR497" s="1579">
        <v>60</v>
      </c>
      <c r="CS497" s="1579">
        <f t="shared" si="45"/>
        <v>16.400000000000002</v>
      </c>
      <c r="CT497" s="1579">
        <v>20</v>
      </c>
      <c r="CU497" s="2">
        <f t="shared" si="46"/>
        <v>13</v>
      </c>
      <c r="CV497" s="2" t="str">
        <f t="shared" si="43"/>
        <v>Content &amp; SEO - Content Strategist</v>
      </c>
      <c r="CW497" s="2" t="str">
        <f>_xlfn.XLOOKUP(CL497,'[1]Rates &amp; Drop Downs INT'!D$373:D$430,'[1]Rates &amp; Drop Downs INT'!C$373:C$430,"X",1)</f>
        <v>Cloud &amp; Engineering - 2 | Associate Engineer</v>
      </c>
    </row>
    <row r="498" spans="85:101" ht="13.05" customHeight="1" x14ac:dyDescent="0.25">
      <c r="CG498" s="2" t="s">
        <v>288</v>
      </c>
      <c r="CH498" s="2" t="s">
        <v>288</v>
      </c>
      <c r="CI498" s="2" t="s">
        <v>1227</v>
      </c>
      <c r="CJ498" s="2" t="s">
        <v>3345</v>
      </c>
      <c r="CK498" s="2" t="s">
        <v>3351</v>
      </c>
      <c r="CL498" s="2" t="s">
        <v>3545</v>
      </c>
      <c r="CM498" s="39">
        <v>2</v>
      </c>
      <c r="CN498" s="2" t="str">
        <f t="shared" si="44"/>
        <v>TADigital NA Consulting | Content &amp; SEO - Associate Web Content Analyst</v>
      </c>
      <c r="CO498" s="2" t="str">
        <f t="shared" si="47"/>
        <v>TADigital India Consulting | Cloud &amp; Engineering - L2 / B1-B3 | Associate Engineer</v>
      </c>
      <c r="CP498" s="1579">
        <v>0</v>
      </c>
      <c r="CQ498" s="1579">
        <v>0</v>
      </c>
      <c r="CR498" s="1579">
        <v>35</v>
      </c>
      <c r="CS498" s="1579">
        <f t="shared" si="45"/>
        <v>10.66</v>
      </c>
      <c r="CT498" s="1579">
        <v>13</v>
      </c>
      <c r="CU498" s="2">
        <f t="shared" si="46"/>
        <v>13</v>
      </c>
      <c r="CV498" s="2" t="str">
        <f t="shared" si="43"/>
        <v>Content &amp; SEO - Associate Web Content Analyst</v>
      </c>
      <c r="CW498" s="2" t="str">
        <f>_xlfn.XLOOKUP(CL498,'[1]Rates &amp; Drop Downs INT'!D$373:D$430,'[1]Rates &amp; Drop Downs INT'!C$373:C$430,"X",1)</f>
        <v>Cloud &amp; Engineering - 2 | Associate Engineer</v>
      </c>
    </row>
    <row r="499" spans="85:101" ht="13.05" customHeight="1" x14ac:dyDescent="0.25">
      <c r="CG499" s="2" t="s">
        <v>288</v>
      </c>
      <c r="CH499" s="2" t="s">
        <v>288</v>
      </c>
      <c r="CI499" s="2" t="s">
        <v>1227</v>
      </c>
      <c r="CJ499" s="2" t="s">
        <v>3345</v>
      </c>
      <c r="CK499" s="2" t="s">
        <v>720</v>
      </c>
      <c r="CL499" s="2" t="s">
        <v>3546</v>
      </c>
      <c r="CM499" s="39">
        <v>5</v>
      </c>
      <c r="CN499" s="2" t="str">
        <f t="shared" si="44"/>
        <v>TADigital NA | Management - Associate Practice Director</v>
      </c>
      <c r="CO499" s="2" t="str">
        <f t="shared" si="47"/>
        <v>TADigital India Consulting | Cloud &amp; Engineering - L2 / B1-B3 | Associate Engineer</v>
      </c>
      <c r="CP499" s="1579">
        <v>290</v>
      </c>
      <c r="CQ499" s="1579">
        <v>140</v>
      </c>
      <c r="CR499" s="1579">
        <v>105</v>
      </c>
      <c r="CS499" s="1579">
        <f t="shared" si="45"/>
        <v>45.1</v>
      </c>
      <c r="CT499" s="1579">
        <v>55</v>
      </c>
      <c r="CU499" s="2">
        <f t="shared" si="46"/>
        <v>13</v>
      </c>
      <c r="CV499" s="2" t="str">
        <f t="shared" si="43"/>
        <v>Management - Associate Practice Director</v>
      </c>
      <c r="CW499" s="2" t="str">
        <f>_xlfn.XLOOKUP(CL499,'[1]Rates &amp; Drop Downs INT'!D$373:D$430,'[1]Rates &amp; Drop Downs INT'!C$373:C$430,"X",1)</f>
        <v>Cloud &amp; Engineering - 2 | Associate Engineer</v>
      </c>
    </row>
    <row r="500" spans="85:101" ht="13.05" customHeight="1" x14ac:dyDescent="0.25">
      <c r="CG500" s="2" t="s">
        <v>288</v>
      </c>
      <c r="CH500" s="2" t="s">
        <v>288</v>
      </c>
      <c r="CI500" s="2" t="s">
        <v>1227</v>
      </c>
      <c r="CJ500" s="2" t="s">
        <v>3345</v>
      </c>
      <c r="CK500" s="2" t="s">
        <v>532</v>
      </c>
      <c r="CL500" s="2" t="s">
        <v>3547</v>
      </c>
      <c r="CM500" s="39">
        <v>2</v>
      </c>
      <c r="CN500" s="2" t="str">
        <f t="shared" si="44"/>
        <v>TADigital NA Consulting | Content &amp; SEO - Associate Content Strategist</v>
      </c>
      <c r="CO500" s="2" t="str">
        <f t="shared" si="47"/>
        <v>TADigital India Consulting | Cloud &amp; Engineering - L2 / B1-B3 | Associate Engineer</v>
      </c>
      <c r="CP500" s="1579">
        <v>160</v>
      </c>
      <c r="CQ500" s="1579">
        <v>80</v>
      </c>
      <c r="CR500" s="1579">
        <v>55</v>
      </c>
      <c r="CS500" s="1579">
        <f t="shared" si="45"/>
        <v>14.760000000000002</v>
      </c>
      <c r="CT500" s="1579">
        <v>18</v>
      </c>
      <c r="CU500" s="2">
        <f t="shared" si="46"/>
        <v>13</v>
      </c>
      <c r="CV500" s="2" t="str">
        <f t="shared" si="43"/>
        <v>Content &amp; SEO - Associate Content Strategist</v>
      </c>
      <c r="CW500" s="2" t="str">
        <f>_xlfn.XLOOKUP(CL500,'[1]Rates &amp; Drop Downs INT'!D$373:D$430,'[1]Rates &amp; Drop Downs INT'!C$373:C$430,"X",1)</f>
        <v>Cloud &amp; Engineering - 2 | Associate Engineer</v>
      </c>
    </row>
    <row r="501" spans="85:101" ht="13.05" customHeight="1" x14ac:dyDescent="0.25">
      <c r="CG501" s="2" t="s">
        <v>288</v>
      </c>
      <c r="CH501" s="2" t="s">
        <v>288</v>
      </c>
      <c r="CI501" s="2" t="s">
        <v>1227</v>
      </c>
      <c r="CJ501" s="2" t="s">
        <v>3345</v>
      </c>
      <c r="CK501" s="2" t="s">
        <v>542</v>
      </c>
      <c r="CL501" s="2" t="s">
        <v>3548</v>
      </c>
      <c r="CM501" s="39">
        <v>5</v>
      </c>
      <c r="CN501" s="2" t="str">
        <f t="shared" si="44"/>
        <v>TADigital NA | Management - Associate Practice Director</v>
      </c>
      <c r="CO501" s="2" t="str">
        <f t="shared" si="47"/>
        <v>TADigital India Consulting | Cloud &amp; Engineering - L2 / B1-B3 | Associate Engineer</v>
      </c>
      <c r="CP501" s="1579">
        <v>290</v>
      </c>
      <c r="CQ501" s="1579">
        <v>167.5</v>
      </c>
      <c r="CR501" s="1579">
        <v>125</v>
      </c>
      <c r="CS501" s="1579">
        <f t="shared" si="45"/>
        <v>51.250000000000007</v>
      </c>
      <c r="CT501" s="1579">
        <v>62.5</v>
      </c>
      <c r="CU501" s="2">
        <f t="shared" si="46"/>
        <v>13</v>
      </c>
      <c r="CV501" s="2" t="str">
        <f t="shared" si="43"/>
        <v>Management - Associate Practice Director</v>
      </c>
      <c r="CW501" s="2" t="str">
        <f>_xlfn.XLOOKUP(CL501,'[1]Rates &amp; Drop Downs INT'!D$373:D$430,'[1]Rates &amp; Drop Downs INT'!C$373:C$430,"X",1)</f>
        <v>Cloud &amp; Engineering - 2 | Associate Engineer</v>
      </c>
    </row>
    <row r="502" spans="85:101" ht="13.05" customHeight="1" x14ac:dyDescent="0.25">
      <c r="CG502" s="2" t="s">
        <v>288</v>
      </c>
      <c r="CH502" s="2" t="s">
        <v>288</v>
      </c>
      <c r="CI502" s="2" t="s">
        <v>1227</v>
      </c>
      <c r="CJ502" s="2" t="s">
        <v>3345</v>
      </c>
      <c r="CK502" s="2" t="s">
        <v>3352</v>
      </c>
      <c r="CL502" s="2" t="s">
        <v>3549</v>
      </c>
      <c r="CM502" s="39">
        <v>5</v>
      </c>
      <c r="CN502" s="2" t="str">
        <f t="shared" si="44"/>
        <v>TADigital NA | Management - Practice Director / Delivery Director</v>
      </c>
      <c r="CO502" s="2" t="str">
        <f t="shared" si="47"/>
        <v>TADigital India Consulting | Cloud &amp; Engineering - L2 / B1-B3 | Associate Engineer</v>
      </c>
      <c r="CP502" s="1579">
        <v>315</v>
      </c>
      <c r="CQ502" s="1579">
        <v>165</v>
      </c>
      <c r="CR502" s="1579">
        <v>115</v>
      </c>
      <c r="CS502" s="1579">
        <f t="shared" si="45"/>
        <v>45.1</v>
      </c>
      <c r="CT502" s="1579">
        <v>55</v>
      </c>
      <c r="CU502" s="2">
        <f t="shared" si="46"/>
        <v>13</v>
      </c>
      <c r="CV502" s="2" t="str">
        <f t="shared" si="43"/>
        <v>Management - Practice Director / Delivery Director</v>
      </c>
      <c r="CW502" s="2" t="str">
        <f>_xlfn.XLOOKUP(CL502,'[1]Rates &amp; Drop Downs INT'!D$373:D$430,'[1]Rates &amp; Drop Downs INT'!C$373:C$430,"X",1)</f>
        <v>Cloud &amp; Engineering - 2 | Associate Engineer</v>
      </c>
    </row>
    <row r="503" spans="85:101" ht="13.05" customHeight="1" x14ac:dyDescent="0.25">
      <c r="CG503" s="2" t="s">
        <v>288</v>
      </c>
      <c r="CH503" s="2" t="s">
        <v>288</v>
      </c>
      <c r="CI503" s="2" t="s">
        <v>1227</v>
      </c>
      <c r="CJ503" s="2" t="s">
        <v>3345</v>
      </c>
      <c r="CK503" s="2" t="s">
        <v>446</v>
      </c>
      <c r="CL503" s="2" t="s">
        <v>3546</v>
      </c>
      <c r="CM503" s="39">
        <v>4</v>
      </c>
      <c r="CN503" s="2" t="str">
        <f t="shared" si="44"/>
        <v>TADigital NA Consulting - Sr. Project Manager</v>
      </c>
      <c r="CO503" s="2" t="str">
        <f t="shared" si="47"/>
        <v>TADigital India Consulting | Cloud &amp; Engineering - L2 / B1-B3 | Associate Engineer</v>
      </c>
      <c r="CP503" s="1579">
        <v>235</v>
      </c>
      <c r="CQ503" s="1579">
        <v>130</v>
      </c>
      <c r="CR503" s="1579">
        <v>80</v>
      </c>
      <c r="CS503" s="1579">
        <f t="shared" si="45"/>
        <v>38.950000000000003</v>
      </c>
      <c r="CT503" s="1579">
        <v>47.5</v>
      </c>
      <c r="CU503" s="2">
        <f t="shared" si="46"/>
        <v>13</v>
      </c>
      <c r="CV503" s="2" t="str">
        <f t="shared" si="43"/>
        <v>Sr. Project Manager</v>
      </c>
      <c r="CW503" s="2" t="str">
        <f>_xlfn.XLOOKUP(CL503,'[1]Rates &amp; Drop Downs INT'!D$373:D$430,'[1]Rates &amp; Drop Downs INT'!C$373:C$430,"X",1)</f>
        <v>Cloud &amp; Engineering - 2 | Associate Engineer</v>
      </c>
    </row>
    <row r="504" spans="85:101" ht="13.05" customHeight="1" x14ac:dyDescent="0.25">
      <c r="CG504" s="2" t="s">
        <v>288</v>
      </c>
      <c r="CH504" s="2" t="s">
        <v>288</v>
      </c>
      <c r="CI504" s="2" t="s">
        <v>1227</v>
      </c>
      <c r="CJ504" s="2" t="s">
        <v>3345</v>
      </c>
      <c r="CK504" s="2" t="s">
        <v>3353</v>
      </c>
      <c r="CL504" s="2" t="s">
        <v>3549</v>
      </c>
      <c r="CM504" s="39">
        <v>6</v>
      </c>
      <c r="CN504" s="2" t="str">
        <f t="shared" si="44"/>
        <v>TADigital NA | Management - Practice VP / Delivery VP</v>
      </c>
      <c r="CO504" s="2" t="str">
        <f t="shared" si="47"/>
        <v>TADigital India Consulting | Cloud &amp; Engineering - L2 / B1-B3 | Associate Engineer</v>
      </c>
      <c r="CP504" s="1579">
        <v>370</v>
      </c>
      <c r="CQ504" s="1579">
        <v>172.5</v>
      </c>
      <c r="CR504" s="1579">
        <v>135</v>
      </c>
      <c r="CS504" s="1579">
        <f t="shared" si="45"/>
        <v>51.250000000000007</v>
      </c>
      <c r="CT504" s="1579">
        <v>62.5</v>
      </c>
      <c r="CU504" s="2">
        <f t="shared" si="46"/>
        <v>13</v>
      </c>
      <c r="CV504" s="2" t="str">
        <f t="shared" si="43"/>
        <v>Management - Practice VP / Delivery VP</v>
      </c>
      <c r="CW504" s="2" t="str">
        <f>_xlfn.XLOOKUP(CL504,'[1]Rates &amp; Drop Downs INT'!D$373:D$430,'[1]Rates &amp; Drop Downs INT'!C$373:C$430,"X",1)</f>
        <v>Cloud &amp; Engineering - 2 | Associate Engineer</v>
      </c>
    </row>
    <row r="505" spans="85:101" ht="13.05" customHeight="1" x14ac:dyDescent="0.25">
      <c r="CG505" s="2" t="s">
        <v>288</v>
      </c>
      <c r="CH505" s="2" t="s">
        <v>288</v>
      </c>
      <c r="CI505" s="2" t="s">
        <v>1227</v>
      </c>
      <c r="CJ505" s="2" t="s">
        <v>3345</v>
      </c>
      <c r="CK505" s="2" t="s">
        <v>534</v>
      </c>
      <c r="CL505" s="2" t="s">
        <v>3550</v>
      </c>
      <c r="CM505" s="39">
        <v>2</v>
      </c>
      <c r="CN505" s="2" t="str">
        <f t="shared" si="44"/>
        <v>TADigital NA Consulting | Content &amp; SEO - Content Strategist</v>
      </c>
      <c r="CO505" s="2" t="str">
        <f t="shared" si="47"/>
        <v>TADigital India Consulting | Cloud &amp; Engineering - L2 / B1-B3 | Associate Engineer</v>
      </c>
      <c r="CP505" s="1579">
        <v>170</v>
      </c>
      <c r="CQ505" s="1579">
        <v>82.5</v>
      </c>
      <c r="CR505" s="1579">
        <v>65</v>
      </c>
      <c r="CS505" s="1579">
        <f t="shared" si="45"/>
        <v>18.450000000000003</v>
      </c>
      <c r="CT505" s="1579">
        <v>22.5</v>
      </c>
      <c r="CU505" s="2">
        <f t="shared" si="46"/>
        <v>13</v>
      </c>
      <c r="CV505" s="2" t="str">
        <f t="shared" si="43"/>
        <v>Content &amp; SEO - Content Strategist</v>
      </c>
      <c r="CW505" s="2" t="str">
        <f>_xlfn.XLOOKUP(CL505,'[1]Rates &amp; Drop Downs INT'!D$373:D$430,'[1]Rates &amp; Drop Downs INT'!C$373:C$430,"X",1)</f>
        <v>Cloud &amp; Engineering - 2 | Associate Engineer</v>
      </c>
    </row>
    <row r="506" spans="85:101" ht="13.05" customHeight="1" x14ac:dyDescent="0.25">
      <c r="CG506" s="2" t="s">
        <v>288</v>
      </c>
      <c r="CH506" s="2" t="s">
        <v>288</v>
      </c>
      <c r="CI506" s="2" t="s">
        <v>1227</v>
      </c>
      <c r="CJ506" s="2" t="s">
        <v>3345</v>
      </c>
      <c r="CK506" s="2" t="s">
        <v>3354</v>
      </c>
      <c r="CL506" s="2" t="s">
        <v>3549</v>
      </c>
      <c r="CM506" s="39">
        <v>5</v>
      </c>
      <c r="CN506" s="2" t="str">
        <f t="shared" si="44"/>
        <v>TADigital NA | Management - Sr. Practice Director / Sr. Delivery Director</v>
      </c>
      <c r="CO506" s="2" t="str">
        <f t="shared" si="47"/>
        <v>TADigital India Consulting | Cloud &amp; Engineering - L2 / B1-B3 | Associate Engineer</v>
      </c>
      <c r="CP506" s="1579">
        <v>340</v>
      </c>
      <c r="CQ506" s="1579">
        <v>170</v>
      </c>
      <c r="CR506" s="1579">
        <v>125</v>
      </c>
      <c r="CS506" s="1579">
        <f t="shared" si="45"/>
        <v>49.2</v>
      </c>
      <c r="CT506" s="1579">
        <v>60</v>
      </c>
      <c r="CU506" s="2">
        <f t="shared" si="46"/>
        <v>13</v>
      </c>
      <c r="CV506" s="2" t="str">
        <f t="shared" si="43"/>
        <v>Management - Sr. Practice Director / Sr. Delivery Director</v>
      </c>
      <c r="CW506" s="2" t="str">
        <f>_xlfn.XLOOKUP(CL506,'[1]Rates &amp; Drop Downs INT'!D$373:D$430,'[1]Rates &amp; Drop Downs INT'!C$373:C$430,"X",1)</f>
        <v>Cloud &amp; Engineering - 2 | Associate Engineer</v>
      </c>
    </row>
    <row r="507" spans="85:101" ht="13.05" customHeight="1" x14ac:dyDescent="0.25">
      <c r="CG507" s="2" t="s">
        <v>288</v>
      </c>
      <c r="CH507" s="2" t="s">
        <v>288</v>
      </c>
      <c r="CI507" s="2" t="s">
        <v>1227</v>
      </c>
      <c r="CJ507" s="2" t="s">
        <v>3345</v>
      </c>
      <c r="CK507" s="2" t="s">
        <v>448</v>
      </c>
      <c r="CL507" s="2" t="s">
        <v>3546</v>
      </c>
      <c r="CM507" s="39">
        <v>5</v>
      </c>
      <c r="CN507" s="2" t="str">
        <f t="shared" si="44"/>
        <v>TADigital NA Consulting - Delivery Manager</v>
      </c>
      <c r="CO507" s="2" t="str">
        <f t="shared" si="47"/>
        <v>TADigital India Consulting | Cloud &amp; Engineering - L2 / B1-B3 | Associate Engineer</v>
      </c>
      <c r="CP507" s="1579">
        <v>265</v>
      </c>
      <c r="CQ507" s="1579">
        <v>137.5</v>
      </c>
      <c r="CR507" s="1579">
        <v>90</v>
      </c>
      <c r="CS507" s="1579">
        <f t="shared" si="45"/>
        <v>38.950000000000003</v>
      </c>
      <c r="CT507" s="1579">
        <v>47.5</v>
      </c>
      <c r="CU507" s="2">
        <f t="shared" si="46"/>
        <v>13</v>
      </c>
      <c r="CV507" s="2" t="str">
        <f t="shared" si="43"/>
        <v>Delivery Manager</v>
      </c>
      <c r="CW507" s="2" t="str">
        <f>_xlfn.XLOOKUP(CL507,'[1]Rates &amp; Drop Downs INT'!D$373:D$430,'[1]Rates &amp; Drop Downs INT'!C$373:C$430,"X",1)</f>
        <v>Cloud &amp; Engineering - 2 | Associate Engineer</v>
      </c>
    </row>
    <row r="508" spans="85:101" ht="13.05" customHeight="1" x14ac:dyDescent="0.25">
      <c r="CG508" s="2" t="s">
        <v>288</v>
      </c>
      <c r="CH508" s="2" t="s">
        <v>288</v>
      </c>
      <c r="CI508" s="2" t="s">
        <v>1227</v>
      </c>
      <c r="CJ508" s="2" t="s">
        <v>3345</v>
      </c>
      <c r="CK508" s="2" t="s">
        <v>540</v>
      </c>
      <c r="CL508" s="2" t="s">
        <v>538</v>
      </c>
      <c r="CM508" s="39">
        <v>5</v>
      </c>
      <c r="CN508" s="2" t="str">
        <f t="shared" si="44"/>
        <v>TADigital NA Digital - Sr. Technical Architect</v>
      </c>
      <c r="CO508" s="2" t="str">
        <f t="shared" si="47"/>
        <v>TADigital India Consulting | Cloud &amp; Engineering - L2 / B1-B3 | Associate Engineer</v>
      </c>
      <c r="CP508" s="1579">
        <v>275</v>
      </c>
      <c r="CQ508" s="1579">
        <v>155</v>
      </c>
      <c r="CR508" s="1579">
        <v>105</v>
      </c>
      <c r="CS508" s="1579">
        <f t="shared" si="45"/>
        <v>36.900000000000006</v>
      </c>
      <c r="CT508" s="1579">
        <v>45</v>
      </c>
      <c r="CU508" s="2">
        <f t="shared" si="46"/>
        <v>13</v>
      </c>
      <c r="CV508" s="2" t="str">
        <f t="shared" si="43"/>
        <v>Sr. Technical Architect</v>
      </c>
      <c r="CW508" s="2" t="str">
        <f>_xlfn.XLOOKUP(CL508,'[1]Rates &amp; Drop Downs INT'!D$373:D$430,'[1]Rates &amp; Drop Downs INT'!C$373:C$430,"X",1)</f>
        <v>Cloud &amp; Engineering - 2 | Associate Engineer</v>
      </c>
    </row>
    <row r="509" spans="85:101" ht="13.05" customHeight="1" x14ac:dyDescent="0.25">
      <c r="CG509" s="2" t="s">
        <v>288</v>
      </c>
      <c r="CH509" s="2" t="s">
        <v>288</v>
      </c>
      <c r="CI509" s="2" t="s">
        <v>1227</v>
      </c>
      <c r="CJ509" s="2" t="s">
        <v>3345</v>
      </c>
      <c r="CK509" s="2" t="s">
        <v>538</v>
      </c>
      <c r="CL509" s="2" t="s">
        <v>538</v>
      </c>
      <c r="CM509" s="39">
        <v>4</v>
      </c>
      <c r="CN509" s="2" t="str">
        <f t="shared" si="44"/>
        <v>TADigital NA Consulting - Sr. Project Manager</v>
      </c>
      <c r="CO509" s="2" t="str">
        <f t="shared" si="47"/>
        <v>TADigital India Consulting | Cloud &amp; Engineering - L2 / B1-B3 | Associate Engineer</v>
      </c>
      <c r="CP509" s="1579">
        <v>235</v>
      </c>
      <c r="CQ509" s="1579">
        <v>132.5</v>
      </c>
      <c r="CR509" s="1579">
        <v>95</v>
      </c>
      <c r="CS509" s="1579">
        <f t="shared" si="45"/>
        <v>32.800000000000004</v>
      </c>
      <c r="CT509" s="1579">
        <v>40</v>
      </c>
      <c r="CU509" s="2">
        <f t="shared" si="46"/>
        <v>13</v>
      </c>
      <c r="CV509" s="2" t="str">
        <f t="shared" si="43"/>
        <v>Sr. Project Manager</v>
      </c>
      <c r="CW509" s="2" t="str">
        <f>_xlfn.XLOOKUP(CL509,'[1]Rates &amp; Drop Downs INT'!D$373:D$430,'[1]Rates &amp; Drop Downs INT'!C$373:C$430,"X",1)</f>
        <v>Cloud &amp; Engineering - 2 | Associate Engineer</v>
      </c>
    </row>
    <row r="510" spans="85:101" ht="13.05" customHeight="1" x14ac:dyDescent="0.25">
      <c r="CG510" s="2" t="s">
        <v>288</v>
      </c>
      <c r="CH510" s="2" t="s">
        <v>288</v>
      </c>
      <c r="CI510" s="2" t="s">
        <v>1227</v>
      </c>
      <c r="CJ510" s="2" t="s">
        <v>3345</v>
      </c>
      <c r="CK510" s="2" t="s">
        <v>536</v>
      </c>
      <c r="CL510" s="2" t="s">
        <v>536</v>
      </c>
      <c r="CM510" s="39">
        <v>3</v>
      </c>
      <c r="CN510" s="2" t="str">
        <f t="shared" si="44"/>
        <v>TADigital NA Digital - Technical Lead</v>
      </c>
      <c r="CO510" s="2" t="str">
        <f t="shared" si="47"/>
        <v>TADigital India Consulting | Cloud &amp; Engineering - L2 / B1-B3 | Associate Engineer</v>
      </c>
      <c r="CP510" s="1579">
        <v>185</v>
      </c>
      <c r="CQ510" s="1579">
        <v>90</v>
      </c>
      <c r="CR510" s="1579">
        <v>85</v>
      </c>
      <c r="CS510" s="1579">
        <f t="shared" si="45"/>
        <v>24.6</v>
      </c>
      <c r="CT510" s="1579">
        <v>30</v>
      </c>
      <c r="CU510" s="2">
        <f t="shared" si="46"/>
        <v>13</v>
      </c>
      <c r="CV510" s="2" t="str">
        <f t="shared" si="43"/>
        <v>Technical Lead</v>
      </c>
      <c r="CW510" s="2" t="str">
        <f>_xlfn.XLOOKUP(CL510,'[1]Rates &amp; Drop Downs INT'!D$373:D$430,'[1]Rates &amp; Drop Downs INT'!C$373:C$430,"X",1)</f>
        <v>Cloud &amp; Engineering - 2 | Associate Engineer</v>
      </c>
    </row>
    <row r="511" spans="85:101" ht="13.05" customHeight="1" x14ac:dyDescent="0.25">
      <c r="CG511" s="2" t="s">
        <v>288</v>
      </c>
      <c r="CH511" s="2" t="s">
        <v>288</v>
      </c>
      <c r="CI511" s="2" t="s">
        <v>1230</v>
      </c>
      <c r="CJ511" s="2" t="s">
        <v>3417</v>
      </c>
      <c r="CK511" s="2" t="s">
        <v>3351</v>
      </c>
      <c r="CL511" s="2" t="s">
        <v>3545</v>
      </c>
      <c r="CM511" s="39">
        <v>2</v>
      </c>
      <c r="CN511" s="2" t="str">
        <f t="shared" si="44"/>
        <v>TADigital NA Consulting | Content &amp; SEO - Associate Web Content Analyst</v>
      </c>
      <c r="CO511" s="2" t="str">
        <f t="shared" si="47"/>
        <v>TADigital India Consulting | Cloud &amp; Engineering - L2 / B1-B3 | Associate Engineer</v>
      </c>
      <c r="CP511" s="1579">
        <v>0</v>
      </c>
      <c r="CQ511" s="1579">
        <v>0</v>
      </c>
      <c r="CR511" s="1579">
        <v>35</v>
      </c>
      <c r="CS511" s="1579">
        <f t="shared" si="45"/>
        <v>10.66</v>
      </c>
      <c r="CT511" s="1579">
        <v>13</v>
      </c>
      <c r="CU511" s="2">
        <f t="shared" si="46"/>
        <v>13</v>
      </c>
      <c r="CV511" s="2" t="str">
        <f t="shared" si="43"/>
        <v>Content &amp; SEO - Associate Web Content Analyst</v>
      </c>
      <c r="CW511" s="2" t="str">
        <f>_xlfn.XLOOKUP(CL511,'[1]Rates &amp; Drop Downs INT'!D$373:D$430,'[1]Rates &amp; Drop Downs INT'!C$373:C$430,"X",1)</f>
        <v>Cloud &amp; Engineering - 2 | Associate Engineer</v>
      </c>
    </row>
    <row r="512" spans="85:101" ht="13.05" customHeight="1" x14ac:dyDescent="0.25">
      <c r="CG512" s="2" t="s">
        <v>288</v>
      </c>
      <c r="CH512" s="2" t="s">
        <v>288</v>
      </c>
      <c r="CI512" s="2" t="s">
        <v>1230</v>
      </c>
      <c r="CJ512" s="2" t="s">
        <v>3417</v>
      </c>
      <c r="CK512" s="2" t="s">
        <v>3383</v>
      </c>
      <c r="CL512" s="2">
        <v>0</v>
      </c>
      <c r="CM512" s="39">
        <v>6</v>
      </c>
      <c r="CN512" s="2" t="str">
        <f t="shared" si="44"/>
        <v>TADigital NA | Management - Practice VP / Delivery VP</v>
      </c>
      <c r="CO512" s="2" t="str">
        <f t="shared" si="47"/>
        <v>TADigital India Consulting | Cloud &amp; Engineering - L2 / B1-B3 | Associate Engineer</v>
      </c>
      <c r="CP512" s="1579">
        <v>370</v>
      </c>
      <c r="CQ512" s="1579">
        <v>207.5</v>
      </c>
      <c r="CR512" s="1579">
        <v>0</v>
      </c>
      <c r="CS512" s="1579">
        <f t="shared" si="45"/>
        <v>51.250000000000007</v>
      </c>
      <c r="CT512" s="1579">
        <v>62.5</v>
      </c>
      <c r="CU512" s="2">
        <f t="shared" si="46"/>
        <v>13</v>
      </c>
      <c r="CV512" s="2" t="str">
        <f t="shared" si="43"/>
        <v>Management - Practice VP / Delivery VP</v>
      </c>
      <c r="CW512" s="2" t="str">
        <f>_xlfn.XLOOKUP(CL512,'[1]Rates &amp; Drop Downs INT'!D$373:D$430,'[1]Rates &amp; Drop Downs INT'!C$373:C$430,"X",1)</f>
        <v>Cloud &amp; Engineering - 2 | Associate Engineer</v>
      </c>
    </row>
    <row r="513" spans="85:101" ht="13.05" customHeight="1" x14ac:dyDescent="0.25">
      <c r="CG513" s="2" t="s">
        <v>288</v>
      </c>
      <c r="CH513" s="2" t="s">
        <v>288</v>
      </c>
      <c r="CI513" s="2" t="s">
        <v>1230</v>
      </c>
      <c r="CJ513" s="2" t="s">
        <v>3417</v>
      </c>
      <c r="CK513" s="2" t="s">
        <v>532</v>
      </c>
      <c r="CL513" s="2" t="s">
        <v>3547</v>
      </c>
      <c r="CM513" s="39">
        <v>2</v>
      </c>
      <c r="CN513" s="2" t="str">
        <f t="shared" si="44"/>
        <v>TADigital NA Consulting | Content &amp; SEO - Associate Content Strategist</v>
      </c>
      <c r="CO513" s="2" t="str">
        <f t="shared" si="47"/>
        <v>TADigital India Consulting | Cloud &amp; Engineering - L2 / B1-B3 | Associate Engineer</v>
      </c>
      <c r="CP513" s="1579">
        <v>160</v>
      </c>
      <c r="CQ513" s="1579">
        <v>80</v>
      </c>
      <c r="CR513" s="1579">
        <v>55</v>
      </c>
      <c r="CS513" s="1579">
        <f t="shared" si="45"/>
        <v>14.760000000000002</v>
      </c>
      <c r="CT513" s="1579">
        <v>18</v>
      </c>
      <c r="CU513" s="2">
        <f t="shared" si="46"/>
        <v>13</v>
      </c>
      <c r="CV513" s="2" t="str">
        <f t="shared" si="43"/>
        <v>Content &amp; SEO - Associate Content Strategist</v>
      </c>
      <c r="CW513" s="2" t="str">
        <f>_xlfn.XLOOKUP(CL513,'[1]Rates &amp; Drop Downs INT'!D$373:D$430,'[1]Rates &amp; Drop Downs INT'!C$373:C$430,"X",1)</f>
        <v>Cloud &amp; Engineering - 2 | Associate Engineer</v>
      </c>
    </row>
    <row r="514" spans="85:101" ht="13.05" customHeight="1" x14ac:dyDescent="0.25">
      <c r="CG514" s="2" t="s">
        <v>288</v>
      </c>
      <c r="CH514" s="2" t="s">
        <v>288</v>
      </c>
      <c r="CI514" s="2" t="s">
        <v>1230</v>
      </c>
      <c r="CJ514" s="2" t="s">
        <v>3417</v>
      </c>
      <c r="CK514" s="2" t="s">
        <v>350</v>
      </c>
      <c r="CL514" s="2">
        <v>0</v>
      </c>
      <c r="CM514" s="39">
        <v>5</v>
      </c>
      <c r="CN514" s="2" t="str">
        <f t="shared" si="44"/>
        <v>TADigital NA Digital - Sr. Technical Architect</v>
      </c>
      <c r="CO514" s="2" t="str">
        <f t="shared" si="47"/>
        <v>TADigital India Consulting | Cloud &amp; Engineering - L2 / B1-B3 | Associate Engineer</v>
      </c>
      <c r="CP514" s="1579">
        <v>275</v>
      </c>
      <c r="CQ514" s="1579">
        <v>162.5</v>
      </c>
      <c r="CR514" s="1579">
        <v>105</v>
      </c>
      <c r="CS514" s="1579">
        <f t="shared" si="45"/>
        <v>41</v>
      </c>
      <c r="CT514" s="1579">
        <v>50</v>
      </c>
      <c r="CU514" s="2">
        <f t="shared" si="46"/>
        <v>13</v>
      </c>
      <c r="CV514" s="2" t="str">
        <f t="shared" si="43"/>
        <v>Sr. Technical Architect</v>
      </c>
      <c r="CW514" s="2" t="str">
        <f>_xlfn.XLOOKUP(CL514,'[1]Rates &amp; Drop Downs INT'!D$373:D$430,'[1]Rates &amp; Drop Downs INT'!C$373:C$430,"X",1)</f>
        <v>Cloud &amp; Engineering - 2 | Associate Engineer</v>
      </c>
    </row>
    <row r="515" spans="85:101" ht="13.05" customHeight="1" x14ac:dyDescent="0.25">
      <c r="CG515" s="2" t="s">
        <v>288</v>
      </c>
      <c r="CH515" s="2" t="s">
        <v>288</v>
      </c>
      <c r="CI515" s="2" t="s">
        <v>1230</v>
      </c>
      <c r="CJ515" s="2" t="s">
        <v>3417</v>
      </c>
      <c r="CK515" s="2" t="s">
        <v>3384</v>
      </c>
      <c r="CL515" s="2">
        <v>0</v>
      </c>
      <c r="CM515" s="39">
        <v>6</v>
      </c>
      <c r="CN515" s="2" t="str">
        <f t="shared" si="44"/>
        <v>TADigital NA | Management - Practice Director / Delivery Director</v>
      </c>
      <c r="CO515" s="2" t="str">
        <f t="shared" si="47"/>
        <v>TADigital India Consulting | Cloud &amp; Engineering - L2 / B1-B3 | Associate Engineer</v>
      </c>
      <c r="CP515" s="1579">
        <v>315</v>
      </c>
      <c r="CQ515" s="1579">
        <v>163</v>
      </c>
      <c r="CR515" s="1579">
        <v>125</v>
      </c>
      <c r="CS515" s="1579">
        <f t="shared" si="45"/>
        <v>41</v>
      </c>
      <c r="CT515" s="1579">
        <v>50</v>
      </c>
      <c r="CU515" s="2">
        <f t="shared" si="46"/>
        <v>13</v>
      </c>
      <c r="CV515" s="2" t="str">
        <f t="shared" si="43"/>
        <v>Management - Practice Director / Delivery Director</v>
      </c>
      <c r="CW515" s="2" t="str">
        <f>_xlfn.XLOOKUP(CL515,'[1]Rates &amp; Drop Downs INT'!D$373:D$430,'[1]Rates &amp; Drop Downs INT'!C$373:C$430,"X",1)</f>
        <v>Cloud &amp; Engineering - 2 | Associate Engineer</v>
      </c>
    </row>
    <row r="516" spans="85:101" ht="13.05" customHeight="1" x14ac:dyDescent="0.25">
      <c r="CG516" s="2" t="s">
        <v>288</v>
      </c>
      <c r="CH516" s="2" t="s">
        <v>288</v>
      </c>
      <c r="CI516" s="2" t="s">
        <v>1230</v>
      </c>
      <c r="CJ516" s="2" t="s">
        <v>3417</v>
      </c>
      <c r="CK516" s="2" t="s">
        <v>534</v>
      </c>
      <c r="CL516" s="2" t="s">
        <v>3550</v>
      </c>
      <c r="CM516" s="39">
        <v>2</v>
      </c>
      <c r="CN516" s="2" t="str">
        <f t="shared" si="44"/>
        <v>TADigital NA Consulting | Content &amp; SEO - Content Strategist</v>
      </c>
      <c r="CO516" s="2" t="str">
        <f t="shared" si="47"/>
        <v>TADigital India Consulting | Cloud &amp; Engineering - L2 / B1-B3 | Associate Engineer</v>
      </c>
      <c r="CP516" s="1579">
        <v>170</v>
      </c>
      <c r="CQ516" s="1579">
        <v>82.5</v>
      </c>
      <c r="CR516" s="1579">
        <v>65</v>
      </c>
      <c r="CS516" s="1579">
        <f t="shared" si="45"/>
        <v>18.450000000000003</v>
      </c>
      <c r="CT516" s="1579">
        <v>22.5</v>
      </c>
      <c r="CU516" s="2">
        <f t="shared" si="46"/>
        <v>13</v>
      </c>
      <c r="CV516" s="2" t="str">
        <f t="shared" si="43"/>
        <v>Content &amp; SEO - Content Strategist</v>
      </c>
      <c r="CW516" s="2" t="str">
        <f>_xlfn.XLOOKUP(CL516,'[1]Rates &amp; Drop Downs INT'!D$373:D$430,'[1]Rates &amp; Drop Downs INT'!C$373:C$430,"X",1)</f>
        <v>Cloud &amp; Engineering - 2 | Associate Engineer</v>
      </c>
    </row>
    <row r="517" spans="85:101" ht="13.05" customHeight="1" x14ac:dyDescent="0.25">
      <c r="CG517" s="2" t="s">
        <v>288</v>
      </c>
      <c r="CH517" s="2" t="s">
        <v>288</v>
      </c>
      <c r="CI517" s="2" t="s">
        <v>1230</v>
      </c>
      <c r="CJ517" s="2" t="s">
        <v>3417</v>
      </c>
      <c r="CK517" s="2" t="s">
        <v>3385</v>
      </c>
      <c r="CL517" s="2">
        <v>0</v>
      </c>
      <c r="CM517" s="39">
        <v>5</v>
      </c>
      <c r="CN517" s="2" t="str">
        <f t="shared" si="44"/>
        <v>TADigital NA | Management - Associate Practice Director</v>
      </c>
      <c r="CO517" s="2" t="str">
        <f t="shared" si="47"/>
        <v>TADigital India Consulting | Cloud &amp; Engineering - L2 / B1-B3 | Associate Engineer</v>
      </c>
      <c r="CP517" s="1579">
        <v>290</v>
      </c>
      <c r="CQ517" s="1579">
        <v>162.5</v>
      </c>
      <c r="CR517" s="1579">
        <v>115</v>
      </c>
      <c r="CS517" s="1579">
        <f t="shared" si="45"/>
        <v>41</v>
      </c>
      <c r="CT517" s="1579">
        <v>50</v>
      </c>
      <c r="CU517" s="2">
        <f t="shared" si="46"/>
        <v>13</v>
      </c>
      <c r="CV517" s="2" t="str">
        <f t="shared" si="43"/>
        <v>Management - Associate Practice Director</v>
      </c>
      <c r="CW517" s="2" t="str">
        <f>_xlfn.XLOOKUP(CL517,'[1]Rates &amp; Drop Downs INT'!D$373:D$430,'[1]Rates &amp; Drop Downs INT'!C$373:C$430,"X",1)</f>
        <v>Cloud &amp; Engineering - 2 | Associate Engineer</v>
      </c>
    </row>
    <row r="518" spans="85:101" ht="13.05" customHeight="1" x14ac:dyDescent="0.25">
      <c r="CG518" s="2" t="s">
        <v>288</v>
      </c>
      <c r="CH518" s="2" t="s">
        <v>288</v>
      </c>
      <c r="CI518" s="2" t="s">
        <v>1230</v>
      </c>
      <c r="CJ518" s="2" t="s">
        <v>3417</v>
      </c>
      <c r="CK518" s="2" t="s">
        <v>540</v>
      </c>
      <c r="CL518" s="2" t="s">
        <v>538</v>
      </c>
      <c r="CM518" s="39">
        <v>5</v>
      </c>
      <c r="CN518" s="2" t="str">
        <f t="shared" si="44"/>
        <v>TADigital NA Digital - Sr. Technical Architect</v>
      </c>
      <c r="CO518" s="2" t="str">
        <f t="shared" si="47"/>
        <v>TADigital India Consulting | Cloud &amp; Engineering - L2 / B1-B3 | Associate Engineer</v>
      </c>
      <c r="CP518" s="1579">
        <v>275</v>
      </c>
      <c r="CQ518" s="1579">
        <v>155</v>
      </c>
      <c r="CR518" s="1579">
        <v>105</v>
      </c>
      <c r="CS518" s="1579">
        <f t="shared" si="45"/>
        <v>36.900000000000006</v>
      </c>
      <c r="CT518" s="1579">
        <v>45</v>
      </c>
      <c r="CU518" s="2">
        <f t="shared" si="46"/>
        <v>13</v>
      </c>
      <c r="CV518" s="2" t="str">
        <f t="shared" ref="CV518:CV581" si="48">_xlfn.XLOOKUP(CN518,$F$205:$F$287,TADNorthAmerica,"X",1)</f>
        <v>Sr. Technical Architect</v>
      </c>
      <c r="CW518" s="2" t="str">
        <f>_xlfn.XLOOKUP(CL518,'[1]Rates &amp; Drop Downs INT'!D$373:D$430,'[1]Rates &amp; Drop Downs INT'!C$373:C$430,"X",1)</f>
        <v>Cloud &amp; Engineering - 2 | Associate Engineer</v>
      </c>
    </row>
    <row r="519" spans="85:101" ht="13.05" customHeight="1" x14ac:dyDescent="0.25">
      <c r="CG519" s="2" t="s">
        <v>288</v>
      </c>
      <c r="CH519" s="2" t="s">
        <v>288</v>
      </c>
      <c r="CI519" s="2" t="s">
        <v>1230</v>
      </c>
      <c r="CJ519" s="2" t="s">
        <v>3417</v>
      </c>
      <c r="CK519" s="2" t="s">
        <v>538</v>
      </c>
      <c r="CL519" s="2" t="s">
        <v>538</v>
      </c>
      <c r="CM519" s="39">
        <v>4</v>
      </c>
      <c r="CN519" s="2" t="str">
        <f t="shared" ref="CN519:CN582" si="49">_xlfn.XLOOKUP(CP519,$I$205:$I$287,$F$205:$F$287,"X",1)</f>
        <v>TADigital NA Consulting - Sr. Project Manager</v>
      </c>
      <c r="CO519" s="2" t="str">
        <f t="shared" si="47"/>
        <v>TADigital India Consulting | Cloud &amp; Engineering - L2 / B1-B3 | Associate Engineer</v>
      </c>
      <c r="CP519" s="1579">
        <v>235</v>
      </c>
      <c r="CQ519" s="1579">
        <v>132.5</v>
      </c>
      <c r="CR519" s="1579">
        <v>95</v>
      </c>
      <c r="CS519" s="1579">
        <f t="shared" ref="CS519:CS537" si="50">CT519*(1-0.18)</f>
        <v>32.800000000000004</v>
      </c>
      <c r="CT519" s="1579">
        <v>40</v>
      </c>
      <c r="CU519" s="2">
        <f t="shared" ref="CU519:CU582" si="51">_xlfn.XLOOKUP(CW519,$C$373:$C$430,$G$373:$G$430,"X",1)</f>
        <v>13</v>
      </c>
      <c r="CV519" s="2" t="str">
        <f t="shared" si="48"/>
        <v>Sr. Project Manager</v>
      </c>
      <c r="CW519" s="2" t="str">
        <f>_xlfn.XLOOKUP(CL519,'[1]Rates &amp; Drop Downs INT'!D$373:D$430,'[1]Rates &amp; Drop Downs INT'!C$373:C$430,"X",1)</f>
        <v>Cloud &amp; Engineering - 2 | Associate Engineer</v>
      </c>
    </row>
    <row r="520" spans="85:101" ht="13.05" customHeight="1" x14ac:dyDescent="0.25">
      <c r="CG520" s="2" t="s">
        <v>288</v>
      </c>
      <c r="CH520" s="2" t="s">
        <v>288</v>
      </c>
      <c r="CI520" s="2" t="s">
        <v>1230</v>
      </c>
      <c r="CJ520" s="2" t="s">
        <v>3417</v>
      </c>
      <c r="CK520" s="2" t="s">
        <v>536</v>
      </c>
      <c r="CL520" s="2" t="s">
        <v>536</v>
      </c>
      <c r="CM520" s="39">
        <v>3</v>
      </c>
      <c r="CN520" s="2" t="str">
        <f t="shared" si="49"/>
        <v>TADigital NA Digital - Technical Lead</v>
      </c>
      <c r="CO520" s="2" t="str">
        <f t="shared" si="47"/>
        <v>TADigital India Consulting | Cloud &amp; Engineering - L2 / B1-B3 | Associate Engineer</v>
      </c>
      <c r="CP520" s="1579">
        <v>185</v>
      </c>
      <c r="CQ520" s="1579">
        <v>90</v>
      </c>
      <c r="CR520" s="1579">
        <v>85</v>
      </c>
      <c r="CS520" s="1579">
        <f t="shared" si="50"/>
        <v>24.6</v>
      </c>
      <c r="CT520" s="1579">
        <v>30</v>
      </c>
      <c r="CU520" s="2">
        <f t="shared" si="51"/>
        <v>13</v>
      </c>
      <c r="CV520" s="2" t="str">
        <f t="shared" si="48"/>
        <v>Technical Lead</v>
      </c>
      <c r="CW520" s="2" t="str">
        <f>_xlfn.XLOOKUP(CL520,'[1]Rates &amp; Drop Downs INT'!D$373:D$430,'[1]Rates &amp; Drop Downs INT'!C$373:C$430,"X",1)</f>
        <v>Cloud &amp; Engineering - 2 | Associate Engineer</v>
      </c>
    </row>
    <row r="521" spans="85:101" ht="13.05" customHeight="1" x14ac:dyDescent="0.25">
      <c r="CG521" s="2" t="s">
        <v>288</v>
      </c>
      <c r="CH521" s="2" t="s">
        <v>288</v>
      </c>
      <c r="CI521" s="2" t="s">
        <v>318</v>
      </c>
      <c r="CJ521" s="2" t="s">
        <v>3418</v>
      </c>
      <c r="CK521" s="2" t="s">
        <v>3355</v>
      </c>
      <c r="CL521" s="2" t="s">
        <v>3547</v>
      </c>
      <c r="CM521" s="39">
        <v>2</v>
      </c>
      <c r="CN521" s="2" t="str">
        <f t="shared" si="49"/>
        <v>TADigital NA Consulting | Content &amp; SEO - Associate Web Content Analyst</v>
      </c>
      <c r="CO521" s="2" t="str">
        <f t="shared" si="47"/>
        <v>TADigital India Consulting | Cloud &amp; Engineering - L2 / B1-B3 | Associate Engineer</v>
      </c>
      <c r="CP521" s="1579">
        <v>0</v>
      </c>
      <c r="CQ521" s="1579">
        <v>0</v>
      </c>
      <c r="CR521" s="1579">
        <v>35</v>
      </c>
      <c r="CS521" s="1579">
        <f t="shared" si="50"/>
        <v>10.66</v>
      </c>
      <c r="CT521" s="1579">
        <v>13</v>
      </c>
      <c r="CU521" s="2">
        <f t="shared" si="51"/>
        <v>13</v>
      </c>
      <c r="CV521" s="2" t="str">
        <f t="shared" si="48"/>
        <v>Content &amp; SEO - Associate Web Content Analyst</v>
      </c>
      <c r="CW521" s="2" t="str">
        <f>_xlfn.XLOOKUP(CL521,'[1]Rates &amp; Drop Downs INT'!D$373:D$430,'[1]Rates &amp; Drop Downs INT'!C$373:C$430,"X",1)</f>
        <v>Cloud &amp; Engineering - 2 | Associate Engineer</v>
      </c>
    </row>
    <row r="522" spans="85:101" ht="13.05" customHeight="1" x14ac:dyDescent="0.25">
      <c r="CG522" s="2" t="s">
        <v>288</v>
      </c>
      <c r="CH522" s="2" t="s">
        <v>288</v>
      </c>
      <c r="CI522" s="2" t="s">
        <v>318</v>
      </c>
      <c r="CJ522" s="2" t="s">
        <v>3418</v>
      </c>
      <c r="CK522" s="2" t="s">
        <v>3356</v>
      </c>
      <c r="CL522" s="2" t="s">
        <v>3545</v>
      </c>
      <c r="CM522" s="39">
        <v>2</v>
      </c>
      <c r="CN522" s="2" t="str">
        <f t="shared" si="49"/>
        <v>TADigital NA Consulting | Content &amp; SEO - Associate Web Content Analyst</v>
      </c>
      <c r="CO522" s="2" t="str">
        <f t="shared" si="47"/>
        <v>TADigital India Consulting | Cloud &amp; Engineering - L2 / B1-B3 | Associate Engineer</v>
      </c>
      <c r="CP522" s="1579">
        <v>0</v>
      </c>
      <c r="CQ522" s="1579">
        <v>0</v>
      </c>
      <c r="CR522" s="1579">
        <v>35</v>
      </c>
      <c r="CS522" s="1579">
        <f t="shared" si="50"/>
        <v>10.66</v>
      </c>
      <c r="CT522" s="1579">
        <v>13</v>
      </c>
      <c r="CU522" s="2">
        <f t="shared" si="51"/>
        <v>13</v>
      </c>
      <c r="CV522" s="2" t="str">
        <f t="shared" si="48"/>
        <v>Content &amp; SEO - Associate Web Content Analyst</v>
      </c>
      <c r="CW522" s="2" t="str">
        <f>_xlfn.XLOOKUP(CL522,'[1]Rates &amp; Drop Downs INT'!D$373:D$430,'[1]Rates &amp; Drop Downs INT'!C$373:C$430,"X",1)</f>
        <v>Cloud &amp; Engineering - 2 | Associate Engineer</v>
      </c>
    </row>
    <row r="523" spans="85:101" ht="13.05" customHeight="1" x14ac:dyDescent="0.25">
      <c r="CG523" s="2" t="s">
        <v>288</v>
      </c>
      <c r="CH523" s="2" t="s">
        <v>288</v>
      </c>
      <c r="CI523" s="2" t="s">
        <v>318</v>
      </c>
      <c r="CJ523" s="2" t="s">
        <v>3418</v>
      </c>
      <c r="CK523" s="2" t="s">
        <v>720</v>
      </c>
      <c r="CL523" s="2" t="s">
        <v>3546</v>
      </c>
      <c r="CM523" s="39">
        <v>5</v>
      </c>
      <c r="CN523" s="2" t="str">
        <f t="shared" si="49"/>
        <v>TADigital NA | Management - Associate Practice Director</v>
      </c>
      <c r="CO523" s="2" t="str">
        <f t="shared" si="47"/>
        <v>TADigital India Consulting | Cloud &amp; Engineering - L2 / B1-B3 | Associate Engineer</v>
      </c>
      <c r="CP523" s="1579">
        <v>290</v>
      </c>
      <c r="CQ523" s="1579">
        <v>140</v>
      </c>
      <c r="CR523" s="1579">
        <v>105</v>
      </c>
      <c r="CS523" s="1579">
        <f t="shared" si="50"/>
        <v>45.1</v>
      </c>
      <c r="CT523" s="1579">
        <v>55</v>
      </c>
      <c r="CU523" s="2">
        <f t="shared" si="51"/>
        <v>13</v>
      </c>
      <c r="CV523" s="2" t="str">
        <f t="shared" si="48"/>
        <v>Management - Associate Practice Director</v>
      </c>
      <c r="CW523" s="2" t="str">
        <f>_xlfn.XLOOKUP(CL523,'[1]Rates &amp; Drop Downs INT'!D$373:D$430,'[1]Rates &amp; Drop Downs INT'!C$373:C$430,"X",1)</f>
        <v>Cloud &amp; Engineering - 2 | Associate Engineer</v>
      </c>
    </row>
    <row r="524" spans="85:101" ht="13.05" customHeight="1" x14ac:dyDescent="0.25">
      <c r="CG524" s="2" t="s">
        <v>288</v>
      </c>
      <c r="CH524" s="2" t="s">
        <v>288</v>
      </c>
      <c r="CI524" s="2" t="s">
        <v>318</v>
      </c>
      <c r="CJ524" s="2" t="s">
        <v>3418</v>
      </c>
      <c r="CK524" s="2" t="s">
        <v>367</v>
      </c>
      <c r="CL524" s="2" t="s">
        <v>536</v>
      </c>
      <c r="CM524" s="39">
        <v>2</v>
      </c>
      <c r="CN524" s="2" t="str">
        <f t="shared" si="49"/>
        <v>TADigital NA Consulting | Content &amp; SEO - Associate Content Strategist</v>
      </c>
      <c r="CO524" s="2" t="str">
        <f t="shared" si="47"/>
        <v>TADigital India Consulting | Cloud &amp; Engineering - L2 / B1-B3 | Associate Engineer</v>
      </c>
      <c r="CP524" s="1579">
        <v>160</v>
      </c>
      <c r="CQ524" s="1579">
        <v>85</v>
      </c>
      <c r="CR524" s="1579">
        <v>55</v>
      </c>
      <c r="CS524" s="1579">
        <f t="shared" si="50"/>
        <v>14.760000000000002</v>
      </c>
      <c r="CT524" s="1579">
        <v>18</v>
      </c>
      <c r="CU524" s="2">
        <f t="shared" si="51"/>
        <v>13</v>
      </c>
      <c r="CV524" s="2" t="str">
        <f t="shared" si="48"/>
        <v>Content &amp; SEO - Associate Content Strategist</v>
      </c>
      <c r="CW524" s="2" t="str">
        <f>_xlfn.XLOOKUP(CL524,'[1]Rates &amp; Drop Downs INT'!D$373:D$430,'[1]Rates &amp; Drop Downs INT'!C$373:C$430,"X",1)</f>
        <v>Cloud &amp; Engineering - 2 | Associate Engineer</v>
      </c>
    </row>
    <row r="525" spans="85:101" ht="13.05" customHeight="1" x14ac:dyDescent="0.25">
      <c r="CG525" s="2" t="s">
        <v>288</v>
      </c>
      <c r="CH525" s="2" t="s">
        <v>288</v>
      </c>
      <c r="CI525" s="2" t="s">
        <v>318</v>
      </c>
      <c r="CJ525" s="2" t="s">
        <v>3418</v>
      </c>
      <c r="CK525" s="2" t="s">
        <v>348</v>
      </c>
      <c r="CL525" s="2" t="s">
        <v>538</v>
      </c>
      <c r="CM525" s="39">
        <v>4</v>
      </c>
      <c r="CN525" s="2" t="str">
        <f t="shared" si="49"/>
        <v>TADigital NA Consulting - Sr. Project Manager</v>
      </c>
      <c r="CO525" s="2" t="str">
        <f t="shared" si="47"/>
        <v>TADigital India Consulting | Cloud &amp; Engineering - L2 / B1-B3 | Associate Engineer</v>
      </c>
      <c r="CP525" s="1579">
        <v>235</v>
      </c>
      <c r="CQ525" s="1579">
        <v>115.5</v>
      </c>
      <c r="CR525" s="1579">
        <v>95</v>
      </c>
      <c r="CS525" s="1579">
        <f t="shared" si="50"/>
        <v>30.750000000000004</v>
      </c>
      <c r="CT525" s="1579">
        <v>37.5</v>
      </c>
      <c r="CU525" s="2">
        <f t="shared" si="51"/>
        <v>13</v>
      </c>
      <c r="CV525" s="2" t="str">
        <f t="shared" si="48"/>
        <v>Sr. Project Manager</v>
      </c>
      <c r="CW525" s="2" t="str">
        <f>_xlfn.XLOOKUP(CL525,'[1]Rates &amp; Drop Downs INT'!D$373:D$430,'[1]Rates &amp; Drop Downs INT'!C$373:C$430,"X",1)</f>
        <v>Cloud &amp; Engineering - 2 | Associate Engineer</v>
      </c>
    </row>
    <row r="526" spans="85:101" ht="13.05" customHeight="1" x14ac:dyDescent="0.25">
      <c r="CG526" s="2" t="s">
        <v>288</v>
      </c>
      <c r="CH526" s="2" t="s">
        <v>288</v>
      </c>
      <c r="CI526" s="2" t="s">
        <v>318</v>
      </c>
      <c r="CJ526" s="2" t="s">
        <v>3418</v>
      </c>
      <c r="CK526" s="2" t="s">
        <v>315</v>
      </c>
      <c r="CL526" s="2" t="s">
        <v>3550</v>
      </c>
      <c r="CM526" s="39">
        <v>2</v>
      </c>
      <c r="CN526" s="2" t="str">
        <f t="shared" si="49"/>
        <v>TADigital NA Consulting | Content &amp; SEO - Associate Content Strategist</v>
      </c>
      <c r="CO526" s="2" t="str">
        <f t="shared" si="47"/>
        <v>TADigital India Consulting | Cloud &amp; Engineering - L2 / B1-B3 | Associate Engineer</v>
      </c>
      <c r="CP526" s="1579">
        <v>160</v>
      </c>
      <c r="CQ526" s="1579">
        <v>85</v>
      </c>
      <c r="CR526" s="1579">
        <v>55</v>
      </c>
      <c r="CS526" s="1579">
        <f t="shared" si="50"/>
        <v>14.760000000000002</v>
      </c>
      <c r="CT526" s="1579">
        <v>18</v>
      </c>
      <c r="CU526" s="2">
        <f t="shared" si="51"/>
        <v>13</v>
      </c>
      <c r="CV526" s="2" t="str">
        <f t="shared" si="48"/>
        <v>Content &amp; SEO - Associate Content Strategist</v>
      </c>
      <c r="CW526" s="2" t="str">
        <f>_xlfn.XLOOKUP(CL526,'[1]Rates &amp; Drop Downs INT'!D$373:D$430,'[1]Rates &amp; Drop Downs INT'!C$373:C$430,"X",1)</f>
        <v>Cloud &amp; Engineering - 2 | Associate Engineer</v>
      </c>
    </row>
    <row r="527" spans="85:101" ht="13.05" customHeight="1" x14ac:dyDescent="0.25">
      <c r="CG527" s="2" t="s">
        <v>288</v>
      </c>
      <c r="CH527" s="2" t="s">
        <v>288</v>
      </c>
      <c r="CI527" s="2" t="s">
        <v>318</v>
      </c>
      <c r="CJ527" s="2" t="s">
        <v>3418</v>
      </c>
      <c r="CK527" s="2" t="s">
        <v>3357</v>
      </c>
      <c r="CL527" s="2" t="s">
        <v>536</v>
      </c>
      <c r="CM527" s="39">
        <v>3</v>
      </c>
      <c r="CN527" s="2" t="str">
        <f t="shared" si="49"/>
        <v>TADigital NA Consulting | Content &amp; SEO - Associate Manager</v>
      </c>
      <c r="CO527" s="2" t="str">
        <f t="shared" si="47"/>
        <v>TADigital India Consulting | Cloud &amp; Engineering - L2 / B1-B3 | Associate Engineer</v>
      </c>
      <c r="CP527" s="1579">
        <v>210</v>
      </c>
      <c r="CQ527" s="1579">
        <v>107.5</v>
      </c>
      <c r="CR527" s="1579">
        <v>85</v>
      </c>
      <c r="CS527" s="1579">
        <f t="shared" si="50"/>
        <v>28.700000000000003</v>
      </c>
      <c r="CT527" s="1579">
        <v>35</v>
      </c>
      <c r="CU527" s="2">
        <f t="shared" si="51"/>
        <v>13</v>
      </c>
      <c r="CV527" s="2" t="str">
        <f t="shared" si="48"/>
        <v>Content &amp; SEO - Associate Manager</v>
      </c>
      <c r="CW527" s="2" t="str">
        <f>_xlfn.XLOOKUP(CL527,'[1]Rates &amp; Drop Downs INT'!D$373:D$430,'[1]Rates &amp; Drop Downs INT'!C$373:C$430,"X",1)</f>
        <v>Cloud &amp; Engineering - 2 | Associate Engineer</v>
      </c>
    </row>
    <row r="528" spans="85:101" ht="13.05" customHeight="1" x14ac:dyDescent="0.25">
      <c r="CG528" s="2" t="s">
        <v>288</v>
      </c>
      <c r="CH528" s="2" t="s">
        <v>288</v>
      </c>
      <c r="CI528" s="2" t="s">
        <v>318</v>
      </c>
      <c r="CJ528" s="2" t="s">
        <v>3418</v>
      </c>
      <c r="CK528" s="2" t="s">
        <v>370</v>
      </c>
      <c r="CL528" s="2" t="s">
        <v>3548</v>
      </c>
      <c r="CM528" s="39">
        <v>4</v>
      </c>
      <c r="CN528" s="2" t="str">
        <f t="shared" si="49"/>
        <v>TADigital NA Consulting - Sr. Project Manager</v>
      </c>
      <c r="CO528" s="2" t="str">
        <f t="shared" si="47"/>
        <v>TADigital India Consulting | Cloud &amp; Engineering - L2 / B1-B3 | Associate Engineer</v>
      </c>
      <c r="CP528" s="1579">
        <v>235</v>
      </c>
      <c r="CQ528" s="1579">
        <v>116</v>
      </c>
      <c r="CR528" s="1579">
        <v>95</v>
      </c>
      <c r="CS528" s="1579">
        <f t="shared" si="50"/>
        <v>31.160000000000004</v>
      </c>
      <c r="CT528" s="1579">
        <v>38</v>
      </c>
      <c r="CU528" s="2">
        <f t="shared" si="51"/>
        <v>13</v>
      </c>
      <c r="CV528" s="2" t="str">
        <f t="shared" si="48"/>
        <v>Sr. Project Manager</v>
      </c>
      <c r="CW528" s="2" t="str">
        <f>_xlfn.XLOOKUP(CL528,'[1]Rates &amp; Drop Downs INT'!D$373:D$430,'[1]Rates &amp; Drop Downs INT'!C$373:C$430,"X",1)</f>
        <v>Cloud &amp; Engineering - 2 | Associate Engineer</v>
      </c>
    </row>
    <row r="529" spans="85:101" ht="13.05" customHeight="1" x14ac:dyDescent="0.25">
      <c r="CG529" s="2" t="s">
        <v>288</v>
      </c>
      <c r="CH529" s="2" t="s">
        <v>288</v>
      </c>
      <c r="CI529" s="2" t="s">
        <v>318</v>
      </c>
      <c r="CJ529" s="2" t="s">
        <v>3418</v>
      </c>
      <c r="CK529" s="2" t="s">
        <v>3358</v>
      </c>
      <c r="CL529" s="2" t="s">
        <v>538</v>
      </c>
      <c r="CM529" s="39">
        <v>3</v>
      </c>
      <c r="CN529" s="2" t="str">
        <f t="shared" si="49"/>
        <v>TADigital NA Consulting | Content &amp; SEO - Associate Manager</v>
      </c>
      <c r="CO529" s="2" t="str">
        <f t="shared" si="47"/>
        <v>TADigital India Consulting | Cloud &amp; Engineering - L2 / B1-B3 | Associate Engineer</v>
      </c>
      <c r="CP529" s="1579">
        <v>210</v>
      </c>
      <c r="CQ529" s="1579">
        <v>108</v>
      </c>
      <c r="CR529" s="1579">
        <v>85</v>
      </c>
      <c r="CS529" s="1579">
        <f t="shared" si="50"/>
        <v>28.700000000000003</v>
      </c>
      <c r="CT529" s="1579">
        <v>35</v>
      </c>
      <c r="CU529" s="2">
        <f t="shared" si="51"/>
        <v>13</v>
      </c>
      <c r="CV529" s="2" t="str">
        <f t="shared" si="48"/>
        <v>Content &amp; SEO - Associate Manager</v>
      </c>
      <c r="CW529" s="2" t="str">
        <f>_xlfn.XLOOKUP(CL529,'[1]Rates &amp; Drop Downs INT'!D$373:D$430,'[1]Rates &amp; Drop Downs INT'!C$373:C$430,"X",1)</f>
        <v>Cloud &amp; Engineering - 2 | Associate Engineer</v>
      </c>
    </row>
    <row r="530" spans="85:101" ht="13.05" customHeight="1" x14ac:dyDescent="0.25">
      <c r="CG530" s="2" t="s">
        <v>288</v>
      </c>
      <c r="CH530" s="2" t="s">
        <v>288</v>
      </c>
      <c r="CI530" s="2" t="s">
        <v>318</v>
      </c>
      <c r="CJ530" s="2" t="s">
        <v>3418</v>
      </c>
      <c r="CK530" s="2" t="s">
        <v>3352</v>
      </c>
      <c r="CL530" s="2" t="s">
        <v>3549</v>
      </c>
      <c r="CM530" s="39">
        <v>5</v>
      </c>
      <c r="CN530" s="2" t="str">
        <f t="shared" si="49"/>
        <v>TADigital NA | Management - Practice Director / Delivery Director</v>
      </c>
      <c r="CO530" s="2" t="str">
        <f t="shared" si="47"/>
        <v>TADigital India Consulting | Cloud &amp; Engineering - L2 / B1-B3 | Associate Engineer</v>
      </c>
      <c r="CP530" s="1579">
        <v>315</v>
      </c>
      <c r="CQ530" s="1579">
        <v>165</v>
      </c>
      <c r="CR530" s="1579">
        <v>115</v>
      </c>
      <c r="CS530" s="1579">
        <f t="shared" si="50"/>
        <v>45.1</v>
      </c>
      <c r="CT530" s="1579">
        <v>55</v>
      </c>
      <c r="CU530" s="2">
        <f t="shared" si="51"/>
        <v>13</v>
      </c>
      <c r="CV530" s="2" t="str">
        <f t="shared" si="48"/>
        <v>Management - Practice Director / Delivery Director</v>
      </c>
      <c r="CW530" s="2" t="str">
        <f>_xlfn.XLOOKUP(CL530,'[1]Rates &amp; Drop Downs INT'!D$373:D$430,'[1]Rates &amp; Drop Downs INT'!C$373:C$430,"X",1)</f>
        <v>Cloud &amp; Engineering - 2 | Associate Engineer</v>
      </c>
    </row>
    <row r="531" spans="85:101" ht="13.05" customHeight="1" x14ac:dyDescent="0.25">
      <c r="CG531" s="2" t="s">
        <v>288</v>
      </c>
      <c r="CH531" s="2" t="s">
        <v>288</v>
      </c>
      <c r="CI531" s="2" t="s">
        <v>318</v>
      </c>
      <c r="CJ531" s="2" t="s">
        <v>3418</v>
      </c>
      <c r="CK531" s="2" t="s">
        <v>3353</v>
      </c>
      <c r="CL531" s="2" t="s">
        <v>3549</v>
      </c>
      <c r="CM531" s="39">
        <v>6</v>
      </c>
      <c r="CN531" s="2" t="str">
        <f t="shared" si="49"/>
        <v>TADigital NA | Management - Practice VP / Delivery VP</v>
      </c>
      <c r="CO531" s="2" t="str">
        <f t="shared" si="47"/>
        <v>TADigital India Consulting | Cloud &amp; Engineering - L2 / B1-B3 | Associate Engineer</v>
      </c>
      <c r="CP531" s="1579">
        <v>370</v>
      </c>
      <c r="CQ531" s="1579">
        <v>172.5</v>
      </c>
      <c r="CR531" s="1579">
        <v>135</v>
      </c>
      <c r="CS531" s="1579">
        <f t="shared" si="50"/>
        <v>51.250000000000007</v>
      </c>
      <c r="CT531" s="1579">
        <v>62.5</v>
      </c>
      <c r="CU531" s="2">
        <f t="shared" si="51"/>
        <v>13</v>
      </c>
      <c r="CV531" s="2" t="str">
        <f t="shared" si="48"/>
        <v>Management - Practice VP / Delivery VP</v>
      </c>
      <c r="CW531" s="2" t="str">
        <f>_xlfn.XLOOKUP(CL531,'[1]Rates &amp; Drop Downs INT'!D$373:D$430,'[1]Rates &amp; Drop Downs INT'!C$373:C$430,"X",1)</f>
        <v>Cloud &amp; Engineering - 2 | Associate Engineer</v>
      </c>
    </row>
    <row r="532" spans="85:101" ht="13.05" customHeight="1" x14ac:dyDescent="0.25">
      <c r="CG532" s="2" t="s">
        <v>288</v>
      </c>
      <c r="CH532" s="2" t="s">
        <v>288</v>
      </c>
      <c r="CI532" s="2" t="s">
        <v>318</v>
      </c>
      <c r="CJ532" s="2" t="s">
        <v>3418</v>
      </c>
      <c r="CK532" s="2" t="s">
        <v>3359</v>
      </c>
      <c r="CL532" s="2" t="s">
        <v>3550</v>
      </c>
      <c r="CM532" s="39">
        <v>2</v>
      </c>
      <c r="CN532" s="2" t="str">
        <f t="shared" si="49"/>
        <v>TADigital NA Consulting - Project Manager / Product Manager</v>
      </c>
      <c r="CO532" s="2" t="str">
        <f t="shared" si="47"/>
        <v>TADigital India Consulting | Cloud &amp; Engineering - L2 / B1-B3 | Associate Engineer</v>
      </c>
      <c r="CP532" s="1579">
        <v>190</v>
      </c>
      <c r="CQ532" s="1579">
        <v>105</v>
      </c>
      <c r="CR532" s="1579">
        <v>65</v>
      </c>
      <c r="CS532" s="1579">
        <f t="shared" si="50"/>
        <v>22.96</v>
      </c>
      <c r="CT532" s="1579">
        <v>28</v>
      </c>
      <c r="CU532" s="2">
        <f t="shared" si="51"/>
        <v>13</v>
      </c>
      <c r="CV532" s="2" t="str">
        <f t="shared" si="48"/>
        <v>Project Manager / Product Manager</v>
      </c>
      <c r="CW532" s="2" t="str">
        <f>_xlfn.XLOOKUP(CL532,'[1]Rates &amp; Drop Downs INT'!D$373:D$430,'[1]Rates &amp; Drop Downs INT'!C$373:C$430,"X",1)</f>
        <v>Cloud &amp; Engineering - 2 | Associate Engineer</v>
      </c>
    </row>
    <row r="533" spans="85:101" ht="13.05" customHeight="1" x14ac:dyDescent="0.25">
      <c r="CG533" s="2" t="s">
        <v>288</v>
      </c>
      <c r="CH533" s="2" t="s">
        <v>288</v>
      </c>
      <c r="CI533" s="2" t="s">
        <v>318</v>
      </c>
      <c r="CJ533" s="2" t="s">
        <v>3418</v>
      </c>
      <c r="CK533" s="2" t="s">
        <v>3360</v>
      </c>
      <c r="CL533" s="2" t="s">
        <v>3546</v>
      </c>
      <c r="CM533" s="39">
        <v>5</v>
      </c>
      <c r="CN533" s="2" t="str">
        <f t="shared" si="49"/>
        <v>TADigital NA Digital - Sr. Technical Architect</v>
      </c>
      <c r="CO533" s="2" t="str">
        <f t="shared" si="47"/>
        <v>TADigital India Consulting | Cloud &amp; Engineering - L2 / B1-B3 | Associate Engineer</v>
      </c>
      <c r="CP533" s="1579">
        <v>275</v>
      </c>
      <c r="CQ533" s="1579">
        <v>162.5</v>
      </c>
      <c r="CR533" s="1579">
        <v>105</v>
      </c>
      <c r="CS533" s="1579">
        <f t="shared" si="50"/>
        <v>41</v>
      </c>
      <c r="CT533" s="1579">
        <v>50</v>
      </c>
      <c r="CU533" s="2">
        <f t="shared" si="51"/>
        <v>13</v>
      </c>
      <c r="CV533" s="2" t="str">
        <f t="shared" si="48"/>
        <v>Sr. Technical Architect</v>
      </c>
      <c r="CW533" s="2" t="str">
        <f>_xlfn.XLOOKUP(CL533,'[1]Rates &amp; Drop Downs INT'!D$373:D$430,'[1]Rates &amp; Drop Downs INT'!C$373:C$430,"X",1)</f>
        <v>Cloud &amp; Engineering - 2 | Associate Engineer</v>
      </c>
    </row>
    <row r="534" spans="85:101" ht="13.05" customHeight="1" x14ac:dyDescent="0.25">
      <c r="CG534" s="2" t="s">
        <v>288</v>
      </c>
      <c r="CH534" s="2" t="s">
        <v>288</v>
      </c>
      <c r="CI534" s="2" t="s">
        <v>318</v>
      </c>
      <c r="CJ534" s="2" t="s">
        <v>3418</v>
      </c>
      <c r="CK534" s="2" t="s">
        <v>3361</v>
      </c>
      <c r="CL534" s="2" t="s">
        <v>3547</v>
      </c>
      <c r="CM534" s="39">
        <v>2</v>
      </c>
      <c r="CN534" s="2" t="str">
        <f t="shared" si="49"/>
        <v>TADigital NA Consulting - Project Manager / Product Manager</v>
      </c>
      <c r="CO534" s="2" t="str">
        <f t="shared" si="47"/>
        <v>TADigital India Consulting | Cloud &amp; Engineering - L2 / B1-B3 | Associate Engineer</v>
      </c>
      <c r="CP534" s="1579">
        <v>190</v>
      </c>
      <c r="CQ534" s="1579">
        <v>105</v>
      </c>
      <c r="CR534" s="1579">
        <v>65</v>
      </c>
      <c r="CS534" s="1579">
        <f t="shared" si="50"/>
        <v>22.55</v>
      </c>
      <c r="CT534" s="1579">
        <v>27.5</v>
      </c>
      <c r="CU534" s="2">
        <f t="shared" si="51"/>
        <v>13</v>
      </c>
      <c r="CV534" s="2" t="str">
        <f t="shared" si="48"/>
        <v>Project Manager / Product Manager</v>
      </c>
      <c r="CW534" s="2" t="str">
        <f>_xlfn.XLOOKUP(CL534,'[1]Rates &amp; Drop Downs INT'!D$373:D$430,'[1]Rates &amp; Drop Downs INT'!C$373:C$430,"X",1)</f>
        <v>Cloud &amp; Engineering - 2 | Associate Engineer</v>
      </c>
    </row>
    <row r="535" spans="85:101" ht="13.05" customHeight="1" x14ac:dyDescent="0.25">
      <c r="CG535" s="2" t="s">
        <v>288</v>
      </c>
      <c r="CH535" s="2" t="s">
        <v>288</v>
      </c>
      <c r="CI535" s="2" t="s">
        <v>318</v>
      </c>
      <c r="CJ535" s="2" t="s">
        <v>3418</v>
      </c>
      <c r="CK535" s="2" t="s">
        <v>3362</v>
      </c>
      <c r="CL535" s="2" t="s">
        <v>3546</v>
      </c>
      <c r="CM535" s="39">
        <v>5</v>
      </c>
      <c r="CN535" s="2" t="str">
        <f t="shared" si="49"/>
        <v>TADigital NA Digital - Sr. Technical Architect</v>
      </c>
      <c r="CO535" s="2" t="str">
        <f t="shared" si="47"/>
        <v>TADigital India Consulting | Cloud &amp; Engineering - L2 / B1-B3 | Associate Engineer</v>
      </c>
      <c r="CP535" s="1579">
        <v>275</v>
      </c>
      <c r="CQ535" s="1579">
        <v>162.5</v>
      </c>
      <c r="CR535" s="1579">
        <v>105</v>
      </c>
      <c r="CS535" s="1579">
        <f t="shared" si="50"/>
        <v>41</v>
      </c>
      <c r="CT535" s="1579">
        <v>50</v>
      </c>
      <c r="CU535" s="2">
        <f t="shared" si="51"/>
        <v>13</v>
      </c>
      <c r="CV535" s="2" t="str">
        <f t="shared" si="48"/>
        <v>Sr. Technical Architect</v>
      </c>
      <c r="CW535" s="2" t="str">
        <f>_xlfn.XLOOKUP(CL535,'[1]Rates &amp; Drop Downs INT'!D$373:D$430,'[1]Rates &amp; Drop Downs INT'!C$373:C$430,"X",1)</f>
        <v>Cloud &amp; Engineering - 2 | Associate Engineer</v>
      </c>
    </row>
    <row r="536" spans="85:101" ht="13.05" customHeight="1" x14ac:dyDescent="0.25">
      <c r="CG536" s="2" t="s">
        <v>288</v>
      </c>
      <c r="CH536" s="2" t="s">
        <v>288</v>
      </c>
      <c r="CI536" s="2" t="s">
        <v>318</v>
      </c>
      <c r="CJ536" s="2" t="s">
        <v>3418</v>
      </c>
      <c r="CK536" s="2" t="s">
        <v>3354</v>
      </c>
      <c r="CL536" s="2" t="s">
        <v>3549</v>
      </c>
      <c r="CM536" s="39">
        <v>5</v>
      </c>
      <c r="CN536" s="2" t="str">
        <f t="shared" si="49"/>
        <v>TADigital NA | Management - Sr. Practice Director / Sr. Delivery Director</v>
      </c>
      <c r="CO536" s="2" t="str">
        <f t="shared" si="47"/>
        <v>TADigital India Consulting | Cloud &amp; Engineering - L2 / B1-B3 | Associate Engineer</v>
      </c>
      <c r="CP536" s="1579">
        <v>340</v>
      </c>
      <c r="CQ536" s="1579">
        <v>170</v>
      </c>
      <c r="CR536" s="1579">
        <v>125</v>
      </c>
      <c r="CS536" s="1579">
        <f t="shared" si="50"/>
        <v>49.2</v>
      </c>
      <c r="CT536" s="1579">
        <v>60</v>
      </c>
      <c r="CU536" s="2">
        <f t="shared" si="51"/>
        <v>13</v>
      </c>
      <c r="CV536" s="2" t="str">
        <f t="shared" si="48"/>
        <v>Management - Sr. Practice Director / Sr. Delivery Director</v>
      </c>
      <c r="CW536" s="2" t="str">
        <f>_xlfn.XLOOKUP(CL536,'[1]Rates &amp; Drop Downs INT'!D$373:D$430,'[1]Rates &amp; Drop Downs INT'!C$373:C$430,"X",1)</f>
        <v>Cloud &amp; Engineering - 2 | Associate Engineer</v>
      </c>
    </row>
    <row r="537" spans="85:101" ht="13.05" customHeight="1" x14ac:dyDescent="0.25">
      <c r="CG537" s="2" t="s">
        <v>331</v>
      </c>
      <c r="CH537" s="2" t="s">
        <v>3334</v>
      </c>
      <c r="CI537" s="2" t="s">
        <v>2728</v>
      </c>
      <c r="CJ537" s="2" t="s">
        <v>3346</v>
      </c>
      <c r="CK537" s="2" t="s">
        <v>252</v>
      </c>
      <c r="CL537" s="2" t="s">
        <v>3564</v>
      </c>
      <c r="CM537" s="39">
        <v>2</v>
      </c>
      <c r="CN537" s="2" t="str">
        <f t="shared" si="49"/>
        <v>TADigital NA Consulting | Content &amp; SEO - Content Strategist</v>
      </c>
      <c r="CO537" s="2" t="str">
        <f t="shared" si="47"/>
        <v>TADigital India Consulting | Cloud &amp; Engineering - L2 / B1-B3 | Associate Engineer</v>
      </c>
      <c r="CP537" s="1579">
        <v>170</v>
      </c>
      <c r="CQ537" s="1579">
        <v>85</v>
      </c>
      <c r="CR537" s="1579">
        <v>45</v>
      </c>
      <c r="CS537" s="1579">
        <f t="shared" si="50"/>
        <v>14.760000000000002</v>
      </c>
      <c r="CT537" s="1579">
        <v>18</v>
      </c>
      <c r="CU537" s="2">
        <f t="shared" si="51"/>
        <v>13</v>
      </c>
      <c r="CV537" s="2" t="str">
        <f t="shared" si="48"/>
        <v>Content &amp; SEO - Content Strategist</v>
      </c>
      <c r="CW537" s="2" t="str">
        <f>_xlfn.XLOOKUP(CL537,'[1]Rates &amp; Drop Downs INT'!D$373:D$430,'[1]Rates &amp; Drop Downs INT'!C$373:C$430,"X",1)</f>
        <v>Cloud &amp; Engineering - 2 | Associate Engineer</v>
      </c>
    </row>
    <row r="538" spans="85:101" ht="13.05" customHeight="1" x14ac:dyDescent="0.25">
      <c r="CG538" s="2" t="s">
        <v>331</v>
      </c>
      <c r="CH538" s="2" t="s">
        <v>3334</v>
      </c>
      <c r="CI538" s="2" t="s">
        <v>2728</v>
      </c>
      <c r="CJ538" s="2" t="s">
        <v>3346</v>
      </c>
      <c r="CK538" s="2" t="s">
        <v>760</v>
      </c>
      <c r="CL538" s="2" t="s">
        <v>3564</v>
      </c>
      <c r="CM538" s="39">
        <v>2</v>
      </c>
      <c r="CN538" s="2" t="str">
        <f t="shared" si="49"/>
        <v>TADigital NA Consulting | Content &amp; SEO - Sr. Web Content Analyst</v>
      </c>
      <c r="CO538" s="2" t="str">
        <f t="shared" si="47"/>
        <v>TADigital India Consulting | Cloud &amp; Engineering - L2 / B1-B3 | Associate Engineer</v>
      </c>
      <c r="CP538" s="1579">
        <v>135</v>
      </c>
      <c r="CQ538" s="1579">
        <v>75</v>
      </c>
      <c r="CR538" s="1579">
        <v>35</v>
      </c>
      <c r="CS538" s="1579">
        <f>CT538*(1-0.18)</f>
        <v>10.66</v>
      </c>
      <c r="CT538" s="1579">
        <v>13</v>
      </c>
      <c r="CU538" s="2">
        <f t="shared" si="51"/>
        <v>13</v>
      </c>
      <c r="CV538" s="2" t="str">
        <f t="shared" si="48"/>
        <v>Content &amp; SEO - Sr. Web Content Analyst</v>
      </c>
      <c r="CW538" s="2" t="str">
        <f>_xlfn.XLOOKUP(CL538,'[1]Rates &amp; Drop Downs INT'!D$373:D$430,'[1]Rates &amp; Drop Downs INT'!C$373:C$430,"X",1)</f>
        <v>Cloud &amp; Engineering - 2 | Associate Engineer</v>
      </c>
    </row>
    <row r="539" spans="85:101" ht="13.05" customHeight="1" x14ac:dyDescent="0.25">
      <c r="CG539" s="2" t="s">
        <v>331</v>
      </c>
      <c r="CH539" s="2" t="s">
        <v>3334</v>
      </c>
      <c r="CI539" s="2" t="s">
        <v>2728</v>
      </c>
      <c r="CJ539" s="2" t="s">
        <v>3346</v>
      </c>
      <c r="CK539" s="2" t="s">
        <v>720</v>
      </c>
      <c r="CL539" s="2" t="s">
        <v>3546</v>
      </c>
      <c r="CM539" s="39">
        <v>5</v>
      </c>
      <c r="CN539" s="2" t="str">
        <f t="shared" si="49"/>
        <v>TADigital NA | Management - Associate Practice Director</v>
      </c>
      <c r="CO539" s="2" t="str">
        <f t="shared" si="47"/>
        <v>TADigital India Consulting | Cloud &amp; Engineering - L2 / B1-B3 | Associate Engineer</v>
      </c>
      <c r="CP539" s="1579">
        <v>290</v>
      </c>
      <c r="CQ539" s="1579">
        <v>140</v>
      </c>
      <c r="CR539" s="1579">
        <v>105</v>
      </c>
      <c r="CS539" s="1579">
        <f t="shared" ref="CS539:CS602" si="52">CT539*(1-0.18)</f>
        <v>45.1</v>
      </c>
      <c r="CT539" s="1579">
        <v>55</v>
      </c>
      <c r="CU539" s="2">
        <f t="shared" si="51"/>
        <v>13</v>
      </c>
      <c r="CV539" s="2" t="str">
        <f t="shared" si="48"/>
        <v>Management - Associate Practice Director</v>
      </c>
      <c r="CW539" s="2" t="str">
        <f>_xlfn.XLOOKUP(CL539,'[1]Rates &amp; Drop Downs INT'!D$373:D$430,'[1]Rates &amp; Drop Downs INT'!C$373:C$430,"X",1)</f>
        <v>Cloud &amp; Engineering - 2 | Associate Engineer</v>
      </c>
    </row>
    <row r="540" spans="85:101" ht="13.05" customHeight="1" x14ac:dyDescent="0.25">
      <c r="CG540" s="2" t="s">
        <v>331</v>
      </c>
      <c r="CH540" s="2" t="s">
        <v>3334</v>
      </c>
      <c r="CI540" s="2" t="s">
        <v>2728</v>
      </c>
      <c r="CJ540" s="2" t="s">
        <v>3346</v>
      </c>
      <c r="CK540" s="2" t="s">
        <v>380</v>
      </c>
      <c r="CL540" s="2">
        <v>0</v>
      </c>
      <c r="CM540" s="39">
        <v>2</v>
      </c>
      <c r="CN540" s="2" t="str">
        <f t="shared" si="49"/>
        <v>TADigital NA Consulting | Content &amp; SEO - Associate Content Strategist</v>
      </c>
      <c r="CO540" s="2" t="str">
        <f t="shared" si="47"/>
        <v>TADigital India Consulting | Cloud &amp; Engineering - L2 / B1-B3 | Associate Engineer</v>
      </c>
      <c r="CP540" s="1579">
        <v>160</v>
      </c>
      <c r="CQ540" s="1579">
        <v>97.5</v>
      </c>
      <c r="CR540" s="1579">
        <v>55</v>
      </c>
      <c r="CS540" s="1579">
        <f t="shared" si="52"/>
        <v>18.450000000000003</v>
      </c>
      <c r="CT540" s="1579">
        <v>22.5</v>
      </c>
      <c r="CU540" s="2">
        <f t="shared" si="51"/>
        <v>13</v>
      </c>
      <c r="CV540" s="2" t="str">
        <f t="shared" si="48"/>
        <v>Content &amp; SEO - Associate Content Strategist</v>
      </c>
      <c r="CW540" s="2" t="str">
        <f>_xlfn.XLOOKUP(CL540,'[1]Rates &amp; Drop Downs INT'!D$373:D$430,'[1]Rates &amp; Drop Downs INT'!C$373:C$430,"X",1)</f>
        <v>Cloud &amp; Engineering - 2 | Associate Engineer</v>
      </c>
    </row>
    <row r="541" spans="85:101" ht="13.05" customHeight="1" x14ac:dyDescent="0.25">
      <c r="CG541" s="2" t="s">
        <v>331</v>
      </c>
      <c r="CH541" s="2" t="s">
        <v>3334</v>
      </c>
      <c r="CI541" s="2" t="s">
        <v>2728</v>
      </c>
      <c r="CJ541" s="2" t="s">
        <v>3346</v>
      </c>
      <c r="CK541" s="2" t="s">
        <v>3373</v>
      </c>
      <c r="CL541" s="2">
        <v>0</v>
      </c>
      <c r="CM541" s="39">
        <v>7</v>
      </c>
      <c r="CN541" s="2" t="str">
        <f t="shared" si="49"/>
        <v>TADigital NA | Management - L7 / S2-EX3 | CXO / CDO</v>
      </c>
      <c r="CO541" s="2" t="str">
        <f t="shared" si="47"/>
        <v>TADigital India Consulting | Cloud &amp; Engineering - L2 / B1-B3 | Associate Engineer</v>
      </c>
      <c r="CP541" s="1579">
        <v>500</v>
      </c>
      <c r="CQ541" s="1579">
        <v>285</v>
      </c>
      <c r="CR541" s="1579">
        <v>0</v>
      </c>
      <c r="CS541" s="1579">
        <f t="shared" si="52"/>
        <v>0</v>
      </c>
      <c r="CT541" s="1579">
        <v>0</v>
      </c>
      <c r="CU541" s="2">
        <f t="shared" si="51"/>
        <v>13</v>
      </c>
      <c r="CV541" s="2" t="str">
        <f t="shared" si="48"/>
        <v>Management - CXO / CDO</v>
      </c>
      <c r="CW541" s="2" t="str">
        <f>_xlfn.XLOOKUP(CL541,'[1]Rates &amp; Drop Downs INT'!D$373:D$430,'[1]Rates &amp; Drop Downs INT'!C$373:C$430,"X",1)</f>
        <v>Cloud &amp; Engineering - 2 | Associate Engineer</v>
      </c>
    </row>
    <row r="542" spans="85:101" ht="13.05" customHeight="1" x14ac:dyDescent="0.25">
      <c r="CG542" s="2" t="s">
        <v>331</v>
      </c>
      <c r="CH542" s="2" t="s">
        <v>3334</v>
      </c>
      <c r="CI542" s="2" t="s">
        <v>2728</v>
      </c>
      <c r="CJ542" s="2" t="s">
        <v>3346</v>
      </c>
      <c r="CK542" s="2" t="s">
        <v>3386</v>
      </c>
      <c r="CL542" s="2">
        <v>0</v>
      </c>
      <c r="CM542" s="39">
        <v>3</v>
      </c>
      <c r="CN542" s="2" t="str">
        <f t="shared" si="49"/>
        <v>TADigital NA Consulting - Project Manager / Product Manager</v>
      </c>
      <c r="CO542" s="2" t="str">
        <f t="shared" si="47"/>
        <v>TADigital India Consulting | Cloud &amp; Engineering - L2 / B1-B3 | Associate Engineer</v>
      </c>
      <c r="CP542" s="1579">
        <v>190</v>
      </c>
      <c r="CQ542" s="1579">
        <v>117.5</v>
      </c>
      <c r="CR542" s="1579">
        <v>70</v>
      </c>
      <c r="CS542" s="1579">
        <f t="shared" si="52"/>
        <v>30.750000000000004</v>
      </c>
      <c r="CT542" s="1579">
        <v>37.5</v>
      </c>
      <c r="CU542" s="2">
        <f t="shared" si="51"/>
        <v>13</v>
      </c>
      <c r="CV542" s="2" t="str">
        <f t="shared" si="48"/>
        <v>Project Manager / Product Manager</v>
      </c>
      <c r="CW542" s="2" t="str">
        <f>_xlfn.XLOOKUP(CL542,'[1]Rates &amp; Drop Downs INT'!D$373:D$430,'[1]Rates &amp; Drop Downs INT'!C$373:C$430,"X",1)</f>
        <v>Cloud &amp; Engineering - 2 | Associate Engineer</v>
      </c>
    </row>
    <row r="543" spans="85:101" ht="13.05" customHeight="1" x14ac:dyDescent="0.25">
      <c r="CG543" s="2" t="s">
        <v>331</v>
      </c>
      <c r="CH543" s="2" t="s">
        <v>3334</v>
      </c>
      <c r="CI543" s="2" t="s">
        <v>2728</v>
      </c>
      <c r="CJ543" s="2" t="s">
        <v>3346</v>
      </c>
      <c r="CK543" s="2" t="s">
        <v>3352</v>
      </c>
      <c r="CL543" s="2" t="s">
        <v>3549</v>
      </c>
      <c r="CM543" s="39">
        <v>5</v>
      </c>
      <c r="CN543" s="2" t="str">
        <f t="shared" si="49"/>
        <v>TADigital NA | Management - Practice Director / Delivery Director</v>
      </c>
      <c r="CO543" s="2" t="str">
        <f t="shared" si="47"/>
        <v>TADigital India Consulting | Cloud &amp; Engineering - L2 / B1-B3 | Associate Engineer</v>
      </c>
      <c r="CP543" s="1579">
        <v>315</v>
      </c>
      <c r="CQ543" s="1579">
        <v>165</v>
      </c>
      <c r="CR543" s="1579">
        <v>115</v>
      </c>
      <c r="CS543" s="1579">
        <f t="shared" si="52"/>
        <v>45.1</v>
      </c>
      <c r="CT543" s="1579">
        <v>55</v>
      </c>
      <c r="CU543" s="2">
        <f t="shared" si="51"/>
        <v>13</v>
      </c>
      <c r="CV543" s="2" t="str">
        <f t="shared" si="48"/>
        <v>Management - Practice Director / Delivery Director</v>
      </c>
      <c r="CW543" s="2" t="str">
        <f>_xlfn.XLOOKUP(CL543,'[1]Rates &amp; Drop Downs INT'!D$373:D$430,'[1]Rates &amp; Drop Downs INT'!C$373:C$430,"X",1)</f>
        <v>Cloud &amp; Engineering - 2 | Associate Engineer</v>
      </c>
    </row>
    <row r="544" spans="85:101" ht="13.05" customHeight="1" x14ac:dyDescent="0.25">
      <c r="CG544" s="2" t="s">
        <v>331</v>
      </c>
      <c r="CH544" s="2" t="s">
        <v>3334</v>
      </c>
      <c r="CI544" s="2" t="s">
        <v>2728</v>
      </c>
      <c r="CJ544" s="2" t="s">
        <v>3346</v>
      </c>
      <c r="CK544" s="2" t="s">
        <v>3353</v>
      </c>
      <c r="CL544" s="2" t="s">
        <v>3549</v>
      </c>
      <c r="CM544" s="39">
        <v>6</v>
      </c>
      <c r="CN544" s="2" t="str">
        <f t="shared" si="49"/>
        <v>TADigital NA | Management - Practice VP / Delivery VP</v>
      </c>
      <c r="CO544" s="2" t="str">
        <f t="shared" si="47"/>
        <v>TADigital India Consulting | Cloud &amp; Engineering - L2 / B1-B3 | Associate Engineer</v>
      </c>
      <c r="CP544" s="1579">
        <v>370</v>
      </c>
      <c r="CQ544" s="1579">
        <v>172.5</v>
      </c>
      <c r="CR544" s="1579">
        <v>135</v>
      </c>
      <c r="CS544" s="1579">
        <f t="shared" si="52"/>
        <v>51.250000000000007</v>
      </c>
      <c r="CT544" s="1579">
        <v>62.5</v>
      </c>
      <c r="CU544" s="2">
        <f t="shared" si="51"/>
        <v>13</v>
      </c>
      <c r="CV544" s="2" t="str">
        <f t="shared" si="48"/>
        <v>Management - Practice VP / Delivery VP</v>
      </c>
      <c r="CW544" s="2" t="str">
        <f>_xlfn.XLOOKUP(CL544,'[1]Rates &amp; Drop Downs INT'!D$373:D$430,'[1]Rates &amp; Drop Downs INT'!C$373:C$430,"X",1)</f>
        <v>Cloud &amp; Engineering - 2 | Associate Engineer</v>
      </c>
    </row>
    <row r="545" spans="85:101" ht="13.05" customHeight="1" x14ac:dyDescent="0.25">
      <c r="CG545" s="2" t="s">
        <v>331</v>
      </c>
      <c r="CH545" s="2" t="s">
        <v>3334</v>
      </c>
      <c r="CI545" s="2" t="s">
        <v>2728</v>
      </c>
      <c r="CJ545" s="2" t="s">
        <v>3346</v>
      </c>
      <c r="CK545" s="2" t="s">
        <v>3387</v>
      </c>
      <c r="CL545" s="2" t="s">
        <v>3566</v>
      </c>
      <c r="CM545" s="39">
        <v>3</v>
      </c>
      <c r="CN545" s="2" t="str">
        <f t="shared" si="49"/>
        <v>TADigital NA Consulting | Content &amp; SEO - Associate Manager</v>
      </c>
      <c r="CO545" s="2" t="str">
        <f t="shared" si="47"/>
        <v>TADigital India Consulting | Cloud &amp; Engineering - L2 / B1-B3 | Associate Engineer</v>
      </c>
      <c r="CP545" s="1579">
        <v>210</v>
      </c>
      <c r="CQ545" s="1579">
        <v>117.5</v>
      </c>
      <c r="CR545" s="1579">
        <v>75</v>
      </c>
      <c r="CS545" s="1579">
        <f t="shared" si="52"/>
        <v>32.800000000000004</v>
      </c>
      <c r="CT545" s="1579">
        <v>40</v>
      </c>
      <c r="CU545" s="2">
        <f t="shared" si="51"/>
        <v>13</v>
      </c>
      <c r="CV545" s="2" t="str">
        <f t="shared" si="48"/>
        <v>Content &amp; SEO - Associate Manager</v>
      </c>
      <c r="CW545" s="2" t="str">
        <f>_xlfn.XLOOKUP(CL545,'[1]Rates &amp; Drop Downs INT'!D$373:D$430,'[1]Rates &amp; Drop Downs INT'!C$373:C$430,"X",1)</f>
        <v>Cloud &amp; Engineering - 2 | Associate Engineer</v>
      </c>
    </row>
    <row r="546" spans="85:101" ht="13.05" customHeight="1" x14ac:dyDescent="0.25">
      <c r="CG546" s="2" t="s">
        <v>331</v>
      </c>
      <c r="CH546" s="2" t="s">
        <v>3334</v>
      </c>
      <c r="CI546" s="2" t="s">
        <v>2728</v>
      </c>
      <c r="CJ546" s="2" t="s">
        <v>3346</v>
      </c>
      <c r="CK546" s="2" t="s">
        <v>383</v>
      </c>
      <c r="CL546" s="2" t="s">
        <v>3570</v>
      </c>
      <c r="CM546" s="39">
        <v>4</v>
      </c>
      <c r="CN546" s="2" t="str">
        <f t="shared" si="49"/>
        <v>TADigital NA Consulting | Content &amp; SEO - Sr. Content Strategist</v>
      </c>
      <c r="CO546" s="2" t="str">
        <f t="shared" si="47"/>
        <v>TADigital India Consulting | Cloud &amp; Engineering - L2 / B1-B3 | Associate Engineer</v>
      </c>
      <c r="CP546" s="1579">
        <v>180</v>
      </c>
      <c r="CQ546" s="1579">
        <v>85</v>
      </c>
      <c r="CR546" s="1579">
        <v>65</v>
      </c>
      <c r="CS546" s="1579">
        <f t="shared" si="52"/>
        <v>20.5</v>
      </c>
      <c r="CT546" s="1579">
        <v>25</v>
      </c>
      <c r="CU546" s="2">
        <f t="shared" si="51"/>
        <v>13</v>
      </c>
      <c r="CV546" s="2" t="str">
        <f t="shared" si="48"/>
        <v>Content &amp; SEO - Sr. Content Strategist</v>
      </c>
      <c r="CW546" s="2" t="str">
        <f>_xlfn.XLOOKUP(CL546,'[1]Rates &amp; Drop Downs INT'!D$373:D$430,'[1]Rates &amp; Drop Downs INT'!C$373:C$430,"X",1)</f>
        <v>Cloud &amp; Engineering - 2 | Associate Engineer</v>
      </c>
    </row>
    <row r="547" spans="85:101" ht="13.05" customHeight="1" x14ac:dyDescent="0.25">
      <c r="CG547" s="2" t="s">
        <v>331</v>
      </c>
      <c r="CH547" s="2" t="s">
        <v>3334</v>
      </c>
      <c r="CI547" s="2" t="s">
        <v>2728</v>
      </c>
      <c r="CJ547" s="2" t="s">
        <v>3346</v>
      </c>
      <c r="CK547" s="2" t="s">
        <v>761</v>
      </c>
      <c r="CL547" s="2" t="s">
        <v>3564</v>
      </c>
      <c r="CM547" s="39">
        <v>2</v>
      </c>
      <c r="CN547" s="2" t="str">
        <f t="shared" si="49"/>
        <v>TADigital NA Consulting - Project Manager / Product Manager</v>
      </c>
      <c r="CO547" s="2" t="str">
        <f t="shared" si="47"/>
        <v>TADigital India Consulting | Cloud &amp; Engineering - L2 / B1-B3 | Associate Engineer</v>
      </c>
      <c r="CP547" s="1579">
        <v>190</v>
      </c>
      <c r="CQ547" s="1579">
        <v>85</v>
      </c>
      <c r="CR547" s="1579">
        <v>55</v>
      </c>
      <c r="CS547" s="1579">
        <f t="shared" si="52"/>
        <v>18.040000000000003</v>
      </c>
      <c r="CT547" s="1579">
        <v>22</v>
      </c>
      <c r="CU547" s="2">
        <f t="shared" si="51"/>
        <v>13</v>
      </c>
      <c r="CV547" s="2" t="str">
        <f t="shared" si="48"/>
        <v>Project Manager / Product Manager</v>
      </c>
      <c r="CW547" s="2" t="str">
        <f>_xlfn.XLOOKUP(CL547,'[1]Rates &amp; Drop Downs INT'!D$373:D$430,'[1]Rates &amp; Drop Downs INT'!C$373:C$430,"X",1)</f>
        <v>Cloud &amp; Engineering - 2 | Associate Engineer</v>
      </c>
    </row>
    <row r="548" spans="85:101" ht="13.05" customHeight="1" x14ac:dyDescent="0.25">
      <c r="CG548" s="2" t="s">
        <v>331</v>
      </c>
      <c r="CH548" s="2" t="s">
        <v>3334</v>
      </c>
      <c r="CI548" s="2" t="s">
        <v>2728</v>
      </c>
      <c r="CJ548" s="2" t="s">
        <v>3346</v>
      </c>
      <c r="CK548" s="2" t="s">
        <v>3354</v>
      </c>
      <c r="CL548" s="2" t="s">
        <v>3549</v>
      </c>
      <c r="CM548" s="39">
        <v>5</v>
      </c>
      <c r="CN548" s="2" t="str">
        <f t="shared" si="49"/>
        <v>TADigital NA | Management - Sr. Practice Director / Sr. Delivery Director</v>
      </c>
      <c r="CO548" s="2" t="str">
        <f t="shared" si="47"/>
        <v>TADigital India Consulting | Cloud &amp; Engineering - L2 / B1-B3 | Associate Engineer</v>
      </c>
      <c r="CP548" s="1579">
        <v>340</v>
      </c>
      <c r="CQ548" s="1579">
        <v>170</v>
      </c>
      <c r="CR548" s="1579">
        <v>125</v>
      </c>
      <c r="CS548" s="1579">
        <f t="shared" si="52"/>
        <v>49.2</v>
      </c>
      <c r="CT548" s="1579">
        <v>60</v>
      </c>
      <c r="CU548" s="2">
        <f t="shared" si="51"/>
        <v>13</v>
      </c>
      <c r="CV548" s="2" t="str">
        <f t="shared" si="48"/>
        <v>Management - Sr. Practice Director / Sr. Delivery Director</v>
      </c>
      <c r="CW548" s="2" t="str">
        <f>_xlfn.XLOOKUP(CL548,'[1]Rates &amp; Drop Downs INT'!D$373:D$430,'[1]Rates &amp; Drop Downs INT'!C$373:C$430,"X",1)</f>
        <v>Cloud &amp; Engineering - 2 | Associate Engineer</v>
      </c>
    </row>
    <row r="549" spans="85:101" ht="13.05" customHeight="1" x14ac:dyDescent="0.25">
      <c r="CG549" s="2" t="s">
        <v>331</v>
      </c>
      <c r="CH549" s="2" t="s">
        <v>3334</v>
      </c>
      <c r="CI549" s="2" t="s">
        <v>2728</v>
      </c>
      <c r="CJ549" s="2" t="s">
        <v>3346</v>
      </c>
      <c r="CK549" s="2" t="s">
        <v>3388</v>
      </c>
      <c r="CL549" s="2" t="s">
        <v>3549</v>
      </c>
      <c r="CM549" s="39">
        <v>5</v>
      </c>
      <c r="CN549" s="2" t="str">
        <f t="shared" si="49"/>
        <v>TADigital NA Consulting - Delivery Manager</v>
      </c>
      <c r="CO549" s="2" t="str">
        <f t="shared" si="47"/>
        <v>TADigital India Consulting | Cloud &amp; Engineering - L2 / B1-B3 | Associate Engineer</v>
      </c>
      <c r="CP549" s="1579">
        <v>265</v>
      </c>
      <c r="CQ549" s="1579">
        <v>125</v>
      </c>
      <c r="CR549" s="1579">
        <v>90</v>
      </c>
      <c r="CS549" s="1579">
        <f t="shared" si="52"/>
        <v>34.85</v>
      </c>
      <c r="CT549" s="1579">
        <v>42.5</v>
      </c>
      <c r="CU549" s="2">
        <f t="shared" si="51"/>
        <v>13</v>
      </c>
      <c r="CV549" s="2" t="str">
        <f t="shared" si="48"/>
        <v>Delivery Manager</v>
      </c>
      <c r="CW549" s="2" t="str">
        <f>_xlfn.XLOOKUP(CL549,'[1]Rates &amp; Drop Downs INT'!D$373:D$430,'[1]Rates &amp; Drop Downs INT'!C$373:C$430,"X",1)</f>
        <v>Cloud &amp; Engineering - 2 | Associate Engineer</v>
      </c>
    </row>
    <row r="550" spans="85:101" ht="13.05" customHeight="1" x14ac:dyDescent="0.25">
      <c r="CG550" s="2" t="s">
        <v>276</v>
      </c>
      <c r="CH550" s="2" t="s">
        <v>276</v>
      </c>
      <c r="CI550" s="2" t="s">
        <v>1236</v>
      </c>
      <c r="CJ550" s="2" t="s">
        <v>3419</v>
      </c>
      <c r="CK550" s="2" t="s">
        <v>3351</v>
      </c>
      <c r="CL550" s="2" t="s">
        <v>3545</v>
      </c>
      <c r="CM550" s="39">
        <v>2</v>
      </c>
      <c r="CN550" s="2" t="str">
        <f t="shared" si="49"/>
        <v>TADigital NA Consulting | Content &amp; SEO - Associate Web Content Analyst</v>
      </c>
      <c r="CO550" s="2" t="str">
        <f t="shared" ref="CO550:CO551" si="53">_xlfn.XLOOKUP(CW550,$C$373:$C$430,$F$373:$F$430,"X",1)</f>
        <v>TADigital India Consulting | Cloud &amp; Engineering - L2 / B1-B3 | Associate Engineer</v>
      </c>
      <c r="CP550" s="1579">
        <v>0</v>
      </c>
      <c r="CQ550" s="1579">
        <v>0</v>
      </c>
      <c r="CR550" s="1579">
        <v>35</v>
      </c>
      <c r="CS550" s="1579">
        <f t="shared" si="52"/>
        <v>10.66</v>
      </c>
      <c r="CT550" s="1579">
        <v>13</v>
      </c>
      <c r="CU550" s="2">
        <f t="shared" si="51"/>
        <v>13</v>
      </c>
      <c r="CV550" s="2" t="str">
        <f t="shared" si="48"/>
        <v>Content &amp; SEO - Associate Web Content Analyst</v>
      </c>
      <c r="CW550" s="2" t="str">
        <f>_xlfn.XLOOKUP(CL550,'[1]Rates &amp; Drop Downs INT'!D$373:D$430,'[1]Rates &amp; Drop Downs INT'!C$373:C$430,"X",1)</f>
        <v>Cloud &amp; Engineering - 2 | Associate Engineer</v>
      </c>
    </row>
    <row r="551" spans="85:101" ht="13.05" customHeight="1" x14ac:dyDescent="0.25">
      <c r="CG551" s="2" t="s">
        <v>276</v>
      </c>
      <c r="CH551" s="2" t="s">
        <v>276</v>
      </c>
      <c r="CI551" s="2" t="s">
        <v>1236</v>
      </c>
      <c r="CJ551" s="2" t="s">
        <v>3419</v>
      </c>
      <c r="CK551" s="2" t="s">
        <v>3365</v>
      </c>
      <c r="CL551" s="2" t="s">
        <v>3561</v>
      </c>
      <c r="CM551" s="39">
        <v>2</v>
      </c>
      <c r="CN551" s="2" t="str">
        <f t="shared" si="49"/>
        <v>TADigital NA Consulting | Content &amp; SEO - Associate Web Content Analyst</v>
      </c>
      <c r="CO551" s="2" t="str">
        <f t="shared" si="53"/>
        <v>TADigital India Consulting | Cloud &amp; Engineering - L2 / B1-B3 | Associate Engineer</v>
      </c>
      <c r="CP551" s="1579">
        <v>0</v>
      </c>
      <c r="CQ551" s="1579">
        <v>0</v>
      </c>
      <c r="CR551" s="1579">
        <v>35</v>
      </c>
      <c r="CS551" s="1579">
        <f t="shared" si="52"/>
        <v>10.66</v>
      </c>
      <c r="CT551" s="1579">
        <v>13</v>
      </c>
      <c r="CU551" s="2">
        <f t="shared" si="51"/>
        <v>13</v>
      </c>
      <c r="CV551" s="2" t="str">
        <f t="shared" si="48"/>
        <v>Content &amp; SEO - Associate Web Content Analyst</v>
      </c>
      <c r="CW551" s="2" t="str">
        <f>_xlfn.XLOOKUP(CL551,'[1]Rates &amp; Drop Downs INT'!D$373:D$430,'[1]Rates &amp; Drop Downs INT'!C$373:C$430,"X",1)</f>
        <v>Cloud &amp; Engineering - 2 | Associate Engineer</v>
      </c>
    </row>
    <row r="552" spans="85:101" ht="13.05" customHeight="1" x14ac:dyDescent="0.25">
      <c r="CG552" s="2" t="s">
        <v>276</v>
      </c>
      <c r="CH552" s="2" t="s">
        <v>276</v>
      </c>
      <c r="CI552" s="2" t="s">
        <v>1236</v>
      </c>
      <c r="CJ552" s="2" t="s">
        <v>3419</v>
      </c>
      <c r="CK552" s="2" t="s">
        <v>720</v>
      </c>
      <c r="CL552" s="2" t="s">
        <v>3546</v>
      </c>
      <c r="CM552" s="39">
        <v>5</v>
      </c>
      <c r="CN552" s="2" t="str">
        <f t="shared" si="49"/>
        <v>TADigital NA | Management - Associate Practice Director</v>
      </c>
      <c r="CO552" s="2" t="str">
        <f>_xlfn.XLOOKUP(CW552,$C$373:$C$430,$F$373:$F$430,"X",1)</f>
        <v>TADigital India Consulting | Cloud &amp; Engineering - L2 / B1-B3 | Associate Engineer</v>
      </c>
      <c r="CP552" s="1579">
        <v>290</v>
      </c>
      <c r="CQ552" s="1579">
        <v>140</v>
      </c>
      <c r="CR552" s="1579">
        <v>105</v>
      </c>
      <c r="CS552" s="1579">
        <f t="shared" si="52"/>
        <v>45.1</v>
      </c>
      <c r="CT552" s="1579">
        <v>55</v>
      </c>
      <c r="CU552" s="2">
        <f t="shared" si="51"/>
        <v>13</v>
      </c>
      <c r="CV552" s="2" t="str">
        <f t="shared" si="48"/>
        <v>Management - Associate Practice Director</v>
      </c>
      <c r="CW552" s="2" t="str">
        <f>_xlfn.XLOOKUP(CL552,'[1]Rates &amp; Drop Downs INT'!D$373:D$430,'[1]Rates &amp; Drop Downs INT'!C$373:C$430,"X",1)</f>
        <v>Cloud &amp; Engineering - 2 | Associate Engineer</v>
      </c>
    </row>
    <row r="553" spans="85:101" ht="13.05" customHeight="1" x14ac:dyDescent="0.25">
      <c r="CG553" s="2" t="s">
        <v>276</v>
      </c>
      <c r="CH553" s="2" t="s">
        <v>276</v>
      </c>
      <c r="CI553" s="2" t="s">
        <v>1236</v>
      </c>
      <c r="CJ553" s="2" t="s">
        <v>3419</v>
      </c>
      <c r="CK553" s="2" t="s">
        <v>3366</v>
      </c>
      <c r="CL553" s="2" t="s">
        <v>3564</v>
      </c>
      <c r="CM553" s="39">
        <v>2</v>
      </c>
      <c r="CN553" s="2" t="str">
        <f t="shared" si="49"/>
        <v>TADigital NA Consulting - Project Manager / Product Manager</v>
      </c>
      <c r="CO553" s="2" t="str">
        <f t="shared" ref="CO553" si="54">_xlfn.XLOOKUP(CW553,$C$373:$C$430,$F$373:$F$430,"X",1)</f>
        <v>TADigital India Consulting | Cloud &amp; Engineering - L2 / B1-B3 | Associate Engineer</v>
      </c>
      <c r="CP553" s="1579">
        <v>190</v>
      </c>
      <c r="CQ553" s="1579">
        <v>107.5</v>
      </c>
      <c r="CR553" s="1579">
        <v>55</v>
      </c>
      <c r="CS553" s="1579">
        <f t="shared" si="52"/>
        <v>14.760000000000002</v>
      </c>
      <c r="CT553" s="1579">
        <v>18</v>
      </c>
      <c r="CU553" s="2">
        <f t="shared" si="51"/>
        <v>13</v>
      </c>
      <c r="CV553" s="2" t="str">
        <f t="shared" si="48"/>
        <v>Project Manager / Product Manager</v>
      </c>
      <c r="CW553" s="2" t="str">
        <f>_xlfn.XLOOKUP(CL553,'[1]Rates &amp; Drop Downs INT'!D$373:D$430,'[1]Rates &amp; Drop Downs INT'!C$373:C$430,"X",1)</f>
        <v>Cloud &amp; Engineering - 2 | Associate Engineer</v>
      </c>
    </row>
    <row r="554" spans="85:101" ht="13.05" customHeight="1" x14ac:dyDescent="0.25">
      <c r="CG554" s="2" t="s">
        <v>276</v>
      </c>
      <c r="CH554" s="2" t="s">
        <v>276</v>
      </c>
      <c r="CI554" s="2" t="s">
        <v>1236</v>
      </c>
      <c r="CJ554" s="2" t="s">
        <v>3419</v>
      </c>
      <c r="CK554" s="2" t="s">
        <v>532</v>
      </c>
      <c r="CL554" s="2" t="s">
        <v>3547</v>
      </c>
      <c r="CM554" s="39">
        <v>2</v>
      </c>
      <c r="CN554" s="2" t="str">
        <f t="shared" si="49"/>
        <v>TADigital NA Consulting | Content &amp; SEO - Associate Content Strategist</v>
      </c>
      <c r="CO554" s="2" t="str">
        <f>_xlfn.XLOOKUP(CW554,$C$373:$C$430,$F$373:$F$430,"X",1)</f>
        <v>TADigital India Consulting | Cloud &amp; Engineering - L2 / B1-B3 | Associate Engineer</v>
      </c>
      <c r="CP554" s="1579">
        <v>160</v>
      </c>
      <c r="CQ554" s="1579">
        <v>80</v>
      </c>
      <c r="CR554" s="1579">
        <v>55</v>
      </c>
      <c r="CS554" s="1579">
        <f t="shared" si="52"/>
        <v>14.760000000000002</v>
      </c>
      <c r="CT554" s="1579">
        <v>18</v>
      </c>
      <c r="CU554" s="2">
        <f t="shared" si="51"/>
        <v>13</v>
      </c>
      <c r="CV554" s="2" t="str">
        <f t="shared" si="48"/>
        <v>Content &amp; SEO - Associate Content Strategist</v>
      </c>
      <c r="CW554" s="2" t="str">
        <f>_xlfn.XLOOKUP(CL554,'[1]Rates &amp; Drop Downs INT'!D$373:D$430,'[1]Rates &amp; Drop Downs INT'!C$373:C$430,"X",1)</f>
        <v>Cloud &amp; Engineering - 2 | Associate Engineer</v>
      </c>
    </row>
    <row r="555" spans="85:101" ht="13.05" customHeight="1" x14ac:dyDescent="0.25">
      <c r="CG555" s="2" t="s">
        <v>276</v>
      </c>
      <c r="CH555" s="2" t="s">
        <v>276</v>
      </c>
      <c r="CI555" s="2" t="s">
        <v>1236</v>
      </c>
      <c r="CJ555" s="2" t="s">
        <v>3419</v>
      </c>
      <c r="CK555" s="2" t="s">
        <v>584</v>
      </c>
      <c r="CL555" s="2" t="s">
        <v>3561</v>
      </c>
      <c r="CM555" s="39">
        <v>2</v>
      </c>
      <c r="CN555" s="2" t="str">
        <f t="shared" si="49"/>
        <v>TADigital NA Digital - DevOps Engineer</v>
      </c>
      <c r="CO555" s="2" t="str">
        <f t="shared" ref="CO555:CO618" si="55">_xlfn.XLOOKUP(CW555,$C$373:$C$430,$F$373:$F$430,"X",1)</f>
        <v>TADigital India Consulting | Cloud &amp; Engineering - L2 / B1-B3 | Associate Engineer</v>
      </c>
      <c r="CP555" s="1579">
        <v>130</v>
      </c>
      <c r="CQ555" s="1579">
        <v>75</v>
      </c>
      <c r="CR555" s="1579">
        <v>50</v>
      </c>
      <c r="CS555" s="1579">
        <f t="shared" si="52"/>
        <v>10.66</v>
      </c>
      <c r="CT555" s="1579">
        <v>13</v>
      </c>
      <c r="CU555" s="2">
        <f t="shared" si="51"/>
        <v>13</v>
      </c>
      <c r="CV555" s="2" t="str">
        <f t="shared" si="48"/>
        <v>DevOps Engineer</v>
      </c>
      <c r="CW555" s="2" t="str">
        <f>_xlfn.XLOOKUP(CL555,'[1]Rates &amp; Drop Downs INT'!D$373:D$430,'[1]Rates &amp; Drop Downs INT'!C$373:C$430,"X",1)</f>
        <v>Cloud &amp; Engineering - 2 | Associate Engineer</v>
      </c>
    </row>
    <row r="556" spans="85:101" ht="13.05" customHeight="1" x14ac:dyDescent="0.25">
      <c r="CG556" s="2" t="s">
        <v>276</v>
      </c>
      <c r="CH556" s="2" t="s">
        <v>276</v>
      </c>
      <c r="CI556" s="2" t="s">
        <v>1236</v>
      </c>
      <c r="CJ556" s="2" t="s">
        <v>3419</v>
      </c>
      <c r="CK556" s="2" t="s">
        <v>590</v>
      </c>
      <c r="CL556" s="2" t="s">
        <v>3549</v>
      </c>
      <c r="CM556" s="39">
        <v>4</v>
      </c>
      <c r="CN556" s="2" t="str">
        <f t="shared" si="49"/>
        <v>TADigital NA Consulting | Strategy - Associate Digital Strategist</v>
      </c>
      <c r="CO556" s="2" t="str">
        <f t="shared" si="55"/>
        <v>TADigital India Consulting | Cloud &amp; Engineering - L2 / B1-B3 | Associate Engineer</v>
      </c>
      <c r="CP556" s="1579">
        <v>200</v>
      </c>
      <c r="CQ556" s="1579">
        <v>115</v>
      </c>
      <c r="CR556" s="1579">
        <v>85</v>
      </c>
      <c r="CS556" s="1579">
        <f t="shared" si="52"/>
        <v>24.6</v>
      </c>
      <c r="CT556" s="1579">
        <v>30</v>
      </c>
      <c r="CU556" s="2">
        <f t="shared" si="51"/>
        <v>13</v>
      </c>
      <c r="CV556" s="2" t="str">
        <f t="shared" si="48"/>
        <v>Strategy - Associate Digital Strategist</v>
      </c>
      <c r="CW556" s="2" t="str">
        <f>_xlfn.XLOOKUP(CL556,'[1]Rates &amp; Drop Downs INT'!D$373:D$430,'[1]Rates &amp; Drop Downs INT'!C$373:C$430,"X",1)</f>
        <v>Cloud &amp; Engineering - 2 | Associate Engineer</v>
      </c>
    </row>
    <row r="557" spans="85:101" ht="13.05" customHeight="1" x14ac:dyDescent="0.25">
      <c r="CG557" s="2" t="s">
        <v>276</v>
      </c>
      <c r="CH557" s="2" t="s">
        <v>276</v>
      </c>
      <c r="CI557" s="2" t="s">
        <v>1236</v>
      </c>
      <c r="CJ557" s="2" t="s">
        <v>3419</v>
      </c>
      <c r="CK557" s="2" t="s">
        <v>588</v>
      </c>
      <c r="CL557" s="2" t="s">
        <v>3563</v>
      </c>
      <c r="CM557" s="39">
        <v>3</v>
      </c>
      <c r="CN557" s="2" t="str">
        <f t="shared" si="49"/>
        <v>TADigital NA Consulting | Content &amp; SEO - Sr. Content Strategist</v>
      </c>
      <c r="CO557" s="2" t="str">
        <f t="shared" si="55"/>
        <v>TADigital India Consulting | Cloud &amp; Engineering - L2 / B1-B3 | Associate Engineer</v>
      </c>
      <c r="CP557" s="1579">
        <v>175</v>
      </c>
      <c r="CQ557" s="1579">
        <v>100</v>
      </c>
      <c r="CR557" s="1579">
        <v>75</v>
      </c>
      <c r="CS557" s="1579">
        <f t="shared" si="52"/>
        <v>24.6</v>
      </c>
      <c r="CT557" s="1579">
        <v>30</v>
      </c>
      <c r="CU557" s="2">
        <f t="shared" si="51"/>
        <v>13</v>
      </c>
      <c r="CV557" s="2" t="str">
        <f t="shared" si="48"/>
        <v>Content &amp; SEO - Sr. Content Strategist</v>
      </c>
      <c r="CW557" s="2" t="str">
        <f>_xlfn.XLOOKUP(CL557,'[1]Rates &amp; Drop Downs INT'!D$373:D$430,'[1]Rates &amp; Drop Downs INT'!C$373:C$430,"X",1)</f>
        <v>Cloud &amp; Engineering - 2 | Associate Engineer</v>
      </c>
    </row>
    <row r="558" spans="85:101" ht="13.05" customHeight="1" x14ac:dyDescent="0.25">
      <c r="CG558" s="2" t="s">
        <v>276</v>
      </c>
      <c r="CH558" s="2" t="s">
        <v>276</v>
      </c>
      <c r="CI558" s="2" t="s">
        <v>1236</v>
      </c>
      <c r="CJ558" s="2" t="s">
        <v>3419</v>
      </c>
      <c r="CK558" s="2" t="s">
        <v>542</v>
      </c>
      <c r="CL558" s="2" t="s">
        <v>3548</v>
      </c>
      <c r="CM558" s="39">
        <v>5</v>
      </c>
      <c r="CN558" s="2" t="str">
        <f t="shared" si="49"/>
        <v>TADigital NA | Management - Associate Practice Director</v>
      </c>
      <c r="CO558" s="2" t="str">
        <f t="shared" si="55"/>
        <v>TADigital India Consulting | Cloud &amp; Engineering - L2 / B1-B3 | Associate Engineer</v>
      </c>
      <c r="CP558" s="1579">
        <v>290</v>
      </c>
      <c r="CQ558" s="1579">
        <v>167.5</v>
      </c>
      <c r="CR558" s="1579">
        <v>125</v>
      </c>
      <c r="CS558" s="1579">
        <f t="shared" si="52"/>
        <v>51.250000000000007</v>
      </c>
      <c r="CT558" s="1579">
        <v>62.5</v>
      </c>
      <c r="CU558" s="2">
        <f t="shared" si="51"/>
        <v>13</v>
      </c>
      <c r="CV558" s="2" t="str">
        <f t="shared" si="48"/>
        <v>Management - Associate Practice Director</v>
      </c>
      <c r="CW558" s="2" t="str">
        <f>_xlfn.XLOOKUP(CL558,'[1]Rates &amp; Drop Downs INT'!D$373:D$430,'[1]Rates &amp; Drop Downs INT'!C$373:C$430,"X",1)</f>
        <v>Cloud &amp; Engineering - 2 | Associate Engineer</v>
      </c>
    </row>
    <row r="559" spans="85:101" ht="13.05" customHeight="1" x14ac:dyDescent="0.25">
      <c r="CG559" s="2" t="s">
        <v>276</v>
      </c>
      <c r="CH559" s="2" t="s">
        <v>276</v>
      </c>
      <c r="CI559" s="2" t="s">
        <v>1236</v>
      </c>
      <c r="CJ559" s="2" t="s">
        <v>3419</v>
      </c>
      <c r="CK559" s="2" t="s">
        <v>3352</v>
      </c>
      <c r="CL559" s="2" t="s">
        <v>3549</v>
      </c>
      <c r="CM559" s="39">
        <v>5</v>
      </c>
      <c r="CN559" s="2" t="str">
        <f t="shared" si="49"/>
        <v>TADigital NA | Management - Practice Director / Delivery Director</v>
      </c>
      <c r="CO559" s="2" t="str">
        <f t="shared" si="55"/>
        <v>TADigital India Consulting | Cloud &amp; Engineering - L2 / B1-B3 | Associate Engineer</v>
      </c>
      <c r="CP559" s="1579">
        <v>315</v>
      </c>
      <c r="CQ559" s="1579">
        <v>165</v>
      </c>
      <c r="CR559" s="1579">
        <v>115</v>
      </c>
      <c r="CS559" s="1579">
        <f t="shared" si="52"/>
        <v>45.1</v>
      </c>
      <c r="CT559" s="1579">
        <v>55</v>
      </c>
      <c r="CU559" s="2">
        <f t="shared" si="51"/>
        <v>13</v>
      </c>
      <c r="CV559" s="2" t="str">
        <f t="shared" si="48"/>
        <v>Management - Practice Director / Delivery Director</v>
      </c>
      <c r="CW559" s="2" t="str">
        <f>_xlfn.XLOOKUP(CL559,'[1]Rates &amp; Drop Downs INT'!D$373:D$430,'[1]Rates &amp; Drop Downs INT'!C$373:C$430,"X",1)</f>
        <v>Cloud &amp; Engineering - 2 | Associate Engineer</v>
      </c>
    </row>
    <row r="560" spans="85:101" ht="13.05" customHeight="1" x14ac:dyDescent="0.25">
      <c r="CG560" s="2" t="s">
        <v>276</v>
      </c>
      <c r="CH560" s="2" t="s">
        <v>276</v>
      </c>
      <c r="CI560" s="2" t="s">
        <v>1236</v>
      </c>
      <c r="CJ560" s="2" t="s">
        <v>3419</v>
      </c>
      <c r="CK560" s="2" t="s">
        <v>446</v>
      </c>
      <c r="CL560" s="2" t="s">
        <v>3546</v>
      </c>
      <c r="CM560" s="39">
        <v>4</v>
      </c>
      <c r="CN560" s="2" t="str">
        <f t="shared" si="49"/>
        <v>TADigital NA Consulting - Sr. Project Manager</v>
      </c>
      <c r="CO560" s="2" t="str">
        <f t="shared" si="55"/>
        <v>TADigital India Consulting | Cloud &amp; Engineering - L2 / B1-B3 | Associate Engineer</v>
      </c>
      <c r="CP560" s="1579">
        <v>235</v>
      </c>
      <c r="CQ560" s="1579">
        <v>130</v>
      </c>
      <c r="CR560" s="1579">
        <v>80</v>
      </c>
      <c r="CS560" s="1579">
        <f t="shared" si="52"/>
        <v>38.950000000000003</v>
      </c>
      <c r="CT560" s="1579">
        <v>47.5</v>
      </c>
      <c r="CU560" s="2">
        <f t="shared" si="51"/>
        <v>13</v>
      </c>
      <c r="CV560" s="2" t="str">
        <f t="shared" si="48"/>
        <v>Sr. Project Manager</v>
      </c>
      <c r="CW560" s="2" t="str">
        <f>_xlfn.XLOOKUP(CL560,'[1]Rates &amp; Drop Downs INT'!D$373:D$430,'[1]Rates &amp; Drop Downs INT'!C$373:C$430,"X",1)</f>
        <v>Cloud &amp; Engineering - 2 | Associate Engineer</v>
      </c>
    </row>
    <row r="561" spans="85:101" ht="13.05" customHeight="1" x14ac:dyDescent="0.25">
      <c r="CG561" s="2" t="s">
        <v>276</v>
      </c>
      <c r="CH561" s="2" t="s">
        <v>276</v>
      </c>
      <c r="CI561" s="2" t="s">
        <v>1236</v>
      </c>
      <c r="CJ561" s="2" t="s">
        <v>3419</v>
      </c>
      <c r="CK561" s="2" t="s">
        <v>3353</v>
      </c>
      <c r="CL561" s="2" t="s">
        <v>3549</v>
      </c>
      <c r="CM561" s="39">
        <v>6</v>
      </c>
      <c r="CN561" s="2" t="str">
        <f t="shared" si="49"/>
        <v>TADigital NA | Management - Practice VP / Delivery VP</v>
      </c>
      <c r="CO561" s="2" t="str">
        <f t="shared" si="55"/>
        <v>TADigital India Consulting | Cloud &amp; Engineering - L2 / B1-B3 | Associate Engineer</v>
      </c>
      <c r="CP561" s="1579">
        <v>370</v>
      </c>
      <c r="CQ561" s="1579">
        <v>172.5</v>
      </c>
      <c r="CR561" s="1579">
        <v>135</v>
      </c>
      <c r="CS561" s="1579">
        <f t="shared" si="52"/>
        <v>51.250000000000007</v>
      </c>
      <c r="CT561" s="1579">
        <v>62.5</v>
      </c>
      <c r="CU561" s="2">
        <f t="shared" si="51"/>
        <v>13</v>
      </c>
      <c r="CV561" s="2" t="str">
        <f t="shared" si="48"/>
        <v>Management - Practice VP / Delivery VP</v>
      </c>
      <c r="CW561" s="2" t="str">
        <f>_xlfn.XLOOKUP(CL561,'[1]Rates &amp; Drop Downs INT'!D$373:D$430,'[1]Rates &amp; Drop Downs INT'!C$373:C$430,"X",1)</f>
        <v>Cloud &amp; Engineering - 2 | Associate Engineer</v>
      </c>
    </row>
    <row r="562" spans="85:101" ht="13.05" customHeight="1" x14ac:dyDescent="0.25">
      <c r="CG562" s="2" t="s">
        <v>276</v>
      </c>
      <c r="CH562" s="2" t="s">
        <v>276</v>
      </c>
      <c r="CI562" s="2" t="s">
        <v>1236</v>
      </c>
      <c r="CJ562" s="2" t="s">
        <v>3419</v>
      </c>
      <c r="CK562" s="2" t="s">
        <v>534</v>
      </c>
      <c r="CL562" s="2" t="s">
        <v>3550</v>
      </c>
      <c r="CM562" s="39">
        <v>2</v>
      </c>
      <c r="CN562" s="2" t="str">
        <f t="shared" si="49"/>
        <v>TADigital NA Consulting | Content &amp; SEO - Content Strategist</v>
      </c>
      <c r="CO562" s="2" t="str">
        <f t="shared" si="55"/>
        <v>TADigital India Consulting | Cloud &amp; Engineering - L2 / B1-B3 | Associate Engineer</v>
      </c>
      <c r="CP562" s="1579">
        <v>170</v>
      </c>
      <c r="CQ562" s="1579">
        <v>82.5</v>
      </c>
      <c r="CR562" s="1579">
        <v>65</v>
      </c>
      <c r="CS562" s="1579">
        <f t="shared" si="52"/>
        <v>18.450000000000003</v>
      </c>
      <c r="CT562" s="1579">
        <v>22.5</v>
      </c>
      <c r="CU562" s="2">
        <f t="shared" si="51"/>
        <v>13</v>
      </c>
      <c r="CV562" s="2" t="str">
        <f t="shared" si="48"/>
        <v>Content &amp; SEO - Content Strategist</v>
      </c>
      <c r="CW562" s="2" t="str">
        <f>_xlfn.XLOOKUP(CL562,'[1]Rates &amp; Drop Downs INT'!D$373:D$430,'[1]Rates &amp; Drop Downs INT'!C$373:C$430,"X",1)</f>
        <v>Cloud &amp; Engineering - 2 | Associate Engineer</v>
      </c>
    </row>
    <row r="563" spans="85:101" ht="13.05" customHeight="1" x14ac:dyDescent="0.25">
      <c r="CG563" s="2" t="s">
        <v>276</v>
      </c>
      <c r="CH563" s="2" t="s">
        <v>276</v>
      </c>
      <c r="CI563" s="2" t="s">
        <v>1236</v>
      </c>
      <c r="CJ563" s="2" t="s">
        <v>3419</v>
      </c>
      <c r="CK563" s="2" t="s">
        <v>586</v>
      </c>
      <c r="CL563" s="2" t="s">
        <v>3562</v>
      </c>
      <c r="CM563" s="39">
        <v>2</v>
      </c>
      <c r="CN563" s="2" t="str">
        <f t="shared" si="49"/>
        <v>TADigital NA Consulting | Content &amp; SEO - Associate Content Strategist</v>
      </c>
      <c r="CO563" s="2" t="str">
        <f t="shared" si="55"/>
        <v>TADigital India Consulting | Cloud &amp; Engineering - L2 / B1-B3 | Associate Engineer</v>
      </c>
      <c r="CP563" s="1579">
        <v>150</v>
      </c>
      <c r="CQ563" s="1579">
        <v>85</v>
      </c>
      <c r="CR563" s="1579">
        <v>60</v>
      </c>
      <c r="CS563" s="1579">
        <f t="shared" si="52"/>
        <v>20.5</v>
      </c>
      <c r="CT563" s="1579">
        <v>25</v>
      </c>
      <c r="CU563" s="2">
        <f t="shared" si="51"/>
        <v>13</v>
      </c>
      <c r="CV563" s="2" t="str">
        <f t="shared" si="48"/>
        <v>Content &amp; SEO - Associate Content Strategist</v>
      </c>
      <c r="CW563" s="2" t="str">
        <f>_xlfn.XLOOKUP(CL563,'[1]Rates &amp; Drop Downs INT'!D$373:D$430,'[1]Rates &amp; Drop Downs INT'!C$373:C$430,"X",1)</f>
        <v>Cloud &amp; Engineering - 2 | Associate Engineer</v>
      </c>
    </row>
    <row r="564" spans="85:101" ht="13.05" customHeight="1" x14ac:dyDescent="0.25">
      <c r="CG564" s="2" t="s">
        <v>276</v>
      </c>
      <c r="CH564" s="2" t="s">
        <v>276</v>
      </c>
      <c r="CI564" s="2" t="s">
        <v>1236</v>
      </c>
      <c r="CJ564" s="2" t="s">
        <v>3419</v>
      </c>
      <c r="CK564" s="2" t="s">
        <v>3354</v>
      </c>
      <c r="CL564" s="2" t="s">
        <v>3549</v>
      </c>
      <c r="CM564" s="39">
        <v>5</v>
      </c>
      <c r="CN564" s="2" t="str">
        <f t="shared" si="49"/>
        <v>TADigital NA | Management - Sr. Practice Director / Sr. Delivery Director</v>
      </c>
      <c r="CO564" s="2" t="str">
        <f t="shared" si="55"/>
        <v>TADigital India Consulting | Cloud &amp; Engineering - L2 / B1-B3 | Associate Engineer</v>
      </c>
      <c r="CP564" s="1579">
        <v>340</v>
      </c>
      <c r="CQ564" s="1579">
        <v>170</v>
      </c>
      <c r="CR564" s="1579">
        <v>125</v>
      </c>
      <c r="CS564" s="1579">
        <f t="shared" si="52"/>
        <v>49.2</v>
      </c>
      <c r="CT564" s="1579">
        <v>60</v>
      </c>
      <c r="CU564" s="2">
        <f t="shared" si="51"/>
        <v>13</v>
      </c>
      <c r="CV564" s="2" t="str">
        <f t="shared" si="48"/>
        <v>Management - Sr. Practice Director / Sr. Delivery Director</v>
      </c>
      <c r="CW564" s="2" t="str">
        <f>_xlfn.XLOOKUP(CL564,'[1]Rates &amp; Drop Downs INT'!D$373:D$430,'[1]Rates &amp; Drop Downs INT'!C$373:C$430,"X",1)</f>
        <v>Cloud &amp; Engineering - 2 | Associate Engineer</v>
      </c>
    </row>
    <row r="565" spans="85:101" ht="13.05" customHeight="1" x14ac:dyDescent="0.25">
      <c r="CG565" s="2" t="s">
        <v>276</v>
      </c>
      <c r="CH565" s="2" t="s">
        <v>276</v>
      </c>
      <c r="CI565" s="2" t="s">
        <v>1236</v>
      </c>
      <c r="CJ565" s="2" t="s">
        <v>3419</v>
      </c>
      <c r="CK565" s="2" t="s">
        <v>448</v>
      </c>
      <c r="CL565" s="2" t="s">
        <v>3546</v>
      </c>
      <c r="CM565" s="39">
        <v>5</v>
      </c>
      <c r="CN565" s="2" t="str">
        <f t="shared" si="49"/>
        <v>TADigital NA Consulting - Delivery Manager</v>
      </c>
      <c r="CO565" s="2" t="str">
        <f t="shared" si="55"/>
        <v>TADigital India Consulting | Cloud &amp; Engineering - L2 / B1-B3 | Associate Engineer</v>
      </c>
      <c r="CP565" s="1579">
        <v>265</v>
      </c>
      <c r="CQ565" s="1579">
        <v>137.5</v>
      </c>
      <c r="CR565" s="1579">
        <v>90</v>
      </c>
      <c r="CS565" s="1579">
        <f t="shared" si="52"/>
        <v>38.950000000000003</v>
      </c>
      <c r="CT565" s="1579">
        <v>47.5</v>
      </c>
      <c r="CU565" s="2">
        <f t="shared" si="51"/>
        <v>13</v>
      </c>
      <c r="CV565" s="2" t="str">
        <f t="shared" si="48"/>
        <v>Delivery Manager</v>
      </c>
      <c r="CW565" s="2" t="str">
        <f>_xlfn.XLOOKUP(CL565,'[1]Rates &amp; Drop Downs INT'!D$373:D$430,'[1]Rates &amp; Drop Downs INT'!C$373:C$430,"X",1)</f>
        <v>Cloud &amp; Engineering - 2 | Associate Engineer</v>
      </c>
    </row>
    <row r="566" spans="85:101" ht="13.05" customHeight="1" x14ac:dyDescent="0.25">
      <c r="CG566" s="2" t="s">
        <v>276</v>
      </c>
      <c r="CH566" s="2" t="s">
        <v>276</v>
      </c>
      <c r="CI566" s="2" t="s">
        <v>1236</v>
      </c>
      <c r="CJ566" s="2" t="s">
        <v>3419</v>
      </c>
      <c r="CK566" s="2" t="s">
        <v>3367</v>
      </c>
      <c r="CL566" s="2" t="s">
        <v>3565</v>
      </c>
      <c r="CM566" s="39">
        <v>3</v>
      </c>
      <c r="CN566" s="2" t="str">
        <f t="shared" si="49"/>
        <v>TADigital NA Consulting | Strategy - Associate Digital Strategist</v>
      </c>
      <c r="CO566" s="2" t="str">
        <f t="shared" si="55"/>
        <v>TADigital India Consulting | Cloud &amp; Engineering - L2 / B1-B3 | Associate Engineer</v>
      </c>
      <c r="CP566" s="1579">
        <v>200</v>
      </c>
      <c r="CQ566" s="1579">
        <v>115</v>
      </c>
      <c r="CR566" s="1579">
        <v>65</v>
      </c>
      <c r="CS566" s="1579">
        <f t="shared" si="52"/>
        <v>18.450000000000003</v>
      </c>
      <c r="CT566" s="1579">
        <v>22.5</v>
      </c>
      <c r="CU566" s="2">
        <f t="shared" si="51"/>
        <v>13</v>
      </c>
      <c r="CV566" s="2" t="str">
        <f t="shared" si="48"/>
        <v>Strategy - Associate Digital Strategist</v>
      </c>
      <c r="CW566" s="2" t="str">
        <f>_xlfn.XLOOKUP(CL566,'[1]Rates &amp; Drop Downs INT'!D$373:D$430,'[1]Rates &amp; Drop Downs INT'!C$373:C$430,"X",1)</f>
        <v>Cloud &amp; Engineering - 2 | Associate Engineer</v>
      </c>
    </row>
    <row r="567" spans="85:101" ht="13.05" customHeight="1" x14ac:dyDescent="0.25">
      <c r="CG567" s="2" t="s">
        <v>276</v>
      </c>
      <c r="CH567" s="2" t="s">
        <v>276</v>
      </c>
      <c r="CI567" s="2" t="s">
        <v>1236</v>
      </c>
      <c r="CJ567" s="2" t="s">
        <v>3419</v>
      </c>
      <c r="CK567" s="2" t="s">
        <v>540</v>
      </c>
      <c r="CL567" s="2" t="s">
        <v>538</v>
      </c>
      <c r="CM567" s="39">
        <v>5</v>
      </c>
      <c r="CN567" s="2" t="str">
        <f t="shared" si="49"/>
        <v>TADigital NA Digital - Sr. Technical Architect</v>
      </c>
      <c r="CO567" s="2" t="str">
        <f t="shared" si="55"/>
        <v>TADigital India Consulting | Cloud &amp; Engineering - L2 / B1-B3 | Associate Engineer</v>
      </c>
      <c r="CP567" s="1579">
        <v>275</v>
      </c>
      <c r="CQ567" s="1579">
        <v>155</v>
      </c>
      <c r="CR567" s="1579">
        <v>105</v>
      </c>
      <c r="CS567" s="1579">
        <f t="shared" si="52"/>
        <v>36.900000000000006</v>
      </c>
      <c r="CT567" s="1579">
        <v>45</v>
      </c>
      <c r="CU567" s="2">
        <f t="shared" si="51"/>
        <v>13</v>
      </c>
      <c r="CV567" s="2" t="str">
        <f t="shared" si="48"/>
        <v>Sr. Technical Architect</v>
      </c>
      <c r="CW567" s="2" t="str">
        <f>_xlfn.XLOOKUP(CL567,'[1]Rates &amp; Drop Downs INT'!D$373:D$430,'[1]Rates &amp; Drop Downs INT'!C$373:C$430,"X",1)</f>
        <v>Cloud &amp; Engineering - 2 | Associate Engineer</v>
      </c>
    </row>
    <row r="568" spans="85:101" ht="13.05" customHeight="1" x14ac:dyDescent="0.25">
      <c r="CG568" s="2" t="s">
        <v>276</v>
      </c>
      <c r="CH568" s="2" t="s">
        <v>276</v>
      </c>
      <c r="CI568" s="2" t="s">
        <v>1236</v>
      </c>
      <c r="CJ568" s="2" t="s">
        <v>3419</v>
      </c>
      <c r="CK568" s="2" t="s">
        <v>3368</v>
      </c>
      <c r="CL568" s="2" t="s">
        <v>3564</v>
      </c>
      <c r="CM568" s="39">
        <v>2</v>
      </c>
      <c r="CN568" s="2" t="str">
        <f t="shared" si="49"/>
        <v>TADigital NA Digital - BA Lead</v>
      </c>
      <c r="CO568" s="2" t="str">
        <f t="shared" si="55"/>
        <v>TADigital India Consulting | Cloud &amp; Engineering - L2 / B1-B3 | Associate Engineer</v>
      </c>
      <c r="CP568" s="1579">
        <v>195</v>
      </c>
      <c r="CQ568" s="1579">
        <v>110</v>
      </c>
      <c r="CR568" s="1579">
        <v>60</v>
      </c>
      <c r="CS568" s="1579">
        <f t="shared" si="52"/>
        <v>18.040000000000003</v>
      </c>
      <c r="CT568" s="1579">
        <v>22</v>
      </c>
      <c r="CU568" s="2">
        <f t="shared" si="51"/>
        <v>13</v>
      </c>
      <c r="CV568" s="2" t="str">
        <f t="shared" si="48"/>
        <v>BA Lead</v>
      </c>
      <c r="CW568" s="2" t="str">
        <f>_xlfn.XLOOKUP(CL568,'[1]Rates &amp; Drop Downs INT'!D$373:D$430,'[1]Rates &amp; Drop Downs INT'!C$373:C$430,"X",1)</f>
        <v>Cloud &amp; Engineering - 2 | Associate Engineer</v>
      </c>
    </row>
    <row r="569" spans="85:101" ht="13.05" customHeight="1" x14ac:dyDescent="0.25">
      <c r="CG569" s="2" t="s">
        <v>276</v>
      </c>
      <c r="CH569" s="2" t="s">
        <v>276</v>
      </c>
      <c r="CI569" s="2" t="s">
        <v>1236</v>
      </c>
      <c r="CJ569" s="2" t="s">
        <v>3419</v>
      </c>
      <c r="CK569" s="2" t="s">
        <v>538</v>
      </c>
      <c r="CL569" s="2" t="s">
        <v>538</v>
      </c>
      <c r="CM569" s="39">
        <v>4</v>
      </c>
      <c r="CN569" s="2" t="str">
        <f t="shared" si="49"/>
        <v>TADigital NA Consulting - Sr. Project Manager</v>
      </c>
      <c r="CO569" s="2" t="str">
        <f t="shared" si="55"/>
        <v>TADigital India Consulting | Cloud &amp; Engineering - L2 / B1-B3 | Associate Engineer</v>
      </c>
      <c r="CP569" s="1579">
        <v>235</v>
      </c>
      <c r="CQ569" s="1579">
        <v>132.5</v>
      </c>
      <c r="CR569" s="1579">
        <v>95</v>
      </c>
      <c r="CS569" s="1579">
        <f t="shared" si="52"/>
        <v>32.800000000000004</v>
      </c>
      <c r="CT569" s="1579">
        <v>40</v>
      </c>
      <c r="CU569" s="2">
        <f t="shared" si="51"/>
        <v>13</v>
      </c>
      <c r="CV569" s="2" t="str">
        <f t="shared" si="48"/>
        <v>Sr. Project Manager</v>
      </c>
      <c r="CW569" s="2" t="str">
        <f>_xlfn.XLOOKUP(CL569,'[1]Rates &amp; Drop Downs INT'!D$373:D$430,'[1]Rates &amp; Drop Downs INT'!C$373:C$430,"X",1)</f>
        <v>Cloud &amp; Engineering - 2 | Associate Engineer</v>
      </c>
    </row>
    <row r="570" spans="85:101" ht="13.05" customHeight="1" x14ac:dyDescent="0.25">
      <c r="CG570" s="2" t="s">
        <v>276</v>
      </c>
      <c r="CH570" s="2" t="s">
        <v>276</v>
      </c>
      <c r="CI570" s="2" t="s">
        <v>1236</v>
      </c>
      <c r="CJ570" s="2" t="s">
        <v>3419</v>
      </c>
      <c r="CK570" s="2" t="s">
        <v>536</v>
      </c>
      <c r="CL570" s="2" t="s">
        <v>536</v>
      </c>
      <c r="CM570" s="39">
        <v>3</v>
      </c>
      <c r="CN570" s="2" t="str">
        <f t="shared" si="49"/>
        <v>TADigital NA Digital - Technical Lead</v>
      </c>
      <c r="CO570" s="2" t="str">
        <f t="shared" si="55"/>
        <v>TADigital India Consulting | Cloud &amp; Engineering - L2 / B1-B3 | Associate Engineer</v>
      </c>
      <c r="CP570" s="1579">
        <v>185</v>
      </c>
      <c r="CQ570" s="1579">
        <v>90</v>
      </c>
      <c r="CR570" s="1579">
        <v>85</v>
      </c>
      <c r="CS570" s="1579">
        <f t="shared" si="52"/>
        <v>24.6</v>
      </c>
      <c r="CT570" s="1579">
        <v>30</v>
      </c>
      <c r="CU570" s="2">
        <f t="shared" si="51"/>
        <v>13</v>
      </c>
      <c r="CV570" s="2" t="str">
        <f t="shared" si="48"/>
        <v>Technical Lead</v>
      </c>
      <c r="CW570" s="2" t="str">
        <f>_xlfn.XLOOKUP(CL570,'[1]Rates &amp; Drop Downs INT'!D$373:D$430,'[1]Rates &amp; Drop Downs INT'!C$373:C$430,"X",1)</f>
        <v>Cloud &amp; Engineering - 2 | Associate Engineer</v>
      </c>
    </row>
    <row r="571" spans="85:101" ht="13.05" customHeight="1" x14ac:dyDescent="0.25">
      <c r="CG571" s="2" t="s">
        <v>276</v>
      </c>
      <c r="CH571" s="2" t="s">
        <v>276</v>
      </c>
      <c r="CI571" s="2" t="s">
        <v>1237</v>
      </c>
      <c r="CJ571" s="2" t="s">
        <v>1808</v>
      </c>
      <c r="CK571" s="2" t="s">
        <v>3355</v>
      </c>
      <c r="CL571" s="2" t="s">
        <v>3547</v>
      </c>
      <c r="CM571" s="39">
        <v>2</v>
      </c>
      <c r="CN571" s="2" t="str">
        <f t="shared" si="49"/>
        <v>TADigital NA Consulting | Content &amp; SEO - Associate Web Content Analyst</v>
      </c>
      <c r="CO571" s="2" t="str">
        <f t="shared" si="55"/>
        <v>TADigital India Consulting | Cloud &amp; Engineering - L2 / B1-B3 | Associate Engineer</v>
      </c>
      <c r="CP571" s="1579">
        <v>0</v>
      </c>
      <c r="CQ571" s="1579">
        <v>0</v>
      </c>
      <c r="CR571" s="1579">
        <v>35</v>
      </c>
      <c r="CS571" s="1579">
        <f t="shared" si="52"/>
        <v>10.66</v>
      </c>
      <c r="CT571" s="1579">
        <v>13</v>
      </c>
      <c r="CU571" s="2">
        <f t="shared" si="51"/>
        <v>13</v>
      </c>
      <c r="CV571" s="2" t="str">
        <f t="shared" si="48"/>
        <v>Content &amp; SEO - Associate Web Content Analyst</v>
      </c>
      <c r="CW571" s="2" t="str">
        <f>_xlfn.XLOOKUP(CL571,'[1]Rates &amp; Drop Downs INT'!D$373:D$430,'[1]Rates &amp; Drop Downs INT'!C$373:C$430,"X",1)</f>
        <v>Cloud &amp; Engineering - 2 | Associate Engineer</v>
      </c>
    </row>
    <row r="572" spans="85:101" ht="13.05" customHeight="1" x14ac:dyDescent="0.25">
      <c r="CG572" s="2" t="s">
        <v>276</v>
      </c>
      <c r="CH572" s="2" t="s">
        <v>276</v>
      </c>
      <c r="CI572" s="2" t="s">
        <v>1237</v>
      </c>
      <c r="CJ572" s="2" t="s">
        <v>1808</v>
      </c>
      <c r="CK572" s="2" t="s">
        <v>3356</v>
      </c>
      <c r="CL572" s="2" t="s">
        <v>3545</v>
      </c>
      <c r="CM572" s="39">
        <v>2</v>
      </c>
      <c r="CN572" s="2" t="str">
        <f t="shared" si="49"/>
        <v>TADigital NA Consulting | Content &amp; SEO - Associate Web Content Analyst</v>
      </c>
      <c r="CO572" s="2" t="str">
        <f t="shared" si="55"/>
        <v>TADigital India Consulting | Cloud &amp; Engineering - L2 / B1-B3 | Associate Engineer</v>
      </c>
      <c r="CP572" s="1579">
        <v>0</v>
      </c>
      <c r="CQ572" s="1579">
        <v>0</v>
      </c>
      <c r="CR572" s="1579">
        <v>35</v>
      </c>
      <c r="CS572" s="1579">
        <f t="shared" si="52"/>
        <v>10.66</v>
      </c>
      <c r="CT572" s="1579">
        <v>13</v>
      </c>
      <c r="CU572" s="2">
        <f t="shared" si="51"/>
        <v>13</v>
      </c>
      <c r="CV572" s="2" t="str">
        <f t="shared" si="48"/>
        <v>Content &amp; SEO - Associate Web Content Analyst</v>
      </c>
      <c r="CW572" s="2" t="str">
        <f>_xlfn.XLOOKUP(CL572,'[1]Rates &amp; Drop Downs INT'!D$373:D$430,'[1]Rates &amp; Drop Downs INT'!C$373:C$430,"X",1)</f>
        <v>Cloud &amp; Engineering - 2 | Associate Engineer</v>
      </c>
    </row>
    <row r="573" spans="85:101" ht="13.05" customHeight="1" x14ac:dyDescent="0.25">
      <c r="CG573" s="2" t="s">
        <v>276</v>
      </c>
      <c r="CH573" s="2" t="s">
        <v>276</v>
      </c>
      <c r="CI573" s="2" t="s">
        <v>1237</v>
      </c>
      <c r="CJ573" s="2" t="s">
        <v>1808</v>
      </c>
      <c r="CK573" s="2" t="s">
        <v>720</v>
      </c>
      <c r="CL573" s="2" t="s">
        <v>3546</v>
      </c>
      <c r="CM573" s="39">
        <v>5</v>
      </c>
      <c r="CN573" s="2" t="str">
        <f t="shared" si="49"/>
        <v>TADigital NA | Management - Associate Practice Director</v>
      </c>
      <c r="CO573" s="2" t="str">
        <f t="shared" si="55"/>
        <v>TADigital India Consulting | Cloud &amp; Engineering - L2 / B1-B3 | Associate Engineer</v>
      </c>
      <c r="CP573" s="1579">
        <v>290</v>
      </c>
      <c r="CQ573" s="1579">
        <v>140</v>
      </c>
      <c r="CR573" s="1579">
        <v>105</v>
      </c>
      <c r="CS573" s="1579">
        <f t="shared" si="52"/>
        <v>45.1</v>
      </c>
      <c r="CT573" s="1579">
        <v>55</v>
      </c>
      <c r="CU573" s="2">
        <f t="shared" si="51"/>
        <v>13</v>
      </c>
      <c r="CV573" s="2" t="str">
        <f t="shared" si="48"/>
        <v>Management - Associate Practice Director</v>
      </c>
      <c r="CW573" s="2" t="str">
        <f>_xlfn.XLOOKUP(CL573,'[1]Rates &amp; Drop Downs INT'!D$373:D$430,'[1]Rates &amp; Drop Downs INT'!C$373:C$430,"X",1)</f>
        <v>Cloud &amp; Engineering - 2 | Associate Engineer</v>
      </c>
    </row>
    <row r="574" spans="85:101" ht="13.05" customHeight="1" x14ac:dyDescent="0.25">
      <c r="CG574" s="2" t="s">
        <v>276</v>
      </c>
      <c r="CH574" s="2" t="s">
        <v>276</v>
      </c>
      <c r="CI574" s="2" t="s">
        <v>1237</v>
      </c>
      <c r="CJ574" s="2" t="s">
        <v>1808</v>
      </c>
      <c r="CK574" s="2" t="s">
        <v>367</v>
      </c>
      <c r="CL574" s="2" t="s">
        <v>536</v>
      </c>
      <c r="CM574" s="39">
        <v>2</v>
      </c>
      <c r="CN574" s="2" t="str">
        <f t="shared" si="49"/>
        <v>TADigital NA Consulting | Content &amp; SEO - Associate Content Strategist</v>
      </c>
      <c r="CO574" s="2" t="str">
        <f t="shared" si="55"/>
        <v>TADigital India Consulting | Cloud &amp; Engineering - L2 / B1-B3 | Associate Engineer</v>
      </c>
      <c r="CP574" s="1579">
        <v>160</v>
      </c>
      <c r="CQ574" s="1579">
        <v>85</v>
      </c>
      <c r="CR574" s="1579">
        <v>55</v>
      </c>
      <c r="CS574" s="1579">
        <f t="shared" si="52"/>
        <v>14.760000000000002</v>
      </c>
      <c r="CT574" s="1579">
        <v>18</v>
      </c>
      <c r="CU574" s="2">
        <f t="shared" si="51"/>
        <v>13</v>
      </c>
      <c r="CV574" s="2" t="str">
        <f t="shared" si="48"/>
        <v>Content &amp; SEO - Associate Content Strategist</v>
      </c>
      <c r="CW574" s="2" t="str">
        <f>_xlfn.XLOOKUP(CL574,'[1]Rates &amp; Drop Downs INT'!D$373:D$430,'[1]Rates &amp; Drop Downs INT'!C$373:C$430,"X",1)</f>
        <v>Cloud &amp; Engineering - 2 | Associate Engineer</v>
      </c>
    </row>
    <row r="575" spans="85:101" ht="13.05" customHeight="1" x14ac:dyDescent="0.25">
      <c r="CG575" s="2" t="s">
        <v>276</v>
      </c>
      <c r="CH575" s="2" t="s">
        <v>276</v>
      </c>
      <c r="CI575" s="2" t="s">
        <v>1237</v>
      </c>
      <c r="CJ575" s="2" t="s">
        <v>1808</v>
      </c>
      <c r="CK575" s="2" t="s">
        <v>348</v>
      </c>
      <c r="CL575" s="2" t="s">
        <v>538</v>
      </c>
      <c r="CM575" s="39">
        <v>4</v>
      </c>
      <c r="CN575" s="2" t="str">
        <f t="shared" si="49"/>
        <v>TADigital NA Consulting - Sr. Project Manager</v>
      </c>
      <c r="CO575" s="2" t="str">
        <f t="shared" si="55"/>
        <v>TADigital India Consulting | Cloud &amp; Engineering - L2 / B1-B3 | Associate Engineer</v>
      </c>
      <c r="CP575" s="1579">
        <v>235</v>
      </c>
      <c r="CQ575" s="1579">
        <v>115.5</v>
      </c>
      <c r="CR575" s="1579">
        <v>95</v>
      </c>
      <c r="CS575" s="1579">
        <f t="shared" si="52"/>
        <v>30.750000000000004</v>
      </c>
      <c r="CT575" s="1579">
        <v>37.5</v>
      </c>
      <c r="CU575" s="2">
        <f t="shared" si="51"/>
        <v>13</v>
      </c>
      <c r="CV575" s="2" t="str">
        <f t="shared" si="48"/>
        <v>Sr. Project Manager</v>
      </c>
      <c r="CW575" s="2" t="str">
        <f>_xlfn.XLOOKUP(CL575,'[1]Rates &amp; Drop Downs INT'!D$373:D$430,'[1]Rates &amp; Drop Downs INT'!C$373:C$430,"X",1)</f>
        <v>Cloud &amp; Engineering - 2 | Associate Engineer</v>
      </c>
    </row>
    <row r="576" spans="85:101" ht="13.05" customHeight="1" x14ac:dyDescent="0.25">
      <c r="CG576" s="2" t="s">
        <v>276</v>
      </c>
      <c r="CH576" s="2" t="s">
        <v>276</v>
      </c>
      <c r="CI576" s="2" t="s">
        <v>1237</v>
      </c>
      <c r="CJ576" s="2" t="s">
        <v>1808</v>
      </c>
      <c r="CK576" s="2" t="s">
        <v>315</v>
      </c>
      <c r="CL576" s="2" t="s">
        <v>3550</v>
      </c>
      <c r="CM576" s="39">
        <v>2</v>
      </c>
      <c r="CN576" s="2" t="str">
        <f t="shared" si="49"/>
        <v>TADigital NA Consulting | Content &amp; SEO - Associate Content Strategist</v>
      </c>
      <c r="CO576" s="2" t="str">
        <f t="shared" si="55"/>
        <v>TADigital India Consulting | Cloud &amp; Engineering - L2 / B1-B3 | Associate Engineer</v>
      </c>
      <c r="CP576" s="1579">
        <v>160</v>
      </c>
      <c r="CQ576" s="1579">
        <v>85</v>
      </c>
      <c r="CR576" s="1579">
        <v>55</v>
      </c>
      <c r="CS576" s="1579">
        <f t="shared" si="52"/>
        <v>14.760000000000002</v>
      </c>
      <c r="CT576" s="1579">
        <v>18</v>
      </c>
      <c r="CU576" s="2">
        <f t="shared" si="51"/>
        <v>13</v>
      </c>
      <c r="CV576" s="2" t="str">
        <f t="shared" si="48"/>
        <v>Content &amp; SEO - Associate Content Strategist</v>
      </c>
      <c r="CW576" s="2" t="str">
        <f>_xlfn.XLOOKUP(CL576,'[1]Rates &amp; Drop Downs INT'!D$373:D$430,'[1]Rates &amp; Drop Downs INT'!C$373:C$430,"X",1)</f>
        <v>Cloud &amp; Engineering - 2 | Associate Engineer</v>
      </c>
    </row>
    <row r="577" spans="85:101" ht="13.05" customHeight="1" x14ac:dyDescent="0.25">
      <c r="CG577" s="2" t="s">
        <v>276</v>
      </c>
      <c r="CH577" s="2" t="s">
        <v>276</v>
      </c>
      <c r="CI577" s="2" t="s">
        <v>1237</v>
      </c>
      <c r="CJ577" s="2" t="s">
        <v>1808</v>
      </c>
      <c r="CK577" s="2" t="s">
        <v>3357</v>
      </c>
      <c r="CL577" s="2" t="s">
        <v>536</v>
      </c>
      <c r="CM577" s="39">
        <v>3</v>
      </c>
      <c r="CN577" s="2" t="str">
        <f t="shared" si="49"/>
        <v>TADigital NA Consulting | Content &amp; SEO - Associate Manager</v>
      </c>
      <c r="CO577" s="2" t="str">
        <f t="shared" si="55"/>
        <v>TADigital India Consulting | Cloud &amp; Engineering - L2 / B1-B3 | Associate Engineer</v>
      </c>
      <c r="CP577" s="1579">
        <v>210</v>
      </c>
      <c r="CQ577" s="1579">
        <v>107.5</v>
      </c>
      <c r="CR577" s="1579">
        <v>85</v>
      </c>
      <c r="CS577" s="1579">
        <f t="shared" si="52"/>
        <v>28.700000000000003</v>
      </c>
      <c r="CT577" s="1579">
        <v>35</v>
      </c>
      <c r="CU577" s="2">
        <f t="shared" si="51"/>
        <v>13</v>
      </c>
      <c r="CV577" s="2" t="str">
        <f t="shared" si="48"/>
        <v>Content &amp; SEO - Associate Manager</v>
      </c>
      <c r="CW577" s="2" t="str">
        <f>_xlfn.XLOOKUP(CL577,'[1]Rates &amp; Drop Downs INT'!D$373:D$430,'[1]Rates &amp; Drop Downs INT'!C$373:C$430,"X",1)</f>
        <v>Cloud &amp; Engineering - 2 | Associate Engineer</v>
      </c>
    </row>
    <row r="578" spans="85:101" ht="13.05" customHeight="1" x14ac:dyDescent="0.25">
      <c r="CG578" s="2" t="s">
        <v>276</v>
      </c>
      <c r="CH578" s="2" t="s">
        <v>276</v>
      </c>
      <c r="CI578" s="2" t="s">
        <v>1237</v>
      </c>
      <c r="CJ578" s="2" t="s">
        <v>1808</v>
      </c>
      <c r="CK578" s="2" t="s">
        <v>370</v>
      </c>
      <c r="CL578" s="2" t="s">
        <v>3548</v>
      </c>
      <c r="CM578" s="39">
        <v>4</v>
      </c>
      <c r="CN578" s="2" t="str">
        <f t="shared" si="49"/>
        <v>TADigital NA Consulting - Sr. Project Manager</v>
      </c>
      <c r="CO578" s="2" t="str">
        <f t="shared" si="55"/>
        <v>TADigital India Consulting | Cloud &amp; Engineering - L2 / B1-B3 | Associate Engineer</v>
      </c>
      <c r="CP578" s="1579">
        <v>235</v>
      </c>
      <c r="CQ578" s="1579">
        <v>116</v>
      </c>
      <c r="CR578" s="1579">
        <v>95</v>
      </c>
      <c r="CS578" s="1579">
        <f t="shared" si="52"/>
        <v>31.160000000000004</v>
      </c>
      <c r="CT578" s="1579">
        <v>38</v>
      </c>
      <c r="CU578" s="2">
        <f t="shared" si="51"/>
        <v>13</v>
      </c>
      <c r="CV578" s="2" t="str">
        <f t="shared" si="48"/>
        <v>Sr. Project Manager</v>
      </c>
      <c r="CW578" s="2" t="str">
        <f>_xlfn.XLOOKUP(CL578,'[1]Rates &amp; Drop Downs INT'!D$373:D$430,'[1]Rates &amp; Drop Downs INT'!C$373:C$430,"X",1)</f>
        <v>Cloud &amp; Engineering - 2 | Associate Engineer</v>
      </c>
    </row>
    <row r="579" spans="85:101" ht="13.05" customHeight="1" x14ac:dyDescent="0.25">
      <c r="CG579" s="2" t="s">
        <v>276</v>
      </c>
      <c r="CH579" s="2" t="s">
        <v>276</v>
      </c>
      <c r="CI579" s="2" t="s">
        <v>1237</v>
      </c>
      <c r="CJ579" s="2" t="s">
        <v>1808</v>
      </c>
      <c r="CK579" s="2" t="s">
        <v>3358</v>
      </c>
      <c r="CL579" s="2" t="s">
        <v>538</v>
      </c>
      <c r="CM579" s="39">
        <v>3</v>
      </c>
      <c r="CN579" s="2" t="str">
        <f t="shared" si="49"/>
        <v>TADigital NA Consulting | Content &amp; SEO - Associate Manager</v>
      </c>
      <c r="CO579" s="2" t="str">
        <f t="shared" si="55"/>
        <v>TADigital India Consulting | Cloud &amp; Engineering - L2 / B1-B3 | Associate Engineer</v>
      </c>
      <c r="CP579" s="1579">
        <v>210</v>
      </c>
      <c r="CQ579" s="1579">
        <v>108</v>
      </c>
      <c r="CR579" s="1579">
        <v>85</v>
      </c>
      <c r="CS579" s="1579">
        <f t="shared" si="52"/>
        <v>28.700000000000003</v>
      </c>
      <c r="CT579" s="1579">
        <v>35</v>
      </c>
      <c r="CU579" s="2">
        <f t="shared" si="51"/>
        <v>13</v>
      </c>
      <c r="CV579" s="2" t="str">
        <f t="shared" si="48"/>
        <v>Content &amp; SEO - Associate Manager</v>
      </c>
      <c r="CW579" s="2" t="str">
        <f>_xlfn.XLOOKUP(CL579,'[1]Rates &amp; Drop Downs INT'!D$373:D$430,'[1]Rates &amp; Drop Downs INT'!C$373:C$430,"X",1)</f>
        <v>Cloud &amp; Engineering - 2 | Associate Engineer</v>
      </c>
    </row>
    <row r="580" spans="85:101" ht="13.05" customHeight="1" x14ac:dyDescent="0.25">
      <c r="CG580" s="2" t="s">
        <v>276</v>
      </c>
      <c r="CH580" s="2" t="s">
        <v>276</v>
      </c>
      <c r="CI580" s="2" t="s">
        <v>1237</v>
      </c>
      <c r="CJ580" s="2" t="s">
        <v>1808</v>
      </c>
      <c r="CK580" s="2" t="s">
        <v>3352</v>
      </c>
      <c r="CL580" s="2" t="s">
        <v>3549</v>
      </c>
      <c r="CM580" s="39">
        <v>5</v>
      </c>
      <c r="CN580" s="2" t="str">
        <f t="shared" si="49"/>
        <v>TADigital NA | Management - Practice Director / Delivery Director</v>
      </c>
      <c r="CO580" s="2" t="str">
        <f t="shared" si="55"/>
        <v>TADigital India Consulting | Cloud &amp; Engineering - L2 / B1-B3 | Associate Engineer</v>
      </c>
      <c r="CP580" s="1579">
        <v>315</v>
      </c>
      <c r="CQ580" s="1579">
        <v>165</v>
      </c>
      <c r="CR580" s="1579">
        <v>115</v>
      </c>
      <c r="CS580" s="1579">
        <f t="shared" si="52"/>
        <v>45.1</v>
      </c>
      <c r="CT580" s="1579">
        <v>55</v>
      </c>
      <c r="CU580" s="2">
        <f t="shared" si="51"/>
        <v>13</v>
      </c>
      <c r="CV580" s="2" t="str">
        <f t="shared" si="48"/>
        <v>Management - Practice Director / Delivery Director</v>
      </c>
      <c r="CW580" s="2" t="str">
        <f>_xlfn.XLOOKUP(CL580,'[1]Rates &amp; Drop Downs INT'!D$373:D$430,'[1]Rates &amp; Drop Downs INT'!C$373:C$430,"X",1)</f>
        <v>Cloud &amp; Engineering - 2 | Associate Engineer</v>
      </c>
    </row>
    <row r="581" spans="85:101" ht="13.05" customHeight="1" x14ac:dyDescent="0.25">
      <c r="CG581" s="2" t="s">
        <v>276</v>
      </c>
      <c r="CH581" s="2" t="s">
        <v>276</v>
      </c>
      <c r="CI581" s="2" t="s">
        <v>1237</v>
      </c>
      <c r="CJ581" s="2" t="s">
        <v>1808</v>
      </c>
      <c r="CK581" s="2" t="s">
        <v>3353</v>
      </c>
      <c r="CL581" s="2" t="s">
        <v>3549</v>
      </c>
      <c r="CM581" s="39">
        <v>6</v>
      </c>
      <c r="CN581" s="2" t="str">
        <f t="shared" si="49"/>
        <v>TADigital NA | Management - Practice VP / Delivery VP</v>
      </c>
      <c r="CO581" s="2" t="str">
        <f t="shared" si="55"/>
        <v>TADigital India Consulting | Cloud &amp; Engineering - L2 / B1-B3 | Associate Engineer</v>
      </c>
      <c r="CP581" s="1579">
        <v>370</v>
      </c>
      <c r="CQ581" s="1579">
        <v>172.5</v>
      </c>
      <c r="CR581" s="1579">
        <v>135</v>
      </c>
      <c r="CS581" s="1579">
        <f t="shared" si="52"/>
        <v>51.250000000000007</v>
      </c>
      <c r="CT581" s="1579">
        <v>62.5</v>
      </c>
      <c r="CU581" s="2">
        <f t="shared" si="51"/>
        <v>13</v>
      </c>
      <c r="CV581" s="2" t="str">
        <f t="shared" si="48"/>
        <v>Management - Practice VP / Delivery VP</v>
      </c>
      <c r="CW581" s="2" t="str">
        <f>_xlfn.XLOOKUP(CL581,'[1]Rates &amp; Drop Downs INT'!D$373:D$430,'[1]Rates &amp; Drop Downs INT'!C$373:C$430,"X",1)</f>
        <v>Cloud &amp; Engineering - 2 | Associate Engineer</v>
      </c>
    </row>
    <row r="582" spans="85:101" ht="13.05" customHeight="1" x14ac:dyDescent="0.25">
      <c r="CG582" s="2" t="s">
        <v>276</v>
      </c>
      <c r="CH582" s="2" t="s">
        <v>276</v>
      </c>
      <c r="CI582" s="2" t="s">
        <v>1237</v>
      </c>
      <c r="CJ582" s="2" t="s">
        <v>1808</v>
      </c>
      <c r="CK582" s="2" t="s">
        <v>3359</v>
      </c>
      <c r="CL582" s="2" t="s">
        <v>3550</v>
      </c>
      <c r="CM582" s="39">
        <v>2</v>
      </c>
      <c r="CN582" s="2" t="str">
        <f t="shared" si="49"/>
        <v>TADigital NA Consulting - Project Manager / Product Manager</v>
      </c>
      <c r="CO582" s="2" t="str">
        <f t="shared" si="55"/>
        <v>TADigital India Consulting | Cloud &amp; Engineering - L2 / B1-B3 | Associate Engineer</v>
      </c>
      <c r="CP582" s="1579">
        <v>190</v>
      </c>
      <c r="CQ582" s="1579">
        <v>105</v>
      </c>
      <c r="CR582" s="1579">
        <v>65</v>
      </c>
      <c r="CS582" s="1579">
        <f t="shared" si="52"/>
        <v>22.96</v>
      </c>
      <c r="CT582" s="1579">
        <v>28</v>
      </c>
      <c r="CU582" s="2">
        <f t="shared" si="51"/>
        <v>13</v>
      </c>
      <c r="CV582" s="2" t="str">
        <f t="shared" ref="CV582:CV645" si="56">_xlfn.XLOOKUP(CN582,$F$205:$F$287,TADNorthAmerica,"X",1)</f>
        <v>Project Manager / Product Manager</v>
      </c>
      <c r="CW582" s="2" t="str">
        <f>_xlfn.XLOOKUP(CL582,'[1]Rates &amp; Drop Downs INT'!D$373:D$430,'[1]Rates &amp; Drop Downs INT'!C$373:C$430,"X",1)</f>
        <v>Cloud &amp; Engineering - 2 | Associate Engineer</v>
      </c>
    </row>
    <row r="583" spans="85:101" ht="13.05" customHeight="1" x14ac:dyDescent="0.25">
      <c r="CG583" s="2" t="s">
        <v>276</v>
      </c>
      <c r="CH583" s="2" t="s">
        <v>276</v>
      </c>
      <c r="CI583" s="2" t="s">
        <v>1237</v>
      </c>
      <c r="CJ583" s="2" t="s">
        <v>1808</v>
      </c>
      <c r="CK583" s="2" t="s">
        <v>3360</v>
      </c>
      <c r="CL583" s="2" t="s">
        <v>3546</v>
      </c>
      <c r="CM583" s="39">
        <v>5</v>
      </c>
      <c r="CN583" s="2" t="str">
        <f t="shared" ref="CN583:CN646" si="57">_xlfn.XLOOKUP(CP583,$I$205:$I$287,$F$205:$F$287,"X",1)</f>
        <v>TADigital NA Digital - Sr. Technical Architect</v>
      </c>
      <c r="CO583" s="2" t="str">
        <f t="shared" si="55"/>
        <v>TADigital India Consulting | Cloud &amp; Engineering - L2 / B1-B3 | Associate Engineer</v>
      </c>
      <c r="CP583" s="1579">
        <v>275</v>
      </c>
      <c r="CQ583" s="1579">
        <v>162.5</v>
      </c>
      <c r="CR583" s="1579">
        <v>105</v>
      </c>
      <c r="CS583" s="1579">
        <f t="shared" si="52"/>
        <v>41</v>
      </c>
      <c r="CT583" s="1579">
        <v>50</v>
      </c>
      <c r="CU583" s="2">
        <f t="shared" ref="CU583:CU646" si="58">_xlfn.XLOOKUP(CW583,$C$373:$C$430,$G$373:$G$430,"X",1)</f>
        <v>13</v>
      </c>
      <c r="CV583" s="2" t="str">
        <f t="shared" si="56"/>
        <v>Sr. Technical Architect</v>
      </c>
      <c r="CW583" s="2" t="str">
        <f>_xlfn.XLOOKUP(CL583,'[1]Rates &amp; Drop Downs INT'!D$373:D$430,'[1]Rates &amp; Drop Downs INT'!C$373:C$430,"X",1)</f>
        <v>Cloud &amp; Engineering - 2 | Associate Engineer</v>
      </c>
    </row>
    <row r="584" spans="85:101" ht="13.05" customHeight="1" x14ac:dyDescent="0.25">
      <c r="CG584" s="2" t="s">
        <v>276</v>
      </c>
      <c r="CH584" s="2" t="s">
        <v>276</v>
      </c>
      <c r="CI584" s="2" t="s">
        <v>1237</v>
      </c>
      <c r="CJ584" s="2" t="s">
        <v>1808</v>
      </c>
      <c r="CK584" s="2" t="s">
        <v>3361</v>
      </c>
      <c r="CL584" s="2" t="s">
        <v>3547</v>
      </c>
      <c r="CM584" s="39">
        <v>2</v>
      </c>
      <c r="CN584" s="2" t="str">
        <f t="shared" si="57"/>
        <v>TADigital NA Consulting - Project Manager / Product Manager</v>
      </c>
      <c r="CO584" s="2" t="str">
        <f t="shared" si="55"/>
        <v>TADigital India Consulting | Cloud &amp; Engineering - L2 / B1-B3 | Associate Engineer</v>
      </c>
      <c r="CP584" s="1579">
        <v>190</v>
      </c>
      <c r="CQ584" s="1579">
        <v>105</v>
      </c>
      <c r="CR584" s="1579">
        <v>65</v>
      </c>
      <c r="CS584" s="1579">
        <f t="shared" si="52"/>
        <v>22.55</v>
      </c>
      <c r="CT584" s="1579">
        <v>27.5</v>
      </c>
      <c r="CU584" s="2">
        <f t="shared" si="58"/>
        <v>13</v>
      </c>
      <c r="CV584" s="2" t="str">
        <f t="shared" si="56"/>
        <v>Project Manager / Product Manager</v>
      </c>
      <c r="CW584" s="2" t="str">
        <f>_xlfn.XLOOKUP(CL584,'[1]Rates &amp; Drop Downs INT'!D$373:D$430,'[1]Rates &amp; Drop Downs INT'!C$373:C$430,"X",1)</f>
        <v>Cloud &amp; Engineering - 2 | Associate Engineer</v>
      </c>
    </row>
    <row r="585" spans="85:101" ht="13.05" customHeight="1" x14ac:dyDescent="0.25">
      <c r="CG585" s="2" t="s">
        <v>276</v>
      </c>
      <c r="CH585" s="2" t="s">
        <v>276</v>
      </c>
      <c r="CI585" s="2" t="s">
        <v>1237</v>
      </c>
      <c r="CJ585" s="2" t="s">
        <v>1808</v>
      </c>
      <c r="CK585" s="2" t="s">
        <v>3362</v>
      </c>
      <c r="CL585" s="2" t="s">
        <v>3546</v>
      </c>
      <c r="CM585" s="39">
        <v>5</v>
      </c>
      <c r="CN585" s="2" t="str">
        <f t="shared" si="57"/>
        <v>TADigital NA Digital - Sr. Technical Architect</v>
      </c>
      <c r="CO585" s="2" t="str">
        <f t="shared" si="55"/>
        <v>TADigital India Consulting | Cloud &amp; Engineering - L2 / B1-B3 | Associate Engineer</v>
      </c>
      <c r="CP585" s="1579">
        <v>275</v>
      </c>
      <c r="CQ585" s="1579">
        <v>162.5</v>
      </c>
      <c r="CR585" s="1579">
        <v>105</v>
      </c>
      <c r="CS585" s="1579">
        <f t="shared" si="52"/>
        <v>41</v>
      </c>
      <c r="CT585" s="1579">
        <v>50</v>
      </c>
      <c r="CU585" s="2">
        <f t="shared" si="58"/>
        <v>13</v>
      </c>
      <c r="CV585" s="2" t="str">
        <f t="shared" si="56"/>
        <v>Sr. Technical Architect</v>
      </c>
      <c r="CW585" s="2" t="str">
        <f>_xlfn.XLOOKUP(CL585,'[1]Rates &amp; Drop Downs INT'!D$373:D$430,'[1]Rates &amp; Drop Downs INT'!C$373:C$430,"X",1)</f>
        <v>Cloud &amp; Engineering - 2 | Associate Engineer</v>
      </c>
    </row>
    <row r="586" spans="85:101" ht="13.05" customHeight="1" x14ac:dyDescent="0.25">
      <c r="CG586" s="2" t="s">
        <v>276</v>
      </c>
      <c r="CH586" s="2" t="s">
        <v>276</v>
      </c>
      <c r="CI586" s="2" t="s">
        <v>1237</v>
      </c>
      <c r="CJ586" s="2" t="s">
        <v>1808</v>
      </c>
      <c r="CK586" s="2" t="s">
        <v>3354</v>
      </c>
      <c r="CL586" s="2" t="s">
        <v>3549</v>
      </c>
      <c r="CM586" s="39">
        <v>5</v>
      </c>
      <c r="CN586" s="2" t="str">
        <f t="shared" si="57"/>
        <v>TADigital NA | Management - Sr. Practice Director / Sr. Delivery Director</v>
      </c>
      <c r="CO586" s="2" t="str">
        <f t="shared" si="55"/>
        <v>TADigital India Consulting | Cloud &amp; Engineering - L2 / B1-B3 | Associate Engineer</v>
      </c>
      <c r="CP586" s="1579">
        <v>340</v>
      </c>
      <c r="CQ586" s="1579">
        <v>170</v>
      </c>
      <c r="CR586" s="1579">
        <v>125</v>
      </c>
      <c r="CS586" s="1579">
        <f t="shared" si="52"/>
        <v>49.2</v>
      </c>
      <c r="CT586" s="1579">
        <v>60</v>
      </c>
      <c r="CU586" s="2">
        <f t="shared" si="58"/>
        <v>13</v>
      </c>
      <c r="CV586" s="2" t="str">
        <f t="shared" si="56"/>
        <v>Management - Sr. Practice Director / Sr. Delivery Director</v>
      </c>
      <c r="CW586" s="2" t="str">
        <f>_xlfn.XLOOKUP(CL586,'[1]Rates &amp; Drop Downs INT'!D$373:D$430,'[1]Rates &amp; Drop Downs INT'!C$373:C$430,"X",1)</f>
        <v>Cloud &amp; Engineering - 2 | Associate Engineer</v>
      </c>
    </row>
    <row r="587" spans="85:101" ht="13.05" customHeight="1" x14ac:dyDescent="0.25">
      <c r="CG587" s="2" t="s">
        <v>276</v>
      </c>
      <c r="CH587" s="2" t="s">
        <v>276</v>
      </c>
      <c r="CI587" s="2" t="s">
        <v>1238</v>
      </c>
      <c r="CJ587" s="2" t="s">
        <v>1803</v>
      </c>
      <c r="CK587" s="2" t="s">
        <v>3351</v>
      </c>
      <c r="CL587" s="2" t="s">
        <v>3545</v>
      </c>
      <c r="CM587" s="39">
        <v>2</v>
      </c>
      <c r="CN587" s="2" t="str">
        <f t="shared" si="57"/>
        <v>TADigital NA Consulting | Content &amp; SEO - Associate Web Content Analyst</v>
      </c>
      <c r="CO587" s="2" t="str">
        <f t="shared" si="55"/>
        <v>TADigital India Consulting | Cloud &amp; Engineering - L2 / B1-B3 | Associate Engineer</v>
      </c>
      <c r="CP587" s="1579">
        <v>0</v>
      </c>
      <c r="CQ587" s="1579">
        <v>0</v>
      </c>
      <c r="CR587" s="1579">
        <v>35</v>
      </c>
      <c r="CS587" s="1579">
        <f t="shared" si="52"/>
        <v>10.66</v>
      </c>
      <c r="CT587" s="1579">
        <v>13</v>
      </c>
      <c r="CU587" s="2">
        <f t="shared" si="58"/>
        <v>13</v>
      </c>
      <c r="CV587" s="2" t="str">
        <f t="shared" si="56"/>
        <v>Content &amp; SEO - Associate Web Content Analyst</v>
      </c>
      <c r="CW587" s="2" t="str">
        <f>_xlfn.XLOOKUP(CL587,'[1]Rates &amp; Drop Downs INT'!D$373:D$430,'[1]Rates &amp; Drop Downs INT'!C$373:C$430,"X",1)</f>
        <v>Cloud &amp; Engineering - 2 | Associate Engineer</v>
      </c>
    </row>
    <row r="588" spans="85:101" ht="13.05" customHeight="1" x14ac:dyDescent="0.25">
      <c r="CG588" s="2" t="s">
        <v>276</v>
      </c>
      <c r="CH588" s="2" t="s">
        <v>276</v>
      </c>
      <c r="CI588" s="2" t="s">
        <v>1238</v>
      </c>
      <c r="CJ588" s="2" t="s">
        <v>1803</v>
      </c>
      <c r="CK588" s="2" t="s">
        <v>3365</v>
      </c>
      <c r="CL588" s="2" t="s">
        <v>3561</v>
      </c>
      <c r="CM588" s="39">
        <v>2</v>
      </c>
      <c r="CN588" s="2" t="str">
        <f t="shared" si="57"/>
        <v>TADigital NA Consulting | Content &amp; SEO - Associate Web Content Analyst</v>
      </c>
      <c r="CO588" s="2" t="str">
        <f t="shared" si="55"/>
        <v>TADigital India Consulting | Cloud &amp; Engineering - L2 / B1-B3 | Associate Engineer</v>
      </c>
      <c r="CP588" s="1579">
        <v>0</v>
      </c>
      <c r="CQ588" s="1579">
        <v>0</v>
      </c>
      <c r="CR588" s="1579">
        <v>35</v>
      </c>
      <c r="CS588" s="1579">
        <f t="shared" si="52"/>
        <v>10.66</v>
      </c>
      <c r="CT588" s="1579">
        <v>13</v>
      </c>
      <c r="CU588" s="2">
        <f t="shared" si="58"/>
        <v>13</v>
      </c>
      <c r="CV588" s="2" t="str">
        <f t="shared" si="56"/>
        <v>Content &amp; SEO - Associate Web Content Analyst</v>
      </c>
      <c r="CW588" s="2" t="str">
        <f>_xlfn.XLOOKUP(CL588,'[1]Rates &amp; Drop Downs INT'!D$373:D$430,'[1]Rates &amp; Drop Downs INT'!C$373:C$430,"X",1)</f>
        <v>Cloud &amp; Engineering - 2 | Associate Engineer</v>
      </c>
    </row>
    <row r="589" spans="85:101" ht="13.05" customHeight="1" x14ac:dyDescent="0.25">
      <c r="CG589" s="2" t="s">
        <v>276</v>
      </c>
      <c r="CH589" s="2" t="s">
        <v>276</v>
      </c>
      <c r="CI589" s="2" t="s">
        <v>1238</v>
      </c>
      <c r="CJ589" s="2" t="s">
        <v>1803</v>
      </c>
      <c r="CK589" s="2" t="s">
        <v>720</v>
      </c>
      <c r="CL589" s="2" t="s">
        <v>3546</v>
      </c>
      <c r="CM589" s="39">
        <v>5</v>
      </c>
      <c r="CN589" s="2" t="str">
        <f t="shared" si="57"/>
        <v>TADigital NA | Management - Associate Practice Director</v>
      </c>
      <c r="CO589" s="2" t="str">
        <f t="shared" si="55"/>
        <v>TADigital India Consulting | Cloud &amp; Engineering - L2 / B1-B3 | Associate Engineer</v>
      </c>
      <c r="CP589" s="1579">
        <v>290</v>
      </c>
      <c r="CQ589" s="1579">
        <v>140</v>
      </c>
      <c r="CR589" s="1579">
        <v>105</v>
      </c>
      <c r="CS589" s="1579">
        <f t="shared" si="52"/>
        <v>45.1</v>
      </c>
      <c r="CT589" s="1579">
        <v>55</v>
      </c>
      <c r="CU589" s="2">
        <f t="shared" si="58"/>
        <v>13</v>
      </c>
      <c r="CV589" s="2" t="str">
        <f t="shared" si="56"/>
        <v>Management - Associate Practice Director</v>
      </c>
      <c r="CW589" s="2" t="str">
        <f>_xlfn.XLOOKUP(CL589,'[1]Rates &amp; Drop Downs INT'!D$373:D$430,'[1]Rates &amp; Drop Downs INT'!C$373:C$430,"X",1)</f>
        <v>Cloud &amp; Engineering - 2 | Associate Engineer</v>
      </c>
    </row>
    <row r="590" spans="85:101" ht="13.05" customHeight="1" x14ac:dyDescent="0.25">
      <c r="CG590" s="2" t="s">
        <v>276</v>
      </c>
      <c r="CH590" s="2" t="s">
        <v>276</v>
      </c>
      <c r="CI590" s="2" t="s">
        <v>1238</v>
      </c>
      <c r="CJ590" s="2" t="s">
        <v>1803</v>
      </c>
      <c r="CK590" s="2" t="s">
        <v>3366</v>
      </c>
      <c r="CL590" s="2" t="s">
        <v>3564</v>
      </c>
      <c r="CM590" s="39">
        <v>2</v>
      </c>
      <c r="CN590" s="2" t="str">
        <f t="shared" si="57"/>
        <v>TADigital NA Consulting - Project Manager / Product Manager</v>
      </c>
      <c r="CO590" s="2" t="str">
        <f t="shared" si="55"/>
        <v>TADigital India Consulting | Cloud &amp; Engineering - L2 / B1-B3 | Associate Engineer</v>
      </c>
      <c r="CP590" s="1579">
        <v>190</v>
      </c>
      <c r="CQ590" s="1579">
        <v>107.5</v>
      </c>
      <c r="CR590" s="1579">
        <v>55</v>
      </c>
      <c r="CS590" s="1579">
        <f t="shared" si="52"/>
        <v>14.760000000000002</v>
      </c>
      <c r="CT590" s="1579">
        <v>18</v>
      </c>
      <c r="CU590" s="2">
        <f t="shared" si="58"/>
        <v>13</v>
      </c>
      <c r="CV590" s="2" t="str">
        <f t="shared" si="56"/>
        <v>Project Manager / Product Manager</v>
      </c>
      <c r="CW590" s="2" t="str">
        <f>_xlfn.XLOOKUP(CL590,'[1]Rates &amp; Drop Downs INT'!D$373:D$430,'[1]Rates &amp; Drop Downs INT'!C$373:C$430,"X",1)</f>
        <v>Cloud &amp; Engineering - 2 | Associate Engineer</v>
      </c>
    </row>
    <row r="591" spans="85:101" ht="13.05" customHeight="1" x14ac:dyDescent="0.25">
      <c r="CG591" s="2" t="s">
        <v>276</v>
      </c>
      <c r="CH591" s="2" t="s">
        <v>276</v>
      </c>
      <c r="CI591" s="2" t="s">
        <v>1238</v>
      </c>
      <c r="CJ591" s="2" t="s">
        <v>1803</v>
      </c>
      <c r="CK591" s="2" t="s">
        <v>532</v>
      </c>
      <c r="CL591" s="2" t="s">
        <v>3547</v>
      </c>
      <c r="CM591" s="39">
        <v>2</v>
      </c>
      <c r="CN591" s="2" t="str">
        <f t="shared" si="57"/>
        <v>TADigital NA Consulting | Content &amp; SEO - Associate Content Strategist</v>
      </c>
      <c r="CO591" s="2" t="str">
        <f t="shared" si="55"/>
        <v>TADigital India Consulting | Cloud &amp; Engineering - L2 / B1-B3 | Associate Engineer</v>
      </c>
      <c r="CP591" s="1579">
        <v>160</v>
      </c>
      <c r="CQ591" s="1579">
        <v>80</v>
      </c>
      <c r="CR591" s="1579">
        <v>55</v>
      </c>
      <c r="CS591" s="1579">
        <f t="shared" si="52"/>
        <v>14.760000000000002</v>
      </c>
      <c r="CT591" s="1579">
        <v>18</v>
      </c>
      <c r="CU591" s="2">
        <f t="shared" si="58"/>
        <v>13</v>
      </c>
      <c r="CV591" s="2" t="str">
        <f t="shared" si="56"/>
        <v>Content &amp; SEO - Associate Content Strategist</v>
      </c>
      <c r="CW591" s="2" t="str">
        <f>_xlfn.XLOOKUP(CL591,'[1]Rates &amp; Drop Downs INT'!D$373:D$430,'[1]Rates &amp; Drop Downs INT'!C$373:C$430,"X",1)</f>
        <v>Cloud &amp; Engineering - 2 | Associate Engineer</v>
      </c>
    </row>
    <row r="592" spans="85:101" ht="13.05" customHeight="1" x14ac:dyDescent="0.25">
      <c r="CG592" s="2" t="s">
        <v>276</v>
      </c>
      <c r="CH592" s="2" t="s">
        <v>276</v>
      </c>
      <c r="CI592" s="2" t="s">
        <v>1238</v>
      </c>
      <c r="CJ592" s="2" t="s">
        <v>1803</v>
      </c>
      <c r="CK592" s="2" t="s">
        <v>584</v>
      </c>
      <c r="CL592" s="2" t="s">
        <v>3561</v>
      </c>
      <c r="CM592" s="39">
        <v>2</v>
      </c>
      <c r="CN592" s="2" t="str">
        <f t="shared" si="57"/>
        <v>TADigital NA Digital - DevOps Engineer</v>
      </c>
      <c r="CO592" s="2" t="str">
        <f t="shared" si="55"/>
        <v>TADigital India Consulting | Cloud &amp; Engineering - L2 / B1-B3 | Associate Engineer</v>
      </c>
      <c r="CP592" s="1579">
        <v>130</v>
      </c>
      <c r="CQ592" s="1579">
        <v>75</v>
      </c>
      <c r="CR592" s="1579">
        <v>50</v>
      </c>
      <c r="CS592" s="1579">
        <f t="shared" si="52"/>
        <v>10.66</v>
      </c>
      <c r="CT592" s="1579">
        <v>13</v>
      </c>
      <c r="CU592" s="2">
        <f t="shared" si="58"/>
        <v>13</v>
      </c>
      <c r="CV592" s="2" t="str">
        <f t="shared" si="56"/>
        <v>DevOps Engineer</v>
      </c>
      <c r="CW592" s="2" t="str">
        <f>_xlfn.XLOOKUP(CL592,'[1]Rates &amp; Drop Downs INT'!D$373:D$430,'[1]Rates &amp; Drop Downs INT'!C$373:C$430,"X",1)</f>
        <v>Cloud &amp; Engineering - 2 | Associate Engineer</v>
      </c>
    </row>
    <row r="593" spans="85:101" ht="13.05" customHeight="1" x14ac:dyDescent="0.25">
      <c r="CG593" s="2" t="s">
        <v>276</v>
      </c>
      <c r="CH593" s="2" t="s">
        <v>276</v>
      </c>
      <c r="CI593" s="2" t="s">
        <v>1238</v>
      </c>
      <c r="CJ593" s="2" t="s">
        <v>1803</v>
      </c>
      <c r="CK593" s="2" t="s">
        <v>590</v>
      </c>
      <c r="CL593" s="2" t="s">
        <v>3549</v>
      </c>
      <c r="CM593" s="39">
        <v>4</v>
      </c>
      <c r="CN593" s="2" t="str">
        <f t="shared" si="57"/>
        <v>TADigital NA Consulting | Strategy - Associate Digital Strategist</v>
      </c>
      <c r="CO593" s="2" t="str">
        <f t="shared" si="55"/>
        <v>TADigital India Consulting | Cloud &amp; Engineering - L2 / B1-B3 | Associate Engineer</v>
      </c>
      <c r="CP593" s="1579">
        <v>200</v>
      </c>
      <c r="CQ593" s="1579">
        <v>115</v>
      </c>
      <c r="CR593" s="1579">
        <v>85</v>
      </c>
      <c r="CS593" s="1579">
        <f t="shared" si="52"/>
        <v>24.6</v>
      </c>
      <c r="CT593" s="1579">
        <v>30</v>
      </c>
      <c r="CU593" s="2">
        <f t="shared" si="58"/>
        <v>13</v>
      </c>
      <c r="CV593" s="2" t="str">
        <f t="shared" si="56"/>
        <v>Strategy - Associate Digital Strategist</v>
      </c>
      <c r="CW593" s="2" t="str">
        <f>_xlfn.XLOOKUP(CL593,'[1]Rates &amp; Drop Downs INT'!D$373:D$430,'[1]Rates &amp; Drop Downs INT'!C$373:C$430,"X",1)</f>
        <v>Cloud &amp; Engineering - 2 | Associate Engineer</v>
      </c>
    </row>
    <row r="594" spans="85:101" ht="13.05" customHeight="1" x14ac:dyDescent="0.25">
      <c r="CG594" s="2" t="s">
        <v>276</v>
      </c>
      <c r="CH594" s="2" t="s">
        <v>276</v>
      </c>
      <c r="CI594" s="2" t="s">
        <v>1238</v>
      </c>
      <c r="CJ594" s="2" t="s">
        <v>1803</v>
      </c>
      <c r="CK594" s="2" t="s">
        <v>588</v>
      </c>
      <c r="CL594" s="2" t="s">
        <v>3563</v>
      </c>
      <c r="CM594" s="39">
        <v>3</v>
      </c>
      <c r="CN594" s="2" t="str">
        <f t="shared" si="57"/>
        <v>TADigital NA Consulting | Content &amp; SEO - Sr. Content Strategist</v>
      </c>
      <c r="CO594" s="2" t="str">
        <f t="shared" si="55"/>
        <v>TADigital India Consulting | Cloud &amp; Engineering - L2 / B1-B3 | Associate Engineer</v>
      </c>
      <c r="CP594" s="1579">
        <v>175</v>
      </c>
      <c r="CQ594" s="1579">
        <v>100</v>
      </c>
      <c r="CR594" s="1579">
        <v>75</v>
      </c>
      <c r="CS594" s="1579">
        <f t="shared" si="52"/>
        <v>24.6</v>
      </c>
      <c r="CT594" s="1579">
        <v>30</v>
      </c>
      <c r="CU594" s="2">
        <f t="shared" si="58"/>
        <v>13</v>
      </c>
      <c r="CV594" s="2" t="str">
        <f t="shared" si="56"/>
        <v>Content &amp; SEO - Sr. Content Strategist</v>
      </c>
      <c r="CW594" s="2" t="str">
        <f>_xlfn.XLOOKUP(CL594,'[1]Rates &amp; Drop Downs INT'!D$373:D$430,'[1]Rates &amp; Drop Downs INT'!C$373:C$430,"X",1)</f>
        <v>Cloud &amp; Engineering - 2 | Associate Engineer</v>
      </c>
    </row>
    <row r="595" spans="85:101" ht="13.05" customHeight="1" x14ac:dyDescent="0.25">
      <c r="CG595" s="2" t="s">
        <v>276</v>
      </c>
      <c r="CH595" s="2" t="s">
        <v>276</v>
      </c>
      <c r="CI595" s="2" t="s">
        <v>1238</v>
      </c>
      <c r="CJ595" s="2" t="s">
        <v>1803</v>
      </c>
      <c r="CK595" s="2" t="s">
        <v>542</v>
      </c>
      <c r="CL595" s="2" t="s">
        <v>3548</v>
      </c>
      <c r="CM595" s="39">
        <v>5</v>
      </c>
      <c r="CN595" s="2" t="str">
        <f t="shared" si="57"/>
        <v>TADigital NA | Management - Associate Practice Director</v>
      </c>
      <c r="CO595" s="2" t="str">
        <f t="shared" si="55"/>
        <v>TADigital India Consulting | Cloud &amp; Engineering - L2 / B1-B3 | Associate Engineer</v>
      </c>
      <c r="CP595" s="1579">
        <v>290</v>
      </c>
      <c r="CQ595" s="1579">
        <v>167.5</v>
      </c>
      <c r="CR595" s="1579">
        <v>125</v>
      </c>
      <c r="CS595" s="1579">
        <f t="shared" si="52"/>
        <v>51.250000000000007</v>
      </c>
      <c r="CT595" s="1579">
        <v>62.5</v>
      </c>
      <c r="CU595" s="2">
        <f t="shared" si="58"/>
        <v>13</v>
      </c>
      <c r="CV595" s="2" t="str">
        <f t="shared" si="56"/>
        <v>Management - Associate Practice Director</v>
      </c>
      <c r="CW595" s="2" t="str">
        <f>_xlfn.XLOOKUP(CL595,'[1]Rates &amp; Drop Downs INT'!D$373:D$430,'[1]Rates &amp; Drop Downs INT'!C$373:C$430,"X",1)</f>
        <v>Cloud &amp; Engineering - 2 | Associate Engineer</v>
      </c>
    </row>
    <row r="596" spans="85:101" ht="13.05" customHeight="1" x14ac:dyDescent="0.25">
      <c r="CG596" s="2" t="s">
        <v>276</v>
      </c>
      <c r="CH596" s="2" t="s">
        <v>276</v>
      </c>
      <c r="CI596" s="2" t="s">
        <v>1238</v>
      </c>
      <c r="CJ596" s="2" t="s">
        <v>1803</v>
      </c>
      <c r="CK596" s="2" t="s">
        <v>3352</v>
      </c>
      <c r="CL596" s="2" t="s">
        <v>3549</v>
      </c>
      <c r="CM596" s="39">
        <v>5</v>
      </c>
      <c r="CN596" s="2" t="str">
        <f t="shared" si="57"/>
        <v>TADigital NA | Management - Practice Director / Delivery Director</v>
      </c>
      <c r="CO596" s="2" t="str">
        <f t="shared" si="55"/>
        <v>TADigital India Consulting | Cloud &amp; Engineering - L2 / B1-B3 | Associate Engineer</v>
      </c>
      <c r="CP596" s="1579">
        <v>315</v>
      </c>
      <c r="CQ596" s="1579">
        <v>165</v>
      </c>
      <c r="CR596" s="1579">
        <v>115</v>
      </c>
      <c r="CS596" s="1579">
        <f t="shared" si="52"/>
        <v>45.1</v>
      </c>
      <c r="CT596" s="1579">
        <v>55</v>
      </c>
      <c r="CU596" s="2">
        <f t="shared" si="58"/>
        <v>13</v>
      </c>
      <c r="CV596" s="2" t="str">
        <f t="shared" si="56"/>
        <v>Management - Practice Director / Delivery Director</v>
      </c>
      <c r="CW596" s="2" t="str">
        <f>_xlfn.XLOOKUP(CL596,'[1]Rates &amp; Drop Downs INT'!D$373:D$430,'[1]Rates &amp; Drop Downs INT'!C$373:C$430,"X",1)</f>
        <v>Cloud &amp; Engineering - 2 | Associate Engineer</v>
      </c>
    </row>
    <row r="597" spans="85:101" ht="13.05" customHeight="1" x14ac:dyDescent="0.25">
      <c r="CG597" s="2" t="s">
        <v>276</v>
      </c>
      <c r="CH597" s="2" t="s">
        <v>276</v>
      </c>
      <c r="CI597" s="2" t="s">
        <v>1238</v>
      </c>
      <c r="CJ597" s="2" t="s">
        <v>1803</v>
      </c>
      <c r="CK597" s="2" t="s">
        <v>446</v>
      </c>
      <c r="CL597" s="2" t="s">
        <v>3546</v>
      </c>
      <c r="CM597" s="39">
        <v>4</v>
      </c>
      <c r="CN597" s="2" t="str">
        <f t="shared" si="57"/>
        <v>TADigital NA Consulting - Sr. Project Manager</v>
      </c>
      <c r="CO597" s="2" t="str">
        <f t="shared" si="55"/>
        <v>TADigital India Consulting | Cloud &amp; Engineering - L2 / B1-B3 | Associate Engineer</v>
      </c>
      <c r="CP597" s="1579">
        <v>235</v>
      </c>
      <c r="CQ597" s="1579">
        <v>130</v>
      </c>
      <c r="CR597" s="1579">
        <v>80</v>
      </c>
      <c r="CS597" s="1579">
        <f t="shared" si="52"/>
        <v>38.950000000000003</v>
      </c>
      <c r="CT597" s="1579">
        <v>47.5</v>
      </c>
      <c r="CU597" s="2">
        <f t="shared" si="58"/>
        <v>13</v>
      </c>
      <c r="CV597" s="2" t="str">
        <f t="shared" si="56"/>
        <v>Sr. Project Manager</v>
      </c>
      <c r="CW597" s="2" t="str">
        <f>_xlfn.XLOOKUP(CL597,'[1]Rates &amp; Drop Downs INT'!D$373:D$430,'[1]Rates &amp; Drop Downs INT'!C$373:C$430,"X",1)</f>
        <v>Cloud &amp; Engineering - 2 | Associate Engineer</v>
      </c>
    </row>
    <row r="598" spans="85:101" ht="13.05" customHeight="1" x14ac:dyDescent="0.25">
      <c r="CG598" s="2" t="s">
        <v>276</v>
      </c>
      <c r="CH598" s="2" t="s">
        <v>276</v>
      </c>
      <c r="CI598" s="2" t="s">
        <v>1238</v>
      </c>
      <c r="CJ598" s="2" t="s">
        <v>1803</v>
      </c>
      <c r="CK598" s="2" t="s">
        <v>3353</v>
      </c>
      <c r="CL598" s="2" t="s">
        <v>3549</v>
      </c>
      <c r="CM598" s="39">
        <v>6</v>
      </c>
      <c r="CN598" s="2" t="str">
        <f t="shared" si="57"/>
        <v>TADigital NA | Management - Practice VP / Delivery VP</v>
      </c>
      <c r="CO598" s="2" t="str">
        <f t="shared" si="55"/>
        <v>TADigital India Consulting | Cloud &amp; Engineering - L2 / B1-B3 | Associate Engineer</v>
      </c>
      <c r="CP598" s="1579">
        <v>370</v>
      </c>
      <c r="CQ598" s="1579">
        <v>172.5</v>
      </c>
      <c r="CR598" s="1579">
        <v>135</v>
      </c>
      <c r="CS598" s="1579">
        <f t="shared" si="52"/>
        <v>51.250000000000007</v>
      </c>
      <c r="CT598" s="1579">
        <v>62.5</v>
      </c>
      <c r="CU598" s="2">
        <f t="shared" si="58"/>
        <v>13</v>
      </c>
      <c r="CV598" s="2" t="str">
        <f t="shared" si="56"/>
        <v>Management - Practice VP / Delivery VP</v>
      </c>
      <c r="CW598" s="2" t="str">
        <f>_xlfn.XLOOKUP(CL598,'[1]Rates &amp; Drop Downs INT'!D$373:D$430,'[1]Rates &amp; Drop Downs INT'!C$373:C$430,"X",1)</f>
        <v>Cloud &amp; Engineering - 2 | Associate Engineer</v>
      </c>
    </row>
    <row r="599" spans="85:101" ht="13.05" customHeight="1" x14ac:dyDescent="0.25">
      <c r="CG599" s="2" t="s">
        <v>276</v>
      </c>
      <c r="CH599" s="2" t="s">
        <v>276</v>
      </c>
      <c r="CI599" s="2" t="s">
        <v>1238</v>
      </c>
      <c r="CJ599" s="2" t="s">
        <v>1803</v>
      </c>
      <c r="CK599" s="2" t="s">
        <v>534</v>
      </c>
      <c r="CL599" s="2" t="s">
        <v>3550</v>
      </c>
      <c r="CM599" s="39">
        <v>2</v>
      </c>
      <c r="CN599" s="2" t="str">
        <f t="shared" si="57"/>
        <v>TADigital NA Consulting | Content &amp; SEO - Content Strategist</v>
      </c>
      <c r="CO599" s="2" t="str">
        <f t="shared" si="55"/>
        <v>TADigital India Consulting | Cloud &amp; Engineering - L2 / B1-B3 | Associate Engineer</v>
      </c>
      <c r="CP599" s="1579">
        <v>170</v>
      </c>
      <c r="CQ599" s="1579">
        <v>82.5</v>
      </c>
      <c r="CR599" s="1579">
        <v>65</v>
      </c>
      <c r="CS599" s="1579">
        <f t="shared" si="52"/>
        <v>18.450000000000003</v>
      </c>
      <c r="CT599" s="1579">
        <v>22.5</v>
      </c>
      <c r="CU599" s="2">
        <f t="shared" si="58"/>
        <v>13</v>
      </c>
      <c r="CV599" s="2" t="str">
        <f t="shared" si="56"/>
        <v>Content &amp; SEO - Content Strategist</v>
      </c>
      <c r="CW599" s="2" t="str">
        <f>_xlfn.XLOOKUP(CL599,'[1]Rates &amp; Drop Downs INT'!D$373:D$430,'[1]Rates &amp; Drop Downs INT'!C$373:C$430,"X",1)</f>
        <v>Cloud &amp; Engineering - 2 | Associate Engineer</v>
      </c>
    </row>
    <row r="600" spans="85:101" ht="13.05" customHeight="1" x14ac:dyDescent="0.25">
      <c r="CG600" s="2" t="s">
        <v>276</v>
      </c>
      <c r="CH600" s="2" t="s">
        <v>276</v>
      </c>
      <c r="CI600" s="2" t="s">
        <v>1238</v>
      </c>
      <c r="CJ600" s="2" t="s">
        <v>1803</v>
      </c>
      <c r="CK600" s="2" t="s">
        <v>586</v>
      </c>
      <c r="CL600" s="2" t="s">
        <v>3562</v>
      </c>
      <c r="CM600" s="39">
        <v>2</v>
      </c>
      <c r="CN600" s="2" t="str">
        <f t="shared" si="57"/>
        <v>TADigital NA Consulting | Content &amp; SEO - Associate Content Strategist</v>
      </c>
      <c r="CO600" s="2" t="str">
        <f t="shared" si="55"/>
        <v>TADigital India Consulting | Cloud &amp; Engineering - L2 / B1-B3 | Associate Engineer</v>
      </c>
      <c r="CP600" s="1579">
        <v>150</v>
      </c>
      <c r="CQ600" s="1579">
        <v>85</v>
      </c>
      <c r="CR600" s="1579">
        <v>60</v>
      </c>
      <c r="CS600" s="1579">
        <f t="shared" si="52"/>
        <v>20.5</v>
      </c>
      <c r="CT600" s="1579">
        <v>25</v>
      </c>
      <c r="CU600" s="2">
        <f t="shared" si="58"/>
        <v>13</v>
      </c>
      <c r="CV600" s="2" t="str">
        <f t="shared" si="56"/>
        <v>Content &amp; SEO - Associate Content Strategist</v>
      </c>
      <c r="CW600" s="2" t="str">
        <f>_xlfn.XLOOKUP(CL600,'[1]Rates &amp; Drop Downs INT'!D$373:D$430,'[1]Rates &amp; Drop Downs INT'!C$373:C$430,"X",1)</f>
        <v>Cloud &amp; Engineering - 2 | Associate Engineer</v>
      </c>
    </row>
    <row r="601" spans="85:101" ht="13.05" customHeight="1" x14ac:dyDescent="0.25">
      <c r="CG601" s="2" t="s">
        <v>276</v>
      </c>
      <c r="CH601" s="2" t="s">
        <v>276</v>
      </c>
      <c r="CI601" s="2" t="s">
        <v>1238</v>
      </c>
      <c r="CJ601" s="2" t="s">
        <v>1803</v>
      </c>
      <c r="CK601" s="2" t="s">
        <v>3354</v>
      </c>
      <c r="CL601" s="2" t="s">
        <v>3549</v>
      </c>
      <c r="CM601" s="39">
        <v>5</v>
      </c>
      <c r="CN601" s="2" t="str">
        <f t="shared" si="57"/>
        <v>TADigital NA | Management - Sr. Practice Director / Sr. Delivery Director</v>
      </c>
      <c r="CO601" s="2" t="str">
        <f t="shared" si="55"/>
        <v>TADigital India Consulting | Cloud &amp; Engineering - L2 / B1-B3 | Associate Engineer</v>
      </c>
      <c r="CP601" s="1579">
        <v>340</v>
      </c>
      <c r="CQ601" s="1579">
        <v>170</v>
      </c>
      <c r="CR601" s="1579">
        <v>125</v>
      </c>
      <c r="CS601" s="1579">
        <f t="shared" si="52"/>
        <v>49.2</v>
      </c>
      <c r="CT601" s="1579">
        <v>60</v>
      </c>
      <c r="CU601" s="2">
        <f t="shared" si="58"/>
        <v>13</v>
      </c>
      <c r="CV601" s="2" t="str">
        <f t="shared" si="56"/>
        <v>Management - Sr. Practice Director / Sr. Delivery Director</v>
      </c>
      <c r="CW601" s="2" t="str">
        <f>_xlfn.XLOOKUP(CL601,'[1]Rates &amp; Drop Downs INT'!D$373:D$430,'[1]Rates &amp; Drop Downs INT'!C$373:C$430,"X",1)</f>
        <v>Cloud &amp; Engineering - 2 | Associate Engineer</v>
      </c>
    </row>
    <row r="602" spans="85:101" ht="13.05" customHeight="1" x14ac:dyDescent="0.25">
      <c r="CG602" s="2" t="s">
        <v>276</v>
      </c>
      <c r="CH602" s="2" t="s">
        <v>276</v>
      </c>
      <c r="CI602" s="2" t="s">
        <v>1238</v>
      </c>
      <c r="CJ602" s="2" t="s">
        <v>1803</v>
      </c>
      <c r="CK602" s="2" t="s">
        <v>448</v>
      </c>
      <c r="CL602" s="2" t="s">
        <v>3546</v>
      </c>
      <c r="CM602" s="39">
        <v>5</v>
      </c>
      <c r="CN602" s="2" t="str">
        <f t="shared" si="57"/>
        <v>TADigital NA Consulting - Delivery Manager</v>
      </c>
      <c r="CO602" s="2" t="str">
        <f t="shared" si="55"/>
        <v>TADigital India Consulting | Cloud &amp; Engineering - L2 / B1-B3 | Associate Engineer</v>
      </c>
      <c r="CP602" s="1579">
        <v>265</v>
      </c>
      <c r="CQ602" s="1579">
        <v>137.5</v>
      </c>
      <c r="CR602" s="1579">
        <v>90</v>
      </c>
      <c r="CS602" s="1579">
        <f t="shared" si="52"/>
        <v>38.950000000000003</v>
      </c>
      <c r="CT602" s="1579">
        <v>47.5</v>
      </c>
      <c r="CU602" s="2">
        <f t="shared" si="58"/>
        <v>13</v>
      </c>
      <c r="CV602" s="2" t="str">
        <f t="shared" si="56"/>
        <v>Delivery Manager</v>
      </c>
      <c r="CW602" s="2" t="str">
        <f>_xlfn.XLOOKUP(CL602,'[1]Rates &amp; Drop Downs INT'!D$373:D$430,'[1]Rates &amp; Drop Downs INT'!C$373:C$430,"X",1)</f>
        <v>Cloud &amp; Engineering - 2 | Associate Engineer</v>
      </c>
    </row>
    <row r="603" spans="85:101" ht="13.05" customHeight="1" x14ac:dyDescent="0.25">
      <c r="CG603" s="2" t="s">
        <v>276</v>
      </c>
      <c r="CH603" s="2" t="s">
        <v>276</v>
      </c>
      <c r="CI603" s="2" t="s">
        <v>1238</v>
      </c>
      <c r="CJ603" s="2" t="s">
        <v>1803</v>
      </c>
      <c r="CK603" s="2" t="s">
        <v>3367</v>
      </c>
      <c r="CL603" s="2" t="s">
        <v>3565</v>
      </c>
      <c r="CM603" s="39">
        <v>3</v>
      </c>
      <c r="CN603" s="2" t="str">
        <f t="shared" si="57"/>
        <v>TADigital NA Consulting | Strategy - Associate Digital Strategist</v>
      </c>
      <c r="CO603" s="2" t="str">
        <f t="shared" si="55"/>
        <v>TADigital India Consulting | Cloud &amp; Engineering - L2 / B1-B3 | Associate Engineer</v>
      </c>
      <c r="CP603" s="1579">
        <v>200</v>
      </c>
      <c r="CQ603" s="1579">
        <v>115</v>
      </c>
      <c r="CR603" s="1579">
        <v>65</v>
      </c>
      <c r="CS603" s="1579">
        <f t="shared" ref="CS603:CS666" si="59">CT603*(1-0.18)</f>
        <v>18.450000000000003</v>
      </c>
      <c r="CT603" s="1579">
        <v>22.5</v>
      </c>
      <c r="CU603" s="2">
        <f t="shared" si="58"/>
        <v>13</v>
      </c>
      <c r="CV603" s="2" t="str">
        <f t="shared" si="56"/>
        <v>Strategy - Associate Digital Strategist</v>
      </c>
      <c r="CW603" s="2" t="str">
        <f>_xlfn.XLOOKUP(CL603,'[1]Rates &amp; Drop Downs INT'!D$373:D$430,'[1]Rates &amp; Drop Downs INT'!C$373:C$430,"X",1)</f>
        <v>Cloud &amp; Engineering - 2 | Associate Engineer</v>
      </c>
    </row>
    <row r="604" spans="85:101" ht="13.05" customHeight="1" x14ac:dyDescent="0.25">
      <c r="CG604" s="2" t="s">
        <v>276</v>
      </c>
      <c r="CH604" s="2" t="s">
        <v>276</v>
      </c>
      <c r="CI604" s="2" t="s">
        <v>1238</v>
      </c>
      <c r="CJ604" s="2" t="s">
        <v>1803</v>
      </c>
      <c r="CK604" s="2" t="s">
        <v>540</v>
      </c>
      <c r="CL604" s="2" t="s">
        <v>538</v>
      </c>
      <c r="CM604" s="39">
        <v>5</v>
      </c>
      <c r="CN604" s="2" t="str">
        <f t="shared" si="57"/>
        <v>TADigital NA Digital - Sr. Technical Architect</v>
      </c>
      <c r="CO604" s="2" t="str">
        <f t="shared" si="55"/>
        <v>TADigital India Consulting | Cloud &amp; Engineering - L2 / B1-B3 | Associate Engineer</v>
      </c>
      <c r="CP604" s="1579">
        <v>275</v>
      </c>
      <c r="CQ604" s="1579">
        <v>155</v>
      </c>
      <c r="CR604" s="1579">
        <v>105</v>
      </c>
      <c r="CS604" s="1579">
        <f t="shared" si="59"/>
        <v>36.900000000000006</v>
      </c>
      <c r="CT604" s="1579">
        <v>45</v>
      </c>
      <c r="CU604" s="2">
        <f t="shared" si="58"/>
        <v>13</v>
      </c>
      <c r="CV604" s="2" t="str">
        <f t="shared" si="56"/>
        <v>Sr. Technical Architect</v>
      </c>
      <c r="CW604" s="2" t="str">
        <f>_xlfn.XLOOKUP(CL604,'[1]Rates &amp; Drop Downs INT'!D$373:D$430,'[1]Rates &amp; Drop Downs INT'!C$373:C$430,"X",1)</f>
        <v>Cloud &amp; Engineering - 2 | Associate Engineer</v>
      </c>
    </row>
    <row r="605" spans="85:101" ht="13.05" customHeight="1" x14ac:dyDescent="0.25">
      <c r="CG605" s="2" t="s">
        <v>276</v>
      </c>
      <c r="CH605" s="2" t="s">
        <v>276</v>
      </c>
      <c r="CI605" s="2" t="s">
        <v>1238</v>
      </c>
      <c r="CJ605" s="2" t="s">
        <v>1803</v>
      </c>
      <c r="CK605" s="2" t="s">
        <v>3368</v>
      </c>
      <c r="CL605" s="2" t="s">
        <v>3564</v>
      </c>
      <c r="CM605" s="39">
        <v>2</v>
      </c>
      <c r="CN605" s="2" t="str">
        <f t="shared" si="57"/>
        <v>TADigital NA Digital - BA Lead</v>
      </c>
      <c r="CO605" s="2" t="str">
        <f t="shared" si="55"/>
        <v>TADigital India Consulting | Cloud &amp; Engineering - L2 / B1-B3 | Associate Engineer</v>
      </c>
      <c r="CP605" s="1579">
        <v>195</v>
      </c>
      <c r="CQ605" s="1579">
        <v>110</v>
      </c>
      <c r="CR605" s="1579">
        <v>60</v>
      </c>
      <c r="CS605" s="1579">
        <f t="shared" si="59"/>
        <v>18.040000000000003</v>
      </c>
      <c r="CT605" s="1579">
        <v>22</v>
      </c>
      <c r="CU605" s="2">
        <f t="shared" si="58"/>
        <v>13</v>
      </c>
      <c r="CV605" s="2" t="str">
        <f t="shared" si="56"/>
        <v>BA Lead</v>
      </c>
      <c r="CW605" s="2" t="str">
        <f>_xlfn.XLOOKUP(CL605,'[1]Rates &amp; Drop Downs INT'!D$373:D$430,'[1]Rates &amp; Drop Downs INT'!C$373:C$430,"X",1)</f>
        <v>Cloud &amp; Engineering - 2 | Associate Engineer</v>
      </c>
    </row>
    <row r="606" spans="85:101" ht="13.05" customHeight="1" x14ac:dyDescent="0.25">
      <c r="CG606" s="2" t="s">
        <v>276</v>
      </c>
      <c r="CH606" s="2" t="s">
        <v>276</v>
      </c>
      <c r="CI606" s="2" t="s">
        <v>1238</v>
      </c>
      <c r="CJ606" s="2" t="s">
        <v>1803</v>
      </c>
      <c r="CK606" s="2" t="s">
        <v>538</v>
      </c>
      <c r="CL606" s="2" t="s">
        <v>538</v>
      </c>
      <c r="CM606" s="39">
        <v>4</v>
      </c>
      <c r="CN606" s="2" t="str">
        <f t="shared" si="57"/>
        <v>TADigital NA Consulting - Sr. Project Manager</v>
      </c>
      <c r="CO606" s="2" t="str">
        <f t="shared" si="55"/>
        <v>TADigital India Consulting | Cloud &amp; Engineering - L2 / B1-B3 | Associate Engineer</v>
      </c>
      <c r="CP606" s="1579">
        <v>235</v>
      </c>
      <c r="CQ606" s="1579">
        <v>132.5</v>
      </c>
      <c r="CR606" s="1579">
        <v>95</v>
      </c>
      <c r="CS606" s="1579">
        <f t="shared" si="59"/>
        <v>32.800000000000004</v>
      </c>
      <c r="CT606" s="1579">
        <v>40</v>
      </c>
      <c r="CU606" s="2">
        <f t="shared" si="58"/>
        <v>13</v>
      </c>
      <c r="CV606" s="2" t="str">
        <f t="shared" si="56"/>
        <v>Sr. Project Manager</v>
      </c>
      <c r="CW606" s="2" t="str">
        <f>_xlfn.XLOOKUP(CL606,'[1]Rates &amp; Drop Downs INT'!D$373:D$430,'[1]Rates &amp; Drop Downs INT'!C$373:C$430,"X",1)</f>
        <v>Cloud &amp; Engineering - 2 | Associate Engineer</v>
      </c>
    </row>
    <row r="607" spans="85:101" ht="13.05" customHeight="1" x14ac:dyDescent="0.25">
      <c r="CG607" s="2" t="s">
        <v>276</v>
      </c>
      <c r="CH607" s="2" t="s">
        <v>276</v>
      </c>
      <c r="CI607" s="2" t="s">
        <v>1238</v>
      </c>
      <c r="CJ607" s="2" t="s">
        <v>1803</v>
      </c>
      <c r="CK607" s="2" t="s">
        <v>536</v>
      </c>
      <c r="CL607" s="2" t="s">
        <v>536</v>
      </c>
      <c r="CM607" s="39">
        <v>3</v>
      </c>
      <c r="CN607" s="2" t="str">
        <f t="shared" si="57"/>
        <v>TADigital NA Digital - Technical Lead</v>
      </c>
      <c r="CO607" s="2" t="str">
        <f t="shared" si="55"/>
        <v>TADigital India Consulting | Cloud &amp; Engineering - L2 / B1-B3 | Associate Engineer</v>
      </c>
      <c r="CP607" s="1579">
        <v>185</v>
      </c>
      <c r="CQ607" s="1579">
        <v>90</v>
      </c>
      <c r="CR607" s="1579">
        <v>85</v>
      </c>
      <c r="CS607" s="1579">
        <f t="shared" si="59"/>
        <v>24.6</v>
      </c>
      <c r="CT607" s="1579">
        <v>30</v>
      </c>
      <c r="CU607" s="2">
        <f t="shared" si="58"/>
        <v>13</v>
      </c>
      <c r="CV607" s="2" t="str">
        <f t="shared" si="56"/>
        <v>Technical Lead</v>
      </c>
      <c r="CW607" s="2" t="str">
        <f>_xlfn.XLOOKUP(CL607,'[1]Rates &amp; Drop Downs INT'!D$373:D$430,'[1]Rates &amp; Drop Downs INT'!C$373:C$430,"X",1)</f>
        <v>Cloud &amp; Engineering - 2 | Associate Engineer</v>
      </c>
    </row>
    <row r="608" spans="85:101" ht="13.05" customHeight="1" x14ac:dyDescent="0.25">
      <c r="CG608" s="2" t="s">
        <v>276</v>
      </c>
      <c r="CH608" s="2" t="s">
        <v>276</v>
      </c>
      <c r="CI608" s="2" t="s">
        <v>1239</v>
      </c>
      <c r="CJ608" s="2" t="s">
        <v>1816</v>
      </c>
      <c r="CK608" s="2" t="s">
        <v>3351</v>
      </c>
      <c r="CL608" s="2" t="s">
        <v>3545</v>
      </c>
      <c r="CM608" s="39">
        <v>2</v>
      </c>
      <c r="CN608" s="2" t="str">
        <f t="shared" si="57"/>
        <v>TADigital NA Consulting | Content &amp; SEO - Associate Web Content Analyst</v>
      </c>
      <c r="CO608" s="2" t="str">
        <f t="shared" si="55"/>
        <v>TADigital India Consulting | Cloud &amp; Engineering - L2 / B1-B3 | Associate Engineer</v>
      </c>
      <c r="CP608" s="1579">
        <v>0</v>
      </c>
      <c r="CQ608" s="1579">
        <v>0</v>
      </c>
      <c r="CR608" s="1579">
        <v>35</v>
      </c>
      <c r="CS608" s="1579">
        <f t="shared" si="59"/>
        <v>10.66</v>
      </c>
      <c r="CT608" s="1579">
        <v>13</v>
      </c>
      <c r="CU608" s="2">
        <f t="shared" si="58"/>
        <v>13</v>
      </c>
      <c r="CV608" s="2" t="str">
        <f t="shared" si="56"/>
        <v>Content &amp; SEO - Associate Web Content Analyst</v>
      </c>
      <c r="CW608" s="2" t="str">
        <f>_xlfn.XLOOKUP(CL608,'[1]Rates &amp; Drop Downs INT'!D$373:D$430,'[1]Rates &amp; Drop Downs INT'!C$373:C$430,"X",1)</f>
        <v>Cloud &amp; Engineering - 2 | Associate Engineer</v>
      </c>
    </row>
    <row r="609" spans="85:101" ht="13.05" customHeight="1" x14ac:dyDescent="0.25">
      <c r="CG609" s="2" t="s">
        <v>276</v>
      </c>
      <c r="CH609" s="2" t="s">
        <v>276</v>
      </c>
      <c r="CI609" s="2" t="s">
        <v>1239</v>
      </c>
      <c r="CJ609" s="2" t="s">
        <v>1816</v>
      </c>
      <c r="CK609" s="2" t="s">
        <v>3365</v>
      </c>
      <c r="CL609" s="2" t="s">
        <v>3561</v>
      </c>
      <c r="CM609" s="39">
        <v>2</v>
      </c>
      <c r="CN609" s="2" t="str">
        <f t="shared" si="57"/>
        <v>TADigital NA Consulting | Content &amp; SEO - Associate Web Content Analyst</v>
      </c>
      <c r="CO609" s="2" t="str">
        <f t="shared" si="55"/>
        <v>TADigital India Consulting | Cloud &amp; Engineering - L2 / B1-B3 | Associate Engineer</v>
      </c>
      <c r="CP609" s="1579">
        <v>0</v>
      </c>
      <c r="CQ609" s="1579">
        <v>0</v>
      </c>
      <c r="CR609" s="1579">
        <v>35</v>
      </c>
      <c r="CS609" s="1579">
        <f t="shared" si="59"/>
        <v>10.66</v>
      </c>
      <c r="CT609" s="1579">
        <v>13</v>
      </c>
      <c r="CU609" s="2">
        <f t="shared" si="58"/>
        <v>13</v>
      </c>
      <c r="CV609" s="2" t="str">
        <f t="shared" si="56"/>
        <v>Content &amp; SEO - Associate Web Content Analyst</v>
      </c>
      <c r="CW609" s="2" t="str">
        <f>_xlfn.XLOOKUP(CL609,'[1]Rates &amp; Drop Downs INT'!D$373:D$430,'[1]Rates &amp; Drop Downs INT'!C$373:C$430,"X",1)</f>
        <v>Cloud &amp; Engineering - 2 | Associate Engineer</v>
      </c>
    </row>
    <row r="610" spans="85:101" ht="13.05" customHeight="1" x14ac:dyDescent="0.25">
      <c r="CG610" s="2" t="s">
        <v>276</v>
      </c>
      <c r="CH610" s="2" t="s">
        <v>276</v>
      </c>
      <c r="CI610" s="2" t="s">
        <v>1239</v>
      </c>
      <c r="CJ610" s="2" t="s">
        <v>1816</v>
      </c>
      <c r="CK610" s="2" t="s">
        <v>720</v>
      </c>
      <c r="CL610" s="2" t="s">
        <v>3546</v>
      </c>
      <c r="CM610" s="39">
        <v>5</v>
      </c>
      <c r="CN610" s="2" t="str">
        <f t="shared" si="57"/>
        <v>TADigital NA | Management - Associate Practice Director</v>
      </c>
      <c r="CO610" s="2" t="str">
        <f t="shared" si="55"/>
        <v>TADigital India Consulting | Cloud &amp; Engineering - L2 / B1-B3 | Associate Engineer</v>
      </c>
      <c r="CP610" s="1579">
        <v>290</v>
      </c>
      <c r="CQ610" s="1579">
        <v>140</v>
      </c>
      <c r="CR610" s="1579">
        <v>105</v>
      </c>
      <c r="CS610" s="1579">
        <f t="shared" si="59"/>
        <v>45.1</v>
      </c>
      <c r="CT610" s="1579">
        <v>55</v>
      </c>
      <c r="CU610" s="2">
        <f t="shared" si="58"/>
        <v>13</v>
      </c>
      <c r="CV610" s="2" t="str">
        <f t="shared" si="56"/>
        <v>Management - Associate Practice Director</v>
      </c>
      <c r="CW610" s="2" t="str">
        <f>_xlfn.XLOOKUP(CL610,'[1]Rates &amp; Drop Downs INT'!D$373:D$430,'[1]Rates &amp; Drop Downs INT'!C$373:C$430,"X",1)</f>
        <v>Cloud &amp; Engineering - 2 | Associate Engineer</v>
      </c>
    </row>
    <row r="611" spans="85:101" ht="13.05" customHeight="1" x14ac:dyDescent="0.25">
      <c r="CG611" s="2" t="s">
        <v>276</v>
      </c>
      <c r="CH611" s="2" t="s">
        <v>276</v>
      </c>
      <c r="CI611" s="2" t="s">
        <v>1239</v>
      </c>
      <c r="CJ611" s="2" t="s">
        <v>1816</v>
      </c>
      <c r="CK611" s="2" t="s">
        <v>3366</v>
      </c>
      <c r="CL611" s="2" t="s">
        <v>3564</v>
      </c>
      <c r="CM611" s="39">
        <v>2</v>
      </c>
      <c r="CN611" s="2" t="str">
        <f t="shared" si="57"/>
        <v>TADigital NA Consulting - Project Manager / Product Manager</v>
      </c>
      <c r="CO611" s="2" t="str">
        <f t="shared" si="55"/>
        <v>TADigital India Consulting | Cloud &amp; Engineering - L2 / B1-B3 | Associate Engineer</v>
      </c>
      <c r="CP611" s="1579">
        <v>190</v>
      </c>
      <c r="CQ611" s="1579">
        <v>107.5</v>
      </c>
      <c r="CR611" s="1579">
        <v>55</v>
      </c>
      <c r="CS611" s="1579">
        <f t="shared" si="59"/>
        <v>14.760000000000002</v>
      </c>
      <c r="CT611" s="1579">
        <v>18</v>
      </c>
      <c r="CU611" s="2">
        <f t="shared" si="58"/>
        <v>13</v>
      </c>
      <c r="CV611" s="2" t="str">
        <f t="shared" si="56"/>
        <v>Project Manager / Product Manager</v>
      </c>
      <c r="CW611" s="2" t="str">
        <f>_xlfn.XLOOKUP(CL611,'[1]Rates &amp; Drop Downs INT'!D$373:D$430,'[1]Rates &amp; Drop Downs INT'!C$373:C$430,"X",1)</f>
        <v>Cloud &amp; Engineering - 2 | Associate Engineer</v>
      </c>
    </row>
    <row r="612" spans="85:101" ht="13.05" customHeight="1" x14ac:dyDescent="0.25">
      <c r="CG612" s="2" t="s">
        <v>276</v>
      </c>
      <c r="CH612" s="2" t="s">
        <v>276</v>
      </c>
      <c r="CI612" s="2" t="s">
        <v>1239</v>
      </c>
      <c r="CJ612" s="2" t="s">
        <v>1816</v>
      </c>
      <c r="CK612" s="2" t="s">
        <v>532</v>
      </c>
      <c r="CL612" s="2" t="s">
        <v>3547</v>
      </c>
      <c r="CM612" s="39">
        <v>2</v>
      </c>
      <c r="CN612" s="2" t="str">
        <f t="shared" si="57"/>
        <v>TADigital NA Consulting | Content &amp; SEO - Associate Content Strategist</v>
      </c>
      <c r="CO612" s="2" t="str">
        <f t="shared" si="55"/>
        <v>TADigital India Consulting | Cloud &amp; Engineering - L2 / B1-B3 | Associate Engineer</v>
      </c>
      <c r="CP612" s="1579">
        <v>160</v>
      </c>
      <c r="CQ612" s="1579">
        <v>80</v>
      </c>
      <c r="CR612" s="1579">
        <v>55</v>
      </c>
      <c r="CS612" s="1579">
        <f t="shared" si="59"/>
        <v>14.760000000000002</v>
      </c>
      <c r="CT612" s="1579">
        <v>18</v>
      </c>
      <c r="CU612" s="2">
        <f t="shared" si="58"/>
        <v>13</v>
      </c>
      <c r="CV612" s="2" t="str">
        <f t="shared" si="56"/>
        <v>Content &amp; SEO - Associate Content Strategist</v>
      </c>
      <c r="CW612" s="2" t="str">
        <f>_xlfn.XLOOKUP(CL612,'[1]Rates &amp; Drop Downs INT'!D$373:D$430,'[1]Rates &amp; Drop Downs INT'!C$373:C$430,"X",1)</f>
        <v>Cloud &amp; Engineering - 2 | Associate Engineer</v>
      </c>
    </row>
    <row r="613" spans="85:101" ht="13.05" customHeight="1" x14ac:dyDescent="0.25">
      <c r="CG613" s="2" t="s">
        <v>276</v>
      </c>
      <c r="CH613" s="2" t="s">
        <v>276</v>
      </c>
      <c r="CI613" s="2" t="s">
        <v>1239</v>
      </c>
      <c r="CJ613" s="2" t="s">
        <v>1816</v>
      </c>
      <c r="CK613" s="2" t="s">
        <v>584</v>
      </c>
      <c r="CL613" s="2" t="s">
        <v>3561</v>
      </c>
      <c r="CM613" s="39">
        <v>2</v>
      </c>
      <c r="CN613" s="2" t="str">
        <f t="shared" si="57"/>
        <v>TADigital NA Digital - DevOps Engineer</v>
      </c>
      <c r="CO613" s="2" t="str">
        <f t="shared" si="55"/>
        <v>TADigital India Consulting | Cloud &amp; Engineering - L2 / B1-B3 | Associate Engineer</v>
      </c>
      <c r="CP613" s="1579">
        <v>130</v>
      </c>
      <c r="CQ613" s="1579">
        <v>75</v>
      </c>
      <c r="CR613" s="1579">
        <v>50</v>
      </c>
      <c r="CS613" s="1579">
        <f t="shared" si="59"/>
        <v>10.66</v>
      </c>
      <c r="CT613" s="1579">
        <v>13</v>
      </c>
      <c r="CU613" s="2">
        <f t="shared" si="58"/>
        <v>13</v>
      </c>
      <c r="CV613" s="2" t="str">
        <f t="shared" si="56"/>
        <v>DevOps Engineer</v>
      </c>
      <c r="CW613" s="2" t="str">
        <f>_xlfn.XLOOKUP(CL613,'[1]Rates &amp; Drop Downs INT'!D$373:D$430,'[1]Rates &amp; Drop Downs INT'!C$373:C$430,"X",1)</f>
        <v>Cloud &amp; Engineering - 2 | Associate Engineer</v>
      </c>
    </row>
    <row r="614" spans="85:101" ht="13.05" customHeight="1" x14ac:dyDescent="0.25">
      <c r="CG614" s="2" t="s">
        <v>276</v>
      </c>
      <c r="CH614" s="2" t="s">
        <v>276</v>
      </c>
      <c r="CI614" s="2" t="s">
        <v>1239</v>
      </c>
      <c r="CJ614" s="2" t="s">
        <v>1816</v>
      </c>
      <c r="CK614" s="2" t="s">
        <v>590</v>
      </c>
      <c r="CL614" s="2" t="s">
        <v>3549</v>
      </c>
      <c r="CM614" s="39">
        <v>4</v>
      </c>
      <c r="CN614" s="2" t="str">
        <f t="shared" si="57"/>
        <v>TADigital NA Consulting | Strategy - Associate Digital Strategist</v>
      </c>
      <c r="CO614" s="2" t="str">
        <f t="shared" si="55"/>
        <v>TADigital India Consulting | Cloud &amp; Engineering - L2 / B1-B3 | Associate Engineer</v>
      </c>
      <c r="CP614" s="1579">
        <v>200</v>
      </c>
      <c r="CQ614" s="1579">
        <v>115</v>
      </c>
      <c r="CR614" s="1579">
        <v>85</v>
      </c>
      <c r="CS614" s="1579">
        <f t="shared" si="59"/>
        <v>24.6</v>
      </c>
      <c r="CT614" s="1579">
        <v>30</v>
      </c>
      <c r="CU614" s="2">
        <f t="shared" si="58"/>
        <v>13</v>
      </c>
      <c r="CV614" s="2" t="str">
        <f t="shared" si="56"/>
        <v>Strategy - Associate Digital Strategist</v>
      </c>
      <c r="CW614" s="2" t="str">
        <f>_xlfn.XLOOKUP(CL614,'[1]Rates &amp; Drop Downs INT'!D$373:D$430,'[1]Rates &amp; Drop Downs INT'!C$373:C$430,"X",1)</f>
        <v>Cloud &amp; Engineering - 2 | Associate Engineer</v>
      </c>
    </row>
    <row r="615" spans="85:101" ht="13.05" customHeight="1" x14ac:dyDescent="0.25">
      <c r="CG615" s="2" t="s">
        <v>276</v>
      </c>
      <c r="CH615" s="2" t="s">
        <v>276</v>
      </c>
      <c r="CI615" s="2" t="s">
        <v>1239</v>
      </c>
      <c r="CJ615" s="2" t="s">
        <v>1816</v>
      </c>
      <c r="CK615" s="2" t="s">
        <v>588</v>
      </c>
      <c r="CL615" s="2" t="s">
        <v>3563</v>
      </c>
      <c r="CM615" s="39">
        <v>3</v>
      </c>
      <c r="CN615" s="2" t="str">
        <f t="shared" si="57"/>
        <v>TADigital NA Consulting | Content &amp; SEO - Sr. Content Strategist</v>
      </c>
      <c r="CO615" s="2" t="str">
        <f t="shared" si="55"/>
        <v>TADigital India Consulting | Cloud &amp; Engineering - L2 / B1-B3 | Associate Engineer</v>
      </c>
      <c r="CP615" s="1579">
        <v>175</v>
      </c>
      <c r="CQ615" s="1579">
        <v>100</v>
      </c>
      <c r="CR615" s="1579">
        <v>75</v>
      </c>
      <c r="CS615" s="1579">
        <f t="shared" si="59"/>
        <v>24.6</v>
      </c>
      <c r="CT615" s="1579">
        <v>30</v>
      </c>
      <c r="CU615" s="2">
        <f t="shared" si="58"/>
        <v>13</v>
      </c>
      <c r="CV615" s="2" t="str">
        <f t="shared" si="56"/>
        <v>Content &amp; SEO - Sr. Content Strategist</v>
      </c>
      <c r="CW615" s="2" t="str">
        <f>_xlfn.XLOOKUP(CL615,'[1]Rates &amp; Drop Downs INT'!D$373:D$430,'[1]Rates &amp; Drop Downs INT'!C$373:C$430,"X",1)</f>
        <v>Cloud &amp; Engineering - 2 | Associate Engineer</v>
      </c>
    </row>
    <row r="616" spans="85:101" ht="13.05" customHeight="1" x14ac:dyDescent="0.25">
      <c r="CG616" s="2" t="s">
        <v>276</v>
      </c>
      <c r="CH616" s="2" t="s">
        <v>276</v>
      </c>
      <c r="CI616" s="2" t="s">
        <v>1239</v>
      </c>
      <c r="CJ616" s="2" t="s">
        <v>1816</v>
      </c>
      <c r="CK616" s="2" t="s">
        <v>542</v>
      </c>
      <c r="CL616" s="2" t="s">
        <v>3548</v>
      </c>
      <c r="CM616" s="39">
        <v>5</v>
      </c>
      <c r="CN616" s="2" t="str">
        <f t="shared" si="57"/>
        <v>TADigital NA | Management - Associate Practice Director</v>
      </c>
      <c r="CO616" s="2" t="str">
        <f t="shared" si="55"/>
        <v>TADigital India Consulting | Cloud &amp; Engineering - L2 / B1-B3 | Associate Engineer</v>
      </c>
      <c r="CP616" s="1579">
        <v>290</v>
      </c>
      <c r="CQ616" s="1579">
        <v>167.5</v>
      </c>
      <c r="CR616" s="1579">
        <v>125</v>
      </c>
      <c r="CS616" s="1579">
        <f t="shared" si="59"/>
        <v>51.250000000000007</v>
      </c>
      <c r="CT616" s="1579">
        <v>62.5</v>
      </c>
      <c r="CU616" s="2">
        <f t="shared" si="58"/>
        <v>13</v>
      </c>
      <c r="CV616" s="2" t="str">
        <f t="shared" si="56"/>
        <v>Management - Associate Practice Director</v>
      </c>
      <c r="CW616" s="2" t="str">
        <f>_xlfn.XLOOKUP(CL616,'[1]Rates &amp; Drop Downs INT'!D$373:D$430,'[1]Rates &amp; Drop Downs INT'!C$373:C$430,"X",1)</f>
        <v>Cloud &amp; Engineering - 2 | Associate Engineer</v>
      </c>
    </row>
    <row r="617" spans="85:101" ht="13.05" customHeight="1" x14ac:dyDescent="0.25">
      <c r="CG617" s="2" t="s">
        <v>276</v>
      </c>
      <c r="CH617" s="2" t="s">
        <v>276</v>
      </c>
      <c r="CI617" s="2" t="s">
        <v>1239</v>
      </c>
      <c r="CJ617" s="2" t="s">
        <v>1816</v>
      </c>
      <c r="CK617" s="2" t="s">
        <v>3352</v>
      </c>
      <c r="CL617" s="2" t="s">
        <v>3549</v>
      </c>
      <c r="CM617" s="39">
        <v>5</v>
      </c>
      <c r="CN617" s="2" t="str">
        <f t="shared" si="57"/>
        <v>TADigital NA | Management - Practice Director / Delivery Director</v>
      </c>
      <c r="CO617" s="2" t="str">
        <f t="shared" si="55"/>
        <v>TADigital India Consulting | Cloud &amp; Engineering - L2 / B1-B3 | Associate Engineer</v>
      </c>
      <c r="CP617" s="1579">
        <v>315</v>
      </c>
      <c r="CQ617" s="1579">
        <v>165</v>
      </c>
      <c r="CR617" s="1579">
        <v>115</v>
      </c>
      <c r="CS617" s="1579">
        <f t="shared" si="59"/>
        <v>45.1</v>
      </c>
      <c r="CT617" s="1579">
        <v>55</v>
      </c>
      <c r="CU617" s="2">
        <f t="shared" si="58"/>
        <v>13</v>
      </c>
      <c r="CV617" s="2" t="str">
        <f t="shared" si="56"/>
        <v>Management - Practice Director / Delivery Director</v>
      </c>
      <c r="CW617" s="2" t="str">
        <f>_xlfn.XLOOKUP(CL617,'[1]Rates &amp; Drop Downs INT'!D$373:D$430,'[1]Rates &amp; Drop Downs INT'!C$373:C$430,"X",1)</f>
        <v>Cloud &amp; Engineering - 2 | Associate Engineer</v>
      </c>
    </row>
    <row r="618" spans="85:101" ht="13.05" customHeight="1" x14ac:dyDescent="0.25">
      <c r="CG618" s="2" t="s">
        <v>276</v>
      </c>
      <c r="CH618" s="2" t="s">
        <v>276</v>
      </c>
      <c r="CI618" s="2" t="s">
        <v>1239</v>
      </c>
      <c r="CJ618" s="2" t="s">
        <v>1816</v>
      </c>
      <c r="CK618" s="2" t="s">
        <v>446</v>
      </c>
      <c r="CL618" s="2" t="s">
        <v>3546</v>
      </c>
      <c r="CM618" s="39">
        <v>4</v>
      </c>
      <c r="CN618" s="2" t="str">
        <f t="shared" si="57"/>
        <v>TADigital NA Consulting - Sr. Project Manager</v>
      </c>
      <c r="CO618" s="2" t="str">
        <f t="shared" si="55"/>
        <v>TADigital India Consulting | Cloud &amp; Engineering - L2 / B1-B3 | Associate Engineer</v>
      </c>
      <c r="CP618" s="1579">
        <v>235</v>
      </c>
      <c r="CQ618" s="1579">
        <v>130</v>
      </c>
      <c r="CR618" s="1579">
        <v>80</v>
      </c>
      <c r="CS618" s="1579">
        <f t="shared" si="59"/>
        <v>38.950000000000003</v>
      </c>
      <c r="CT618" s="1579">
        <v>47.5</v>
      </c>
      <c r="CU618" s="2">
        <f t="shared" si="58"/>
        <v>13</v>
      </c>
      <c r="CV618" s="2" t="str">
        <f t="shared" si="56"/>
        <v>Sr. Project Manager</v>
      </c>
      <c r="CW618" s="2" t="str">
        <f>_xlfn.XLOOKUP(CL618,'[1]Rates &amp; Drop Downs INT'!D$373:D$430,'[1]Rates &amp; Drop Downs INT'!C$373:C$430,"X",1)</f>
        <v>Cloud &amp; Engineering - 2 | Associate Engineer</v>
      </c>
    </row>
    <row r="619" spans="85:101" ht="13.05" customHeight="1" x14ac:dyDescent="0.25">
      <c r="CG619" s="2" t="s">
        <v>276</v>
      </c>
      <c r="CH619" s="2" t="s">
        <v>276</v>
      </c>
      <c r="CI619" s="2" t="s">
        <v>1239</v>
      </c>
      <c r="CJ619" s="2" t="s">
        <v>1816</v>
      </c>
      <c r="CK619" s="2" t="s">
        <v>3353</v>
      </c>
      <c r="CL619" s="2" t="s">
        <v>3549</v>
      </c>
      <c r="CM619" s="39">
        <v>6</v>
      </c>
      <c r="CN619" s="2" t="str">
        <f t="shared" si="57"/>
        <v>TADigital NA | Management - Practice VP / Delivery VP</v>
      </c>
      <c r="CO619" s="2" t="str">
        <f t="shared" ref="CO619:CO646" si="60">_xlfn.XLOOKUP(CW619,$C$373:$C$430,$F$373:$F$430,"X",1)</f>
        <v>TADigital India Consulting | Cloud &amp; Engineering - L2 / B1-B3 | Associate Engineer</v>
      </c>
      <c r="CP619" s="1579">
        <v>370</v>
      </c>
      <c r="CQ619" s="1579">
        <v>172.5</v>
      </c>
      <c r="CR619" s="1579">
        <v>135</v>
      </c>
      <c r="CS619" s="1579">
        <f t="shared" si="59"/>
        <v>51.250000000000007</v>
      </c>
      <c r="CT619" s="1579">
        <v>62.5</v>
      </c>
      <c r="CU619" s="2">
        <f t="shared" si="58"/>
        <v>13</v>
      </c>
      <c r="CV619" s="2" t="str">
        <f t="shared" si="56"/>
        <v>Management - Practice VP / Delivery VP</v>
      </c>
      <c r="CW619" s="2" t="str">
        <f>_xlfn.XLOOKUP(CL619,'[1]Rates &amp; Drop Downs INT'!D$373:D$430,'[1]Rates &amp; Drop Downs INT'!C$373:C$430,"X",1)</f>
        <v>Cloud &amp; Engineering - 2 | Associate Engineer</v>
      </c>
    </row>
    <row r="620" spans="85:101" ht="13.05" customHeight="1" x14ac:dyDescent="0.25">
      <c r="CG620" s="2" t="s">
        <v>276</v>
      </c>
      <c r="CH620" s="2" t="s">
        <v>276</v>
      </c>
      <c r="CI620" s="2" t="s">
        <v>1239</v>
      </c>
      <c r="CJ620" s="2" t="s">
        <v>1816</v>
      </c>
      <c r="CK620" s="2" t="s">
        <v>534</v>
      </c>
      <c r="CL620" s="2" t="s">
        <v>3550</v>
      </c>
      <c r="CM620" s="39">
        <v>2</v>
      </c>
      <c r="CN620" s="2" t="str">
        <f t="shared" si="57"/>
        <v>TADigital NA Consulting | Content &amp; SEO - Content Strategist</v>
      </c>
      <c r="CO620" s="2" t="str">
        <f t="shared" si="60"/>
        <v>TADigital India Consulting | Cloud &amp; Engineering - L2 / B1-B3 | Associate Engineer</v>
      </c>
      <c r="CP620" s="1579">
        <v>170</v>
      </c>
      <c r="CQ620" s="1579">
        <v>82.5</v>
      </c>
      <c r="CR620" s="1579">
        <v>65</v>
      </c>
      <c r="CS620" s="1579">
        <f t="shared" si="59"/>
        <v>18.450000000000003</v>
      </c>
      <c r="CT620" s="1579">
        <v>22.5</v>
      </c>
      <c r="CU620" s="2">
        <f t="shared" si="58"/>
        <v>13</v>
      </c>
      <c r="CV620" s="2" t="str">
        <f t="shared" si="56"/>
        <v>Content &amp; SEO - Content Strategist</v>
      </c>
      <c r="CW620" s="2" t="str">
        <f>_xlfn.XLOOKUP(CL620,'[1]Rates &amp; Drop Downs INT'!D$373:D$430,'[1]Rates &amp; Drop Downs INT'!C$373:C$430,"X",1)</f>
        <v>Cloud &amp; Engineering - 2 | Associate Engineer</v>
      </c>
    </row>
    <row r="621" spans="85:101" ht="13.05" customHeight="1" x14ac:dyDescent="0.25">
      <c r="CG621" s="2" t="s">
        <v>276</v>
      </c>
      <c r="CH621" s="2" t="s">
        <v>276</v>
      </c>
      <c r="CI621" s="2" t="s">
        <v>1239</v>
      </c>
      <c r="CJ621" s="2" t="s">
        <v>1816</v>
      </c>
      <c r="CK621" s="2" t="s">
        <v>586</v>
      </c>
      <c r="CL621" s="2" t="s">
        <v>3562</v>
      </c>
      <c r="CM621" s="39">
        <v>2</v>
      </c>
      <c r="CN621" s="2" t="str">
        <f t="shared" si="57"/>
        <v>TADigital NA Consulting | Content &amp; SEO - Associate Content Strategist</v>
      </c>
      <c r="CO621" s="2" t="str">
        <f t="shared" si="60"/>
        <v>TADigital India Consulting | Cloud &amp; Engineering - L2 / B1-B3 | Associate Engineer</v>
      </c>
      <c r="CP621" s="1579">
        <v>150</v>
      </c>
      <c r="CQ621" s="1579">
        <v>85</v>
      </c>
      <c r="CR621" s="1579">
        <v>60</v>
      </c>
      <c r="CS621" s="1579">
        <f t="shared" si="59"/>
        <v>20.5</v>
      </c>
      <c r="CT621" s="1579">
        <v>25</v>
      </c>
      <c r="CU621" s="2">
        <f t="shared" si="58"/>
        <v>13</v>
      </c>
      <c r="CV621" s="2" t="str">
        <f t="shared" si="56"/>
        <v>Content &amp; SEO - Associate Content Strategist</v>
      </c>
      <c r="CW621" s="2" t="str">
        <f>_xlfn.XLOOKUP(CL621,'[1]Rates &amp; Drop Downs INT'!D$373:D$430,'[1]Rates &amp; Drop Downs INT'!C$373:C$430,"X",1)</f>
        <v>Cloud &amp; Engineering - 2 | Associate Engineer</v>
      </c>
    </row>
    <row r="622" spans="85:101" ht="13.05" customHeight="1" x14ac:dyDescent="0.25">
      <c r="CG622" s="2" t="s">
        <v>276</v>
      </c>
      <c r="CH622" s="2" t="s">
        <v>276</v>
      </c>
      <c r="CI622" s="2" t="s">
        <v>1239</v>
      </c>
      <c r="CJ622" s="2" t="s">
        <v>1816</v>
      </c>
      <c r="CK622" s="2" t="s">
        <v>3354</v>
      </c>
      <c r="CL622" s="2" t="s">
        <v>3549</v>
      </c>
      <c r="CM622" s="39">
        <v>5</v>
      </c>
      <c r="CN622" s="2" t="str">
        <f t="shared" si="57"/>
        <v>TADigital NA | Management - Sr. Practice Director / Sr. Delivery Director</v>
      </c>
      <c r="CO622" s="2" t="str">
        <f t="shared" si="60"/>
        <v>TADigital India Consulting | Cloud &amp; Engineering - L2 / B1-B3 | Associate Engineer</v>
      </c>
      <c r="CP622" s="1579">
        <v>340</v>
      </c>
      <c r="CQ622" s="1579">
        <v>170</v>
      </c>
      <c r="CR622" s="1579">
        <v>125</v>
      </c>
      <c r="CS622" s="1579">
        <f t="shared" si="59"/>
        <v>49.2</v>
      </c>
      <c r="CT622" s="1579">
        <v>60</v>
      </c>
      <c r="CU622" s="2">
        <f t="shared" si="58"/>
        <v>13</v>
      </c>
      <c r="CV622" s="2" t="str">
        <f t="shared" si="56"/>
        <v>Management - Sr. Practice Director / Sr. Delivery Director</v>
      </c>
      <c r="CW622" s="2" t="str">
        <f>_xlfn.XLOOKUP(CL622,'[1]Rates &amp; Drop Downs INT'!D$373:D$430,'[1]Rates &amp; Drop Downs INT'!C$373:C$430,"X",1)</f>
        <v>Cloud &amp; Engineering - 2 | Associate Engineer</v>
      </c>
    </row>
    <row r="623" spans="85:101" ht="13.05" customHeight="1" x14ac:dyDescent="0.25">
      <c r="CG623" s="2" t="s">
        <v>276</v>
      </c>
      <c r="CH623" s="2" t="s">
        <v>276</v>
      </c>
      <c r="CI623" s="2" t="s">
        <v>1239</v>
      </c>
      <c r="CJ623" s="2" t="s">
        <v>1816</v>
      </c>
      <c r="CK623" s="2" t="s">
        <v>448</v>
      </c>
      <c r="CL623" s="2" t="s">
        <v>3546</v>
      </c>
      <c r="CM623" s="39">
        <v>5</v>
      </c>
      <c r="CN623" s="2" t="str">
        <f t="shared" si="57"/>
        <v>TADigital NA Consulting - Delivery Manager</v>
      </c>
      <c r="CO623" s="2" t="str">
        <f t="shared" si="60"/>
        <v>TADigital India Consulting | Cloud &amp; Engineering - L2 / B1-B3 | Associate Engineer</v>
      </c>
      <c r="CP623" s="1579">
        <v>265</v>
      </c>
      <c r="CQ623" s="1579">
        <v>137.5</v>
      </c>
      <c r="CR623" s="1579">
        <v>90</v>
      </c>
      <c r="CS623" s="1579">
        <f t="shared" si="59"/>
        <v>38.950000000000003</v>
      </c>
      <c r="CT623" s="1579">
        <v>47.5</v>
      </c>
      <c r="CU623" s="2">
        <f t="shared" si="58"/>
        <v>13</v>
      </c>
      <c r="CV623" s="2" t="str">
        <f t="shared" si="56"/>
        <v>Delivery Manager</v>
      </c>
      <c r="CW623" s="2" t="str">
        <f>_xlfn.XLOOKUP(CL623,'[1]Rates &amp; Drop Downs INT'!D$373:D$430,'[1]Rates &amp; Drop Downs INT'!C$373:C$430,"X",1)</f>
        <v>Cloud &amp; Engineering - 2 | Associate Engineer</v>
      </c>
    </row>
    <row r="624" spans="85:101" ht="13.05" customHeight="1" x14ac:dyDescent="0.25">
      <c r="CG624" s="2" t="s">
        <v>276</v>
      </c>
      <c r="CH624" s="2" t="s">
        <v>276</v>
      </c>
      <c r="CI624" s="2" t="s">
        <v>1239</v>
      </c>
      <c r="CJ624" s="2" t="s">
        <v>1816</v>
      </c>
      <c r="CK624" s="2" t="s">
        <v>3367</v>
      </c>
      <c r="CL624" s="2" t="s">
        <v>3565</v>
      </c>
      <c r="CM624" s="39">
        <v>3</v>
      </c>
      <c r="CN624" s="2" t="str">
        <f t="shared" si="57"/>
        <v>TADigital NA Consulting | Strategy - Associate Digital Strategist</v>
      </c>
      <c r="CO624" s="2" t="str">
        <f t="shared" si="60"/>
        <v>TADigital India Consulting | Cloud &amp; Engineering - L2 / B1-B3 | Associate Engineer</v>
      </c>
      <c r="CP624" s="1579">
        <v>200</v>
      </c>
      <c r="CQ624" s="1579">
        <v>115</v>
      </c>
      <c r="CR624" s="1579">
        <v>65</v>
      </c>
      <c r="CS624" s="1579">
        <f t="shared" si="59"/>
        <v>18.450000000000003</v>
      </c>
      <c r="CT624" s="1579">
        <v>22.5</v>
      </c>
      <c r="CU624" s="2">
        <f t="shared" si="58"/>
        <v>13</v>
      </c>
      <c r="CV624" s="2" t="str">
        <f t="shared" si="56"/>
        <v>Strategy - Associate Digital Strategist</v>
      </c>
      <c r="CW624" s="2" t="str">
        <f>_xlfn.XLOOKUP(CL624,'[1]Rates &amp; Drop Downs INT'!D$373:D$430,'[1]Rates &amp; Drop Downs INT'!C$373:C$430,"X",1)</f>
        <v>Cloud &amp; Engineering - 2 | Associate Engineer</v>
      </c>
    </row>
    <row r="625" spans="85:101" ht="13.05" customHeight="1" x14ac:dyDescent="0.25">
      <c r="CG625" s="2" t="s">
        <v>276</v>
      </c>
      <c r="CH625" s="2" t="s">
        <v>276</v>
      </c>
      <c r="CI625" s="2" t="s">
        <v>1239</v>
      </c>
      <c r="CJ625" s="2" t="s">
        <v>1816</v>
      </c>
      <c r="CK625" s="2" t="s">
        <v>540</v>
      </c>
      <c r="CL625" s="2" t="s">
        <v>538</v>
      </c>
      <c r="CM625" s="39">
        <v>5</v>
      </c>
      <c r="CN625" s="2" t="str">
        <f t="shared" si="57"/>
        <v>TADigital NA Digital - Sr. Technical Architect</v>
      </c>
      <c r="CO625" s="2" t="str">
        <f t="shared" si="60"/>
        <v>TADigital India Consulting | Cloud &amp; Engineering - L2 / B1-B3 | Associate Engineer</v>
      </c>
      <c r="CP625" s="1579">
        <v>275</v>
      </c>
      <c r="CQ625" s="1579">
        <v>155</v>
      </c>
      <c r="CR625" s="1579">
        <v>105</v>
      </c>
      <c r="CS625" s="1579">
        <f t="shared" si="59"/>
        <v>36.900000000000006</v>
      </c>
      <c r="CT625" s="1579">
        <v>45</v>
      </c>
      <c r="CU625" s="2">
        <f t="shared" si="58"/>
        <v>13</v>
      </c>
      <c r="CV625" s="2" t="str">
        <f t="shared" si="56"/>
        <v>Sr. Technical Architect</v>
      </c>
      <c r="CW625" s="2" t="str">
        <f>_xlfn.XLOOKUP(CL625,'[1]Rates &amp; Drop Downs INT'!D$373:D$430,'[1]Rates &amp; Drop Downs INT'!C$373:C$430,"X",1)</f>
        <v>Cloud &amp; Engineering - 2 | Associate Engineer</v>
      </c>
    </row>
    <row r="626" spans="85:101" ht="13.05" customHeight="1" x14ac:dyDescent="0.25">
      <c r="CG626" s="2" t="s">
        <v>276</v>
      </c>
      <c r="CH626" s="2" t="s">
        <v>276</v>
      </c>
      <c r="CI626" s="2" t="s">
        <v>1239</v>
      </c>
      <c r="CJ626" s="2" t="s">
        <v>1816</v>
      </c>
      <c r="CK626" s="2" t="s">
        <v>3368</v>
      </c>
      <c r="CL626" s="2" t="s">
        <v>3564</v>
      </c>
      <c r="CM626" s="39">
        <v>2</v>
      </c>
      <c r="CN626" s="2" t="str">
        <f t="shared" si="57"/>
        <v>TADigital NA Digital - BA Lead</v>
      </c>
      <c r="CO626" s="2" t="str">
        <f t="shared" si="60"/>
        <v>TADigital India Consulting | Cloud &amp; Engineering - L2 / B1-B3 | Associate Engineer</v>
      </c>
      <c r="CP626" s="1579">
        <v>195</v>
      </c>
      <c r="CQ626" s="1579">
        <v>110</v>
      </c>
      <c r="CR626" s="1579">
        <v>60</v>
      </c>
      <c r="CS626" s="1579">
        <f t="shared" si="59"/>
        <v>18.040000000000003</v>
      </c>
      <c r="CT626" s="1579">
        <v>22</v>
      </c>
      <c r="CU626" s="2">
        <f t="shared" si="58"/>
        <v>13</v>
      </c>
      <c r="CV626" s="2" t="str">
        <f t="shared" si="56"/>
        <v>BA Lead</v>
      </c>
      <c r="CW626" s="2" t="str">
        <f>_xlfn.XLOOKUP(CL626,'[1]Rates &amp; Drop Downs INT'!D$373:D$430,'[1]Rates &amp; Drop Downs INT'!C$373:C$430,"X",1)</f>
        <v>Cloud &amp; Engineering - 2 | Associate Engineer</v>
      </c>
    </row>
    <row r="627" spans="85:101" ht="13.05" customHeight="1" x14ac:dyDescent="0.25">
      <c r="CG627" s="2" t="s">
        <v>276</v>
      </c>
      <c r="CH627" s="2" t="s">
        <v>276</v>
      </c>
      <c r="CI627" s="2" t="s">
        <v>1239</v>
      </c>
      <c r="CJ627" s="2" t="s">
        <v>1816</v>
      </c>
      <c r="CK627" s="2" t="s">
        <v>538</v>
      </c>
      <c r="CL627" s="2" t="s">
        <v>538</v>
      </c>
      <c r="CM627" s="39">
        <v>4</v>
      </c>
      <c r="CN627" s="2" t="str">
        <f t="shared" si="57"/>
        <v>TADigital NA Consulting - Sr. Project Manager</v>
      </c>
      <c r="CO627" s="2" t="str">
        <f t="shared" si="60"/>
        <v>TADigital India Consulting | Cloud &amp; Engineering - L2 / B1-B3 | Associate Engineer</v>
      </c>
      <c r="CP627" s="1579">
        <v>235</v>
      </c>
      <c r="CQ627" s="1579">
        <v>132.5</v>
      </c>
      <c r="CR627" s="1579">
        <v>95</v>
      </c>
      <c r="CS627" s="1579">
        <f t="shared" si="59"/>
        <v>32.800000000000004</v>
      </c>
      <c r="CT627" s="1579">
        <v>40</v>
      </c>
      <c r="CU627" s="2">
        <f t="shared" si="58"/>
        <v>13</v>
      </c>
      <c r="CV627" s="2" t="str">
        <f t="shared" si="56"/>
        <v>Sr. Project Manager</v>
      </c>
      <c r="CW627" s="2" t="str">
        <f>_xlfn.XLOOKUP(CL627,'[1]Rates &amp; Drop Downs INT'!D$373:D$430,'[1]Rates &amp; Drop Downs INT'!C$373:C$430,"X",1)</f>
        <v>Cloud &amp; Engineering - 2 | Associate Engineer</v>
      </c>
    </row>
    <row r="628" spans="85:101" ht="13.05" customHeight="1" x14ac:dyDescent="0.25">
      <c r="CG628" s="2" t="s">
        <v>276</v>
      </c>
      <c r="CH628" s="2" t="s">
        <v>276</v>
      </c>
      <c r="CI628" s="2" t="s">
        <v>1239</v>
      </c>
      <c r="CJ628" s="2" t="s">
        <v>1816</v>
      </c>
      <c r="CK628" s="2" t="s">
        <v>536</v>
      </c>
      <c r="CL628" s="2" t="s">
        <v>536</v>
      </c>
      <c r="CM628" s="39">
        <v>3</v>
      </c>
      <c r="CN628" s="2" t="str">
        <f t="shared" si="57"/>
        <v>TADigital NA Digital - Technical Lead</v>
      </c>
      <c r="CO628" s="2" t="str">
        <f t="shared" si="60"/>
        <v>TADigital India Consulting | Cloud &amp; Engineering - L2 / B1-B3 | Associate Engineer</v>
      </c>
      <c r="CP628" s="1579">
        <v>185</v>
      </c>
      <c r="CQ628" s="1579">
        <v>90</v>
      </c>
      <c r="CR628" s="1579">
        <v>85</v>
      </c>
      <c r="CS628" s="1579">
        <f t="shared" si="59"/>
        <v>24.6</v>
      </c>
      <c r="CT628" s="1579">
        <v>30</v>
      </c>
      <c r="CU628" s="2">
        <f t="shared" si="58"/>
        <v>13</v>
      </c>
      <c r="CV628" s="2" t="str">
        <f t="shared" si="56"/>
        <v>Technical Lead</v>
      </c>
      <c r="CW628" s="2" t="str">
        <f>_xlfn.XLOOKUP(CL628,'[1]Rates &amp; Drop Downs INT'!D$373:D$430,'[1]Rates &amp; Drop Downs INT'!C$373:C$430,"X",1)</f>
        <v>Cloud &amp; Engineering - 2 | Associate Engineer</v>
      </c>
    </row>
    <row r="629" spans="85:101" ht="13.05" customHeight="1" x14ac:dyDescent="0.25">
      <c r="CG629" s="2" t="s">
        <v>276</v>
      </c>
      <c r="CH629" s="2" t="s">
        <v>276</v>
      </c>
      <c r="CI629" s="2" t="s">
        <v>1232</v>
      </c>
      <c r="CJ629" s="2" t="s">
        <v>1814</v>
      </c>
      <c r="CK629" s="2" t="s">
        <v>565</v>
      </c>
      <c r="CL629" s="2">
        <v>0</v>
      </c>
      <c r="CM629" s="39">
        <v>3</v>
      </c>
      <c r="CN629" s="2" t="str">
        <f t="shared" si="57"/>
        <v>TADigital NA Digital - BA Lead</v>
      </c>
      <c r="CO629" s="2" t="str">
        <f t="shared" si="60"/>
        <v>TADigital India Consulting | Cloud &amp; Engineering - L2 / B1-B3 | Associate Engineer</v>
      </c>
      <c r="CP629" s="1579">
        <v>195</v>
      </c>
      <c r="CQ629" s="1579">
        <v>107.5</v>
      </c>
      <c r="CR629" s="1579">
        <v>85</v>
      </c>
      <c r="CS629" s="1579">
        <f t="shared" si="59"/>
        <v>26.650000000000002</v>
      </c>
      <c r="CT629" s="1579">
        <v>32.5</v>
      </c>
      <c r="CU629" s="2">
        <f t="shared" si="58"/>
        <v>13</v>
      </c>
      <c r="CV629" s="2" t="str">
        <f t="shared" si="56"/>
        <v>BA Lead</v>
      </c>
      <c r="CW629" s="2" t="str">
        <f>_xlfn.XLOOKUP(CL629,'[1]Rates &amp; Drop Downs INT'!D$373:D$430,'[1]Rates &amp; Drop Downs INT'!C$373:C$430,"X",1)</f>
        <v>Cloud &amp; Engineering - 2 | Associate Engineer</v>
      </c>
    </row>
    <row r="630" spans="85:101" ht="13.05" customHeight="1" x14ac:dyDescent="0.25">
      <c r="CG630" s="2" t="s">
        <v>276</v>
      </c>
      <c r="CH630" s="2" t="s">
        <v>276</v>
      </c>
      <c r="CI630" s="2" t="s">
        <v>1232</v>
      </c>
      <c r="CJ630" s="2" t="s">
        <v>1814</v>
      </c>
      <c r="CK630" s="2" t="s">
        <v>380</v>
      </c>
      <c r="CL630" s="2">
        <v>0</v>
      </c>
      <c r="CM630" s="39">
        <v>2</v>
      </c>
      <c r="CN630" s="2" t="str">
        <f t="shared" si="57"/>
        <v>TADigital NA Consulting | Content &amp; SEO - Associate Content Strategist</v>
      </c>
      <c r="CO630" s="2" t="str">
        <f t="shared" si="60"/>
        <v>TADigital India Consulting | Cloud &amp; Engineering - L2 / B1-B3 | Associate Engineer</v>
      </c>
      <c r="CP630" s="1579">
        <v>160</v>
      </c>
      <c r="CQ630" s="1579">
        <v>97.5</v>
      </c>
      <c r="CR630" s="1579">
        <v>55</v>
      </c>
      <c r="CS630" s="1579">
        <f t="shared" si="59"/>
        <v>18.450000000000003</v>
      </c>
      <c r="CT630" s="1579">
        <v>22.5</v>
      </c>
      <c r="CU630" s="2">
        <f t="shared" si="58"/>
        <v>13</v>
      </c>
      <c r="CV630" s="2" t="str">
        <f t="shared" si="56"/>
        <v>Content &amp; SEO - Associate Content Strategist</v>
      </c>
      <c r="CW630" s="2" t="str">
        <f>_xlfn.XLOOKUP(CL630,'[1]Rates &amp; Drop Downs INT'!D$373:D$430,'[1]Rates &amp; Drop Downs INT'!C$373:C$430,"X",1)</f>
        <v>Cloud &amp; Engineering - 2 | Associate Engineer</v>
      </c>
    </row>
    <row r="631" spans="85:101" ht="13.05" customHeight="1" x14ac:dyDescent="0.25">
      <c r="CG631" s="2" t="s">
        <v>276</v>
      </c>
      <c r="CH631" s="2" t="s">
        <v>276</v>
      </c>
      <c r="CI631" s="2" t="s">
        <v>1232</v>
      </c>
      <c r="CJ631" s="2" t="s">
        <v>1814</v>
      </c>
      <c r="CK631" s="2" t="s">
        <v>563</v>
      </c>
      <c r="CL631" s="2">
        <v>0</v>
      </c>
      <c r="CM631" s="39">
        <v>2</v>
      </c>
      <c r="CN631" s="2" t="str">
        <f t="shared" si="57"/>
        <v>TADigital NA Digital - Technical Lead</v>
      </c>
      <c r="CO631" s="2" t="str">
        <f t="shared" si="60"/>
        <v>TADigital India Consulting | Cloud &amp; Engineering - L2 / B1-B3 | Associate Engineer</v>
      </c>
      <c r="CP631" s="1579">
        <v>185</v>
      </c>
      <c r="CQ631" s="1579">
        <v>105</v>
      </c>
      <c r="CR631" s="1579">
        <v>65</v>
      </c>
      <c r="CS631" s="1579">
        <f t="shared" si="59"/>
        <v>24.6</v>
      </c>
      <c r="CT631" s="1579">
        <v>30</v>
      </c>
      <c r="CU631" s="2">
        <f t="shared" si="58"/>
        <v>13</v>
      </c>
      <c r="CV631" s="2" t="str">
        <f t="shared" si="56"/>
        <v>Technical Lead</v>
      </c>
      <c r="CW631" s="2" t="str">
        <f>_xlfn.XLOOKUP(CL631,'[1]Rates &amp; Drop Downs INT'!D$373:D$430,'[1]Rates &amp; Drop Downs INT'!C$373:C$430,"X",1)</f>
        <v>Cloud &amp; Engineering - 2 | Associate Engineer</v>
      </c>
    </row>
    <row r="632" spans="85:101" ht="13.05" customHeight="1" x14ac:dyDescent="0.25">
      <c r="CG632" s="2" t="s">
        <v>276</v>
      </c>
      <c r="CH632" s="2" t="s">
        <v>276</v>
      </c>
      <c r="CI632" s="2" t="s">
        <v>1233</v>
      </c>
      <c r="CJ632" s="2" t="s">
        <v>3347</v>
      </c>
      <c r="CK632" s="2" t="s">
        <v>3363</v>
      </c>
      <c r="CL632" s="2">
        <v>0</v>
      </c>
      <c r="CM632" s="39">
        <v>2</v>
      </c>
      <c r="CN632" s="2" t="str">
        <f t="shared" si="57"/>
        <v>TADigital NA Consulting | Content &amp; SEO - Associate Web Content Analyst</v>
      </c>
      <c r="CO632" s="2" t="str">
        <f t="shared" si="60"/>
        <v>TADigital India Consulting | Cloud &amp; Engineering - L2 / B1-B3 | Associate Engineer</v>
      </c>
      <c r="CP632" s="1579">
        <v>0</v>
      </c>
      <c r="CQ632" s="1579">
        <v>0</v>
      </c>
      <c r="CR632" s="1579">
        <v>35</v>
      </c>
      <c r="CS632" s="1579">
        <f t="shared" si="59"/>
        <v>10.66</v>
      </c>
      <c r="CT632" s="1579">
        <v>13</v>
      </c>
      <c r="CU632" s="2">
        <f t="shared" si="58"/>
        <v>13</v>
      </c>
      <c r="CV632" s="2" t="str">
        <f t="shared" si="56"/>
        <v>Content &amp; SEO - Associate Web Content Analyst</v>
      </c>
      <c r="CW632" s="2" t="str">
        <f>_xlfn.XLOOKUP(CL632,'[1]Rates &amp; Drop Downs INT'!D$373:D$430,'[1]Rates &amp; Drop Downs INT'!C$373:C$430,"X",1)</f>
        <v>Cloud &amp; Engineering - 2 | Associate Engineer</v>
      </c>
    </row>
    <row r="633" spans="85:101" ht="13.05" customHeight="1" x14ac:dyDescent="0.25">
      <c r="CG633" s="2" t="s">
        <v>276</v>
      </c>
      <c r="CH633" s="2" t="s">
        <v>276</v>
      </c>
      <c r="CI633" s="2" t="s">
        <v>1233</v>
      </c>
      <c r="CJ633" s="2" t="s">
        <v>3347</v>
      </c>
      <c r="CK633" s="2" t="s">
        <v>720</v>
      </c>
      <c r="CL633" s="2" t="s">
        <v>3546</v>
      </c>
      <c r="CM633" s="39">
        <v>5</v>
      </c>
      <c r="CN633" s="2" t="str">
        <f t="shared" si="57"/>
        <v>TADigital NA | Management - Associate Practice Director</v>
      </c>
      <c r="CO633" s="2" t="str">
        <f t="shared" si="60"/>
        <v>TADigital India Consulting | Cloud &amp; Engineering - L2 / B1-B3 | Associate Engineer</v>
      </c>
      <c r="CP633" s="1579">
        <v>290</v>
      </c>
      <c r="CQ633" s="1579">
        <v>140</v>
      </c>
      <c r="CR633" s="1579">
        <v>105</v>
      </c>
      <c r="CS633" s="1579">
        <f t="shared" si="59"/>
        <v>45.1</v>
      </c>
      <c r="CT633" s="1579">
        <v>55</v>
      </c>
      <c r="CU633" s="2">
        <f t="shared" si="58"/>
        <v>13</v>
      </c>
      <c r="CV633" s="2" t="str">
        <f t="shared" si="56"/>
        <v>Management - Associate Practice Director</v>
      </c>
      <c r="CW633" s="2" t="str">
        <f>_xlfn.XLOOKUP(CL633,'[1]Rates &amp; Drop Downs INT'!D$373:D$430,'[1]Rates &amp; Drop Downs INT'!C$373:C$430,"X",1)</f>
        <v>Cloud &amp; Engineering - 2 | Associate Engineer</v>
      </c>
    </row>
    <row r="634" spans="85:101" ht="13.05" customHeight="1" x14ac:dyDescent="0.25">
      <c r="CG634" s="2" t="s">
        <v>276</v>
      </c>
      <c r="CH634" s="2" t="s">
        <v>276</v>
      </c>
      <c r="CI634" s="2" t="s">
        <v>1233</v>
      </c>
      <c r="CJ634" s="2" t="s">
        <v>3347</v>
      </c>
      <c r="CK634" s="2" t="s">
        <v>580</v>
      </c>
      <c r="CL634" s="2" t="s">
        <v>3551</v>
      </c>
      <c r="CM634" s="39">
        <v>4</v>
      </c>
      <c r="CN634" s="2" t="str">
        <f t="shared" si="57"/>
        <v>TADigital NA Consulting - Sr. Project Manager</v>
      </c>
      <c r="CO634" s="2" t="str">
        <f t="shared" si="60"/>
        <v>TADigital India Consulting | Cloud &amp; Engineering - L2 / B1-B3 | Associate Engineer</v>
      </c>
      <c r="CP634" s="1579">
        <v>235</v>
      </c>
      <c r="CQ634" s="1579">
        <v>120</v>
      </c>
      <c r="CR634" s="1579">
        <v>90</v>
      </c>
      <c r="CS634" s="1579">
        <f t="shared" si="59"/>
        <v>36.900000000000006</v>
      </c>
      <c r="CT634" s="1579">
        <v>45</v>
      </c>
      <c r="CU634" s="2">
        <f t="shared" si="58"/>
        <v>13</v>
      </c>
      <c r="CV634" s="2" t="str">
        <f t="shared" si="56"/>
        <v>Sr. Project Manager</v>
      </c>
      <c r="CW634" s="2" t="str">
        <f>_xlfn.XLOOKUP(CL634,'[1]Rates &amp; Drop Downs INT'!D$373:D$430,'[1]Rates &amp; Drop Downs INT'!C$373:C$430,"X",1)</f>
        <v>Cloud &amp; Engineering - 2 | Associate Engineer</v>
      </c>
    </row>
    <row r="635" spans="85:101" ht="13.05" customHeight="1" x14ac:dyDescent="0.25">
      <c r="CG635" s="2" t="s">
        <v>276</v>
      </c>
      <c r="CH635" s="2" t="s">
        <v>276</v>
      </c>
      <c r="CI635" s="2" t="s">
        <v>1233</v>
      </c>
      <c r="CJ635" s="2" t="s">
        <v>3347</v>
      </c>
      <c r="CK635" s="2" t="s">
        <v>329</v>
      </c>
      <c r="CL635" s="2" t="s">
        <v>3552</v>
      </c>
      <c r="CM635" s="39">
        <v>2</v>
      </c>
      <c r="CN635" s="2" t="str">
        <f t="shared" si="57"/>
        <v>TADigital NA Digital - DevOps Engineer</v>
      </c>
      <c r="CO635" s="2" t="str">
        <f t="shared" si="60"/>
        <v>TADigital India Consulting | Cloud &amp; Engineering - L2 / B1-B3 | Associate Engineer</v>
      </c>
      <c r="CP635" s="1579">
        <v>130</v>
      </c>
      <c r="CQ635" s="1579">
        <v>70</v>
      </c>
      <c r="CR635" s="1579">
        <v>55</v>
      </c>
      <c r="CS635" s="1579">
        <f t="shared" si="59"/>
        <v>14.760000000000002</v>
      </c>
      <c r="CT635" s="1579">
        <v>18</v>
      </c>
      <c r="CU635" s="2">
        <f t="shared" si="58"/>
        <v>13</v>
      </c>
      <c r="CV635" s="2" t="str">
        <f t="shared" si="56"/>
        <v>DevOps Engineer</v>
      </c>
      <c r="CW635" s="2" t="str">
        <f>_xlfn.XLOOKUP(CL635,'[1]Rates &amp; Drop Downs INT'!D$373:D$430,'[1]Rates &amp; Drop Downs INT'!C$373:C$430,"X",1)</f>
        <v>Cloud &amp; Engineering - 2 | Associate Engineer</v>
      </c>
    </row>
    <row r="636" spans="85:101" ht="13.05" customHeight="1" x14ac:dyDescent="0.25">
      <c r="CG636" s="2" t="s">
        <v>276</v>
      </c>
      <c r="CH636" s="2" t="s">
        <v>276</v>
      </c>
      <c r="CI636" s="2" t="s">
        <v>1233</v>
      </c>
      <c r="CJ636" s="2" t="s">
        <v>3347</v>
      </c>
      <c r="CK636" s="2" t="s">
        <v>578</v>
      </c>
      <c r="CL636" s="2" t="s">
        <v>3553</v>
      </c>
      <c r="CM636" s="39">
        <v>3</v>
      </c>
      <c r="CN636" s="2" t="str">
        <f t="shared" si="57"/>
        <v>TADigital NA Digital - Technical Lead</v>
      </c>
      <c r="CO636" s="2" t="str">
        <f t="shared" si="60"/>
        <v>TADigital India Consulting | Cloud &amp; Engineering - L2 / B1-B3 | Associate Engineer</v>
      </c>
      <c r="CP636" s="1579">
        <v>185</v>
      </c>
      <c r="CQ636" s="1579">
        <v>105</v>
      </c>
      <c r="CR636" s="1579">
        <v>80</v>
      </c>
      <c r="CS636" s="1579">
        <f t="shared" si="59"/>
        <v>22.55</v>
      </c>
      <c r="CT636" s="1579">
        <v>27.5</v>
      </c>
      <c r="CU636" s="2">
        <f t="shared" si="58"/>
        <v>13</v>
      </c>
      <c r="CV636" s="2" t="str">
        <f t="shared" si="56"/>
        <v>Technical Lead</v>
      </c>
      <c r="CW636" s="2" t="str">
        <f>_xlfn.XLOOKUP(CL636,'[1]Rates &amp; Drop Downs INT'!D$373:D$430,'[1]Rates &amp; Drop Downs INT'!C$373:C$430,"X",1)</f>
        <v>Cloud &amp; Engineering - 2 | Associate Engineer</v>
      </c>
    </row>
    <row r="637" spans="85:101" ht="13.05" customHeight="1" x14ac:dyDescent="0.25">
      <c r="CG637" s="2" t="s">
        <v>276</v>
      </c>
      <c r="CH637" s="2" t="s">
        <v>276</v>
      </c>
      <c r="CI637" s="2" t="s">
        <v>1233</v>
      </c>
      <c r="CJ637" s="2" t="s">
        <v>3347</v>
      </c>
      <c r="CK637" s="2" t="s">
        <v>582</v>
      </c>
      <c r="CL637" s="2">
        <v>0</v>
      </c>
      <c r="CM637" s="39">
        <v>5</v>
      </c>
      <c r="CN637" s="2" t="str">
        <f t="shared" si="57"/>
        <v>TADigital NA Consulting - Delivery Manager</v>
      </c>
      <c r="CO637" s="2" t="str">
        <f t="shared" si="60"/>
        <v>TADigital India Consulting | Cloud &amp; Engineering - L2 / B1-B3 | Associate Engineer</v>
      </c>
      <c r="CP637" s="1579">
        <v>265</v>
      </c>
      <c r="CQ637" s="1579">
        <v>132.5</v>
      </c>
      <c r="CR637" s="1579">
        <v>105</v>
      </c>
      <c r="CS637" s="1579">
        <f t="shared" si="59"/>
        <v>41</v>
      </c>
      <c r="CT637" s="1579">
        <v>50</v>
      </c>
      <c r="CU637" s="2">
        <f t="shared" si="58"/>
        <v>13</v>
      </c>
      <c r="CV637" s="2" t="str">
        <f t="shared" si="56"/>
        <v>Delivery Manager</v>
      </c>
      <c r="CW637" s="2" t="str">
        <f>_xlfn.XLOOKUP(CL637,'[1]Rates &amp; Drop Downs INT'!D$373:D$430,'[1]Rates &amp; Drop Downs INT'!C$373:C$430,"X",1)</f>
        <v>Cloud &amp; Engineering - 2 | Associate Engineer</v>
      </c>
    </row>
    <row r="638" spans="85:101" ht="13.05" customHeight="1" x14ac:dyDescent="0.25">
      <c r="CG638" s="2" t="s">
        <v>276</v>
      </c>
      <c r="CH638" s="2" t="s">
        <v>276</v>
      </c>
      <c r="CI638" s="2" t="s">
        <v>1233</v>
      </c>
      <c r="CJ638" s="2" t="s">
        <v>3347</v>
      </c>
      <c r="CK638" s="2" t="s">
        <v>3352</v>
      </c>
      <c r="CL638" s="2" t="s">
        <v>3549</v>
      </c>
      <c r="CM638" s="39">
        <v>5</v>
      </c>
      <c r="CN638" s="2" t="str">
        <f t="shared" si="57"/>
        <v>TADigital NA | Management - Practice Director / Delivery Director</v>
      </c>
      <c r="CO638" s="2" t="str">
        <f t="shared" si="60"/>
        <v>TADigital India Consulting | Cloud &amp; Engineering - L2 / B1-B3 | Associate Engineer</v>
      </c>
      <c r="CP638" s="1579">
        <v>315</v>
      </c>
      <c r="CQ638" s="1579">
        <v>165</v>
      </c>
      <c r="CR638" s="1579">
        <v>115</v>
      </c>
      <c r="CS638" s="1579">
        <f t="shared" si="59"/>
        <v>45.1</v>
      </c>
      <c r="CT638" s="1579">
        <v>55</v>
      </c>
      <c r="CU638" s="2">
        <f t="shared" si="58"/>
        <v>13</v>
      </c>
      <c r="CV638" s="2" t="str">
        <f t="shared" si="56"/>
        <v>Management - Practice Director / Delivery Director</v>
      </c>
      <c r="CW638" s="2" t="str">
        <f>_xlfn.XLOOKUP(CL638,'[1]Rates &amp; Drop Downs INT'!D$373:D$430,'[1]Rates &amp; Drop Downs INT'!C$373:C$430,"X",1)</f>
        <v>Cloud &amp; Engineering - 2 | Associate Engineer</v>
      </c>
    </row>
    <row r="639" spans="85:101" ht="13.05" customHeight="1" x14ac:dyDescent="0.25">
      <c r="CG639" s="2" t="s">
        <v>276</v>
      </c>
      <c r="CH639" s="2" t="s">
        <v>276</v>
      </c>
      <c r="CI639" s="2" t="s">
        <v>1233</v>
      </c>
      <c r="CJ639" s="2" t="s">
        <v>3347</v>
      </c>
      <c r="CK639" s="2" t="s">
        <v>446</v>
      </c>
      <c r="CL639" s="2" t="s">
        <v>3546</v>
      </c>
      <c r="CM639" s="39">
        <v>4</v>
      </c>
      <c r="CN639" s="2" t="str">
        <f t="shared" si="57"/>
        <v>TADigital NA Consulting - Sr. Project Manager</v>
      </c>
      <c r="CO639" s="2" t="str">
        <f t="shared" si="60"/>
        <v>TADigital India Consulting | Cloud &amp; Engineering - L2 / B1-B3 | Associate Engineer</v>
      </c>
      <c r="CP639" s="1579">
        <v>235</v>
      </c>
      <c r="CQ639" s="1579">
        <v>130</v>
      </c>
      <c r="CR639" s="1579">
        <v>80</v>
      </c>
      <c r="CS639" s="1579">
        <f t="shared" si="59"/>
        <v>38.950000000000003</v>
      </c>
      <c r="CT639" s="1579">
        <v>47.5</v>
      </c>
      <c r="CU639" s="2">
        <f t="shared" si="58"/>
        <v>13</v>
      </c>
      <c r="CV639" s="2" t="str">
        <f t="shared" si="56"/>
        <v>Sr. Project Manager</v>
      </c>
      <c r="CW639" s="2" t="str">
        <f>_xlfn.XLOOKUP(CL639,'[1]Rates &amp; Drop Downs INT'!D$373:D$430,'[1]Rates &amp; Drop Downs INT'!C$373:C$430,"X",1)</f>
        <v>Cloud &amp; Engineering - 2 | Associate Engineer</v>
      </c>
    </row>
    <row r="640" spans="85:101" ht="13.05" customHeight="1" x14ac:dyDescent="0.25">
      <c r="CG640" s="2" t="s">
        <v>276</v>
      </c>
      <c r="CH640" s="2" t="s">
        <v>276</v>
      </c>
      <c r="CI640" s="2" t="s">
        <v>1233</v>
      </c>
      <c r="CJ640" s="2" t="s">
        <v>3347</v>
      </c>
      <c r="CK640" s="2" t="s">
        <v>3353</v>
      </c>
      <c r="CL640" s="2" t="s">
        <v>3549</v>
      </c>
      <c r="CM640" s="39">
        <v>6</v>
      </c>
      <c r="CN640" s="2" t="str">
        <f t="shared" si="57"/>
        <v>TADigital NA | Management - Practice VP / Delivery VP</v>
      </c>
      <c r="CO640" s="2" t="str">
        <f t="shared" si="60"/>
        <v>TADigital India Consulting | Cloud &amp; Engineering - L2 / B1-B3 | Associate Engineer</v>
      </c>
      <c r="CP640" s="1579">
        <v>370</v>
      </c>
      <c r="CQ640" s="1579">
        <v>172.5</v>
      </c>
      <c r="CR640" s="1579">
        <v>135</v>
      </c>
      <c r="CS640" s="1579">
        <f t="shared" si="59"/>
        <v>51.250000000000007</v>
      </c>
      <c r="CT640" s="1579">
        <v>62.5</v>
      </c>
      <c r="CU640" s="2">
        <f t="shared" si="58"/>
        <v>13</v>
      </c>
      <c r="CV640" s="2" t="str">
        <f t="shared" si="56"/>
        <v>Management - Practice VP / Delivery VP</v>
      </c>
      <c r="CW640" s="2" t="str">
        <f>_xlfn.XLOOKUP(CL640,'[1]Rates &amp; Drop Downs INT'!D$373:D$430,'[1]Rates &amp; Drop Downs INT'!C$373:C$430,"X",1)</f>
        <v>Cloud &amp; Engineering - 2 | Associate Engineer</v>
      </c>
    </row>
    <row r="641" spans="85:101" ht="13.05" customHeight="1" x14ac:dyDescent="0.25">
      <c r="CG641" s="2" t="s">
        <v>276</v>
      </c>
      <c r="CH641" s="2" t="s">
        <v>276</v>
      </c>
      <c r="CI641" s="2" t="s">
        <v>1233</v>
      </c>
      <c r="CJ641" s="2" t="s">
        <v>3347</v>
      </c>
      <c r="CK641" s="2" t="s">
        <v>576</v>
      </c>
      <c r="CL641" s="2" t="s">
        <v>3554</v>
      </c>
      <c r="CM641" s="39">
        <v>2</v>
      </c>
      <c r="CN641" s="2" t="str">
        <f t="shared" si="57"/>
        <v>TADigital NA Consulting | Content &amp; SEO - Associate Content Strategist</v>
      </c>
      <c r="CO641" s="2" t="str">
        <f t="shared" si="60"/>
        <v>TADigital India Consulting | Cloud &amp; Engineering - L2 / B1-B3 | Associate Engineer</v>
      </c>
      <c r="CP641" s="1579">
        <v>160</v>
      </c>
      <c r="CQ641" s="1579">
        <v>80</v>
      </c>
      <c r="CR641" s="1579">
        <v>65</v>
      </c>
      <c r="CS641" s="1579">
        <f t="shared" si="59"/>
        <v>16.400000000000002</v>
      </c>
      <c r="CT641" s="1579">
        <v>20</v>
      </c>
      <c r="CU641" s="2">
        <f t="shared" si="58"/>
        <v>13</v>
      </c>
      <c r="CV641" s="2" t="str">
        <f t="shared" si="56"/>
        <v>Content &amp; SEO - Associate Content Strategist</v>
      </c>
      <c r="CW641" s="2" t="str">
        <f>_xlfn.XLOOKUP(CL641,'[1]Rates &amp; Drop Downs INT'!D$373:D$430,'[1]Rates &amp; Drop Downs INT'!C$373:C$430,"X",1)</f>
        <v>Cloud &amp; Engineering - 2 | Associate Engineer</v>
      </c>
    </row>
    <row r="642" spans="85:101" ht="13.05" customHeight="1" x14ac:dyDescent="0.25">
      <c r="CG642" s="2" t="s">
        <v>276</v>
      </c>
      <c r="CH642" s="2" t="s">
        <v>276</v>
      </c>
      <c r="CI642" s="2" t="s">
        <v>1233</v>
      </c>
      <c r="CJ642" s="2" t="s">
        <v>3347</v>
      </c>
      <c r="CK642" s="2" t="s">
        <v>3354</v>
      </c>
      <c r="CL642" s="2" t="s">
        <v>3549</v>
      </c>
      <c r="CM642" s="39">
        <v>5</v>
      </c>
      <c r="CN642" s="2" t="str">
        <f t="shared" si="57"/>
        <v>TADigital NA | Management - Sr. Practice Director / Sr. Delivery Director</v>
      </c>
      <c r="CO642" s="2" t="str">
        <f t="shared" si="60"/>
        <v>TADigital India Consulting | Cloud &amp; Engineering - L2 / B1-B3 | Associate Engineer</v>
      </c>
      <c r="CP642" s="1579">
        <v>340</v>
      </c>
      <c r="CQ642" s="1579">
        <v>170</v>
      </c>
      <c r="CR642" s="1579">
        <v>125</v>
      </c>
      <c r="CS642" s="1579">
        <f t="shared" si="59"/>
        <v>49.2</v>
      </c>
      <c r="CT642" s="1579">
        <v>60</v>
      </c>
      <c r="CU642" s="2">
        <f t="shared" si="58"/>
        <v>13</v>
      </c>
      <c r="CV642" s="2" t="str">
        <f t="shared" si="56"/>
        <v>Management - Sr. Practice Director / Sr. Delivery Director</v>
      </c>
      <c r="CW642" s="2" t="str">
        <f>_xlfn.XLOOKUP(CL642,'[1]Rates &amp; Drop Downs INT'!D$373:D$430,'[1]Rates &amp; Drop Downs INT'!C$373:C$430,"X",1)</f>
        <v>Cloud &amp; Engineering - 2 | Associate Engineer</v>
      </c>
    </row>
    <row r="643" spans="85:101" ht="13.05" customHeight="1" x14ac:dyDescent="0.25">
      <c r="CG643" s="2" t="s">
        <v>276</v>
      </c>
      <c r="CH643" s="2" t="s">
        <v>276</v>
      </c>
      <c r="CI643" s="2" t="s">
        <v>1233</v>
      </c>
      <c r="CJ643" s="2" t="s">
        <v>3347</v>
      </c>
      <c r="CK643" s="2" t="s">
        <v>448</v>
      </c>
      <c r="CL643" s="2" t="s">
        <v>3546</v>
      </c>
      <c r="CM643" s="39">
        <v>5</v>
      </c>
      <c r="CN643" s="2" t="str">
        <f t="shared" si="57"/>
        <v>TADigital NA Consulting - Delivery Manager</v>
      </c>
      <c r="CO643" s="2" t="str">
        <f t="shared" si="60"/>
        <v>TADigital India Consulting | Cloud &amp; Engineering - L2 / B1-B3 | Associate Engineer</v>
      </c>
      <c r="CP643" s="1579">
        <v>265</v>
      </c>
      <c r="CQ643" s="1579">
        <v>137.5</v>
      </c>
      <c r="CR643" s="1579">
        <v>90</v>
      </c>
      <c r="CS643" s="1579">
        <f t="shared" si="59"/>
        <v>38.950000000000003</v>
      </c>
      <c r="CT643" s="1579">
        <v>47.5</v>
      </c>
      <c r="CU643" s="2">
        <f t="shared" si="58"/>
        <v>13</v>
      </c>
      <c r="CV643" s="2" t="str">
        <f t="shared" si="56"/>
        <v>Delivery Manager</v>
      </c>
      <c r="CW643" s="2" t="str">
        <f>_xlfn.XLOOKUP(CL643,'[1]Rates &amp; Drop Downs INT'!D$373:D$430,'[1]Rates &amp; Drop Downs INT'!C$373:C$430,"X",1)</f>
        <v>Cloud &amp; Engineering - 2 | Associate Engineer</v>
      </c>
    </row>
    <row r="644" spans="85:101" ht="13.05" customHeight="1" x14ac:dyDescent="0.25">
      <c r="CG644" s="2" t="s">
        <v>276</v>
      </c>
      <c r="CH644" s="2" t="s">
        <v>276</v>
      </c>
      <c r="CI644" s="2" t="s">
        <v>3150</v>
      </c>
      <c r="CJ644" s="2" t="s">
        <v>1813</v>
      </c>
      <c r="CK644" s="2" t="s">
        <v>720</v>
      </c>
      <c r="CL644" s="2" t="s">
        <v>3546</v>
      </c>
      <c r="CM644" s="39">
        <v>5</v>
      </c>
      <c r="CN644" s="2" t="str">
        <f t="shared" si="57"/>
        <v>TADigital NA | Management - Associate Practice Director</v>
      </c>
      <c r="CO644" s="2" t="str">
        <f t="shared" si="60"/>
        <v>TADigital India Consulting | Cloud &amp; Engineering - L2 / B1-B3 | Associate Engineer</v>
      </c>
      <c r="CP644" s="1579">
        <v>290</v>
      </c>
      <c r="CQ644" s="1579">
        <v>140</v>
      </c>
      <c r="CR644" s="1579">
        <v>105</v>
      </c>
      <c r="CS644" s="1579">
        <f t="shared" si="59"/>
        <v>45.1</v>
      </c>
      <c r="CT644" s="1579">
        <v>55</v>
      </c>
      <c r="CU644" s="2">
        <f t="shared" si="58"/>
        <v>13</v>
      </c>
      <c r="CV644" s="2" t="str">
        <f t="shared" si="56"/>
        <v>Management - Associate Practice Director</v>
      </c>
      <c r="CW644" s="2" t="str">
        <f>_xlfn.XLOOKUP(CL644,'[1]Rates &amp; Drop Downs INT'!D$373:D$430,'[1]Rates &amp; Drop Downs INT'!C$373:C$430,"X",1)</f>
        <v>Cloud &amp; Engineering - 2 | Associate Engineer</v>
      </c>
    </row>
    <row r="645" spans="85:101" ht="13.05" customHeight="1" x14ac:dyDescent="0.25">
      <c r="CG645" s="2" t="s">
        <v>276</v>
      </c>
      <c r="CH645" s="2" t="s">
        <v>276</v>
      </c>
      <c r="CI645" s="2" t="s">
        <v>3150</v>
      </c>
      <c r="CJ645" s="2" t="s">
        <v>1813</v>
      </c>
      <c r="CK645" s="2" t="s">
        <v>3364</v>
      </c>
      <c r="CL645" s="2" t="s">
        <v>3545</v>
      </c>
      <c r="CM645" s="39">
        <v>2</v>
      </c>
      <c r="CN645" s="2" t="str">
        <f t="shared" si="57"/>
        <v>TADigital NA Consulting | Content &amp; SEO - Associate Web Content Analyst</v>
      </c>
      <c r="CO645" s="2" t="str">
        <f t="shared" si="60"/>
        <v>TADigital India Consulting | Cloud &amp; Engineering - L2 / B1-B3 | Associate Engineer</v>
      </c>
      <c r="CP645" s="1579">
        <v>0</v>
      </c>
      <c r="CQ645" s="1579">
        <v>0</v>
      </c>
      <c r="CR645" s="1579">
        <v>30</v>
      </c>
      <c r="CS645" s="1579">
        <f t="shared" si="59"/>
        <v>10.66</v>
      </c>
      <c r="CT645" s="1579">
        <v>13</v>
      </c>
      <c r="CU645" s="2">
        <f t="shared" si="58"/>
        <v>13</v>
      </c>
      <c r="CV645" s="2" t="str">
        <f t="shared" si="56"/>
        <v>Content &amp; SEO - Associate Web Content Analyst</v>
      </c>
      <c r="CW645" s="2" t="str">
        <f>_xlfn.XLOOKUP(CL645,'[1]Rates &amp; Drop Downs INT'!D$373:D$430,'[1]Rates &amp; Drop Downs INT'!C$373:C$430,"X",1)</f>
        <v>Cloud &amp; Engineering - 2 | Associate Engineer</v>
      </c>
    </row>
    <row r="646" spans="85:101" ht="13.05" customHeight="1" x14ac:dyDescent="0.25">
      <c r="CG646" s="2" t="s">
        <v>276</v>
      </c>
      <c r="CH646" s="2" t="s">
        <v>276</v>
      </c>
      <c r="CI646" s="2" t="s">
        <v>3150</v>
      </c>
      <c r="CJ646" s="2" t="s">
        <v>1813</v>
      </c>
      <c r="CK646" s="2" t="s">
        <v>3352</v>
      </c>
      <c r="CL646" s="2" t="s">
        <v>3549</v>
      </c>
      <c r="CM646" s="39">
        <v>5</v>
      </c>
      <c r="CN646" s="2" t="str">
        <f t="shared" si="57"/>
        <v>TADigital NA | Management - Practice Director / Delivery Director</v>
      </c>
      <c r="CO646" s="2" t="str">
        <f t="shared" si="60"/>
        <v>TADigital India Consulting | Cloud &amp; Engineering - L2 / B1-B3 | Associate Engineer</v>
      </c>
      <c r="CP646" s="1579">
        <v>315</v>
      </c>
      <c r="CQ646" s="1579">
        <v>165</v>
      </c>
      <c r="CR646" s="1579">
        <v>115</v>
      </c>
      <c r="CS646" s="1579">
        <f t="shared" si="59"/>
        <v>45.1</v>
      </c>
      <c r="CT646" s="1579">
        <v>55</v>
      </c>
      <c r="CU646" s="2">
        <f t="shared" si="58"/>
        <v>13</v>
      </c>
      <c r="CV646" s="2" t="str">
        <f t="shared" ref="CV646:CV709" si="61">_xlfn.XLOOKUP(CN646,$F$205:$F$287,TADNorthAmerica,"X",1)</f>
        <v>Management - Practice Director / Delivery Director</v>
      </c>
      <c r="CW646" s="2" t="str">
        <f>_xlfn.XLOOKUP(CL646,'[1]Rates &amp; Drop Downs INT'!D$373:D$430,'[1]Rates &amp; Drop Downs INT'!C$373:C$430,"X",1)</f>
        <v>Cloud &amp; Engineering - 2 | Associate Engineer</v>
      </c>
    </row>
    <row r="647" spans="85:101" ht="13.05" customHeight="1" x14ac:dyDescent="0.25">
      <c r="CG647" s="2" t="s">
        <v>276</v>
      </c>
      <c r="CH647" s="2" t="s">
        <v>276</v>
      </c>
      <c r="CI647" s="2" t="s">
        <v>3150</v>
      </c>
      <c r="CJ647" s="2" t="s">
        <v>1813</v>
      </c>
      <c r="CK647" s="2" t="s">
        <v>3353</v>
      </c>
      <c r="CL647" s="2" t="s">
        <v>3549</v>
      </c>
      <c r="CM647" s="39">
        <v>6</v>
      </c>
      <c r="CN647" s="2" t="str">
        <f t="shared" ref="CN647:CN710" si="62">_xlfn.XLOOKUP(CP647,$I$205:$I$287,$F$205:$F$287,"X",1)</f>
        <v>TADigital NA | Management - Practice VP / Delivery VP</v>
      </c>
      <c r="CO647" s="2" t="str">
        <f>_xlfn.XLOOKUP(CW647,$C$373:$C$430,$F$373:$F$430,"X",1)</f>
        <v>TADigital India Consulting | Cloud &amp; Engineering - L2 / B1-B3 | Associate Engineer</v>
      </c>
      <c r="CP647" s="1579">
        <v>370</v>
      </c>
      <c r="CQ647" s="1579">
        <v>172.5</v>
      </c>
      <c r="CR647" s="1579">
        <v>135</v>
      </c>
      <c r="CS647" s="1579">
        <f t="shared" si="59"/>
        <v>51.250000000000007</v>
      </c>
      <c r="CT647" s="1579">
        <v>62.5</v>
      </c>
      <c r="CU647" s="2">
        <f t="shared" ref="CU647:CU710" si="63">_xlfn.XLOOKUP(CW647,$C$373:$C$430,$G$373:$G$430,"X",1)</f>
        <v>13</v>
      </c>
      <c r="CV647" s="2" t="str">
        <f t="shared" si="61"/>
        <v>Management - Practice VP / Delivery VP</v>
      </c>
      <c r="CW647" s="2" t="str">
        <f>_xlfn.XLOOKUP(CL647,'[1]Rates &amp; Drop Downs INT'!D$373:D$430,'[1]Rates &amp; Drop Downs INT'!C$373:C$430,"X",1)</f>
        <v>Cloud &amp; Engineering - 2 | Associate Engineer</v>
      </c>
    </row>
    <row r="648" spans="85:101" ht="13.05" customHeight="1" x14ac:dyDescent="0.25">
      <c r="CG648" s="2" t="s">
        <v>276</v>
      </c>
      <c r="CH648" s="2" t="s">
        <v>276</v>
      </c>
      <c r="CI648" s="2" t="s">
        <v>3150</v>
      </c>
      <c r="CJ648" s="2" t="s">
        <v>1813</v>
      </c>
      <c r="CK648" s="2" t="s">
        <v>567</v>
      </c>
      <c r="CL648" s="2" t="s">
        <v>3555</v>
      </c>
      <c r="CM648" s="39">
        <v>2</v>
      </c>
      <c r="CN648" s="2" t="str">
        <f t="shared" si="62"/>
        <v>TADigital NA Consulting | Content &amp; SEO - Content Analyst</v>
      </c>
      <c r="CO648" s="2" t="str">
        <f t="shared" ref="CO648" si="64">_xlfn.XLOOKUP(CW648,$C$373:$C$430,$F$373:$F$430,"X",1)</f>
        <v>TADigital India Consulting | Cloud &amp; Engineering - L2 / B1-B3 | Associate Engineer</v>
      </c>
      <c r="CP648" s="1579">
        <v>125</v>
      </c>
      <c r="CQ648" s="1579">
        <v>75</v>
      </c>
      <c r="CR648" s="1579">
        <v>40</v>
      </c>
      <c r="CS648" s="1579">
        <f t="shared" si="59"/>
        <v>14.760000000000002</v>
      </c>
      <c r="CT648" s="1579">
        <v>18</v>
      </c>
      <c r="CU648" s="2">
        <f t="shared" si="63"/>
        <v>13</v>
      </c>
      <c r="CV648" s="2" t="str">
        <f t="shared" si="61"/>
        <v>Content &amp; SEO - Content Analyst</v>
      </c>
      <c r="CW648" s="2" t="str">
        <f>_xlfn.XLOOKUP(CL648,'[1]Rates &amp; Drop Downs INT'!D$373:D$430,'[1]Rates &amp; Drop Downs INT'!C$373:C$430,"X",1)</f>
        <v>Cloud &amp; Engineering - 2 | Associate Engineer</v>
      </c>
    </row>
    <row r="649" spans="85:101" ht="13.05" customHeight="1" x14ac:dyDescent="0.25">
      <c r="CG649" s="2" t="s">
        <v>276</v>
      </c>
      <c r="CH649" s="2" t="s">
        <v>276</v>
      </c>
      <c r="CI649" s="2" t="s">
        <v>3150</v>
      </c>
      <c r="CJ649" s="2" t="s">
        <v>1813</v>
      </c>
      <c r="CK649" s="2" t="s">
        <v>571</v>
      </c>
      <c r="CL649" s="2" t="s">
        <v>3556</v>
      </c>
      <c r="CM649" s="39">
        <v>3</v>
      </c>
      <c r="CN649" s="2" t="str">
        <f t="shared" si="62"/>
        <v>TADigital NA Consulting | Content &amp; SEO - Content Strategist</v>
      </c>
      <c r="CO649" s="2" t="str">
        <f>_xlfn.XLOOKUP(CW649,$C$373:$C$430,$F$373:$F$430,"X",1)</f>
        <v>TADigital India Consulting | Cloud &amp; Engineering - L2 / B1-B3 | Associate Engineer</v>
      </c>
      <c r="CP649" s="1579">
        <v>170</v>
      </c>
      <c r="CQ649" s="1579">
        <v>82.5</v>
      </c>
      <c r="CR649" s="1579">
        <v>70</v>
      </c>
      <c r="CS649" s="1579">
        <f t="shared" si="59"/>
        <v>20.5</v>
      </c>
      <c r="CT649" s="1579">
        <v>25</v>
      </c>
      <c r="CU649" s="2">
        <f t="shared" si="63"/>
        <v>13</v>
      </c>
      <c r="CV649" s="2" t="str">
        <f t="shared" si="61"/>
        <v>Content &amp; SEO - Content Strategist</v>
      </c>
      <c r="CW649" s="2" t="str">
        <f>_xlfn.XLOOKUP(CL649,'[1]Rates &amp; Drop Downs INT'!D$373:D$430,'[1]Rates &amp; Drop Downs INT'!C$373:C$430,"X",1)</f>
        <v>Cloud &amp; Engineering - 2 | Associate Engineer</v>
      </c>
    </row>
    <row r="650" spans="85:101" ht="13.05" customHeight="1" x14ac:dyDescent="0.25">
      <c r="CG650" s="2" t="s">
        <v>276</v>
      </c>
      <c r="CH650" s="2" t="s">
        <v>276</v>
      </c>
      <c r="CI650" s="2" t="s">
        <v>3150</v>
      </c>
      <c r="CJ650" s="2" t="s">
        <v>1813</v>
      </c>
      <c r="CK650" s="2" t="s">
        <v>573</v>
      </c>
      <c r="CL650" s="2" t="s">
        <v>3557</v>
      </c>
      <c r="CM650" s="39">
        <v>4</v>
      </c>
      <c r="CN650" s="2" t="str">
        <f t="shared" si="62"/>
        <v>TADigital NA Consulting - Project Manager / Product Manager</v>
      </c>
      <c r="CO650" s="2" t="str">
        <f t="shared" ref="CO650:CO713" si="65">_xlfn.XLOOKUP(CW650,$C$373:$C$430,$F$373:$F$430,"X",1)</f>
        <v>TADigital India Consulting | Cloud &amp; Engineering - L2 / B1-B3 | Associate Engineer</v>
      </c>
      <c r="CP650" s="1579">
        <v>190</v>
      </c>
      <c r="CQ650" s="1579">
        <v>85</v>
      </c>
      <c r="CR650" s="1579">
        <v>80</v>
      </c>
      <c r="CS650" s="1579">
        <f t="shared" si="59"/>
        <v>26.650000000000002</v>
      </c>
      <c r="CT650" s="1579">
        <v>32.5</v>
      </c>
      <c r="CU650" s="2">
        <f t="shared" si="63"/>
        <v>13</v>
      </c>
      <c r="CV650" s="2" t="str">
        <f t="shared" si="61"/>
        <v>Project Manager / Product Manager</v>
      </c>
      <c r="CW650" s="2" t="str">
        <f>_xlfn.XLOOKUP(CL650,'[1]Rates &amp; Drop Downs INT'!D$373:D$430,'[1]Rates &amp; Drop Downs INT'!C$373:C$430,"X",1)</f>
        <v>Cloud &amp; Engineering - 2 | Associate Engineer</v>
      </c>
    </row>
    <row r="651" spans="85:101" ht="13.05" customHeight="1" x14ac:dyDescent="0.25">
      <c r="CG651" s="2" t="s">
        <v>276</v>
      </c>
      <c r="CH651" s="2" t="s">
        <v>276</v>
      </c>
      <c r="CI651" s="2" t="s">
        <v>3150</v>
      </c>
      <c r="CJ651" s="2" t="s">
        <v>1813</v>
      </c>
      <c r="CK651" s="2" t="s">
        <v>3354</v>
      </c>
      <c r="CL651" s="2" t="s">
        <v>3549</v>
      </c>
      <c r="CM651" s="39">
        <v>5</v>
      </c>
      <c r="CN651" s="2" t="str">
        <f t="shared" si="62"/>
        <v>TADigital NA | Management - Sr. Practice Director / Sr. Delivery Director</v>
      </c>
      <c r="CO651" s="2" t="str">
        <f t="shared" si="65"/>
        <v>TADigital India Consulting | Cloud &amp; Engineering - L2 / B1-B3 | Associate Engineer</v>
      </c>
      <c r="CP651" s="1579">
        <v>340</v>
      </c>
      <c r="CQ651" s="1579">
        <v>170</v>
      </c>
      <c r="CR651" s="1579">
        <v>125</v>
      </c>
      <c r="CS651" s="1579">
        <f t="shared" si="59"/>
        <v>49.2</v>
      </c>
      <c r="CT651" s="1579">
        <v>60</v>
      </c>
      <c r="CU651" s="2">
        <f t="shared" si="63"/>
        <v>13</v>
      </c>
      <c r="CV651" s="2" t="str">
        <f t="shared" si="61"/>
        <v>Management - Sr. Practice Director / Sr. Delivery Director</v>
      </c>
      <c r="CW651" s="2" t="str">
        <f>_xlfn.XLOOKUP(CL651,'[1]Rates &amp; Drop Downs INT'!D$373:D$430,'[1]Rates &amp; Drop Downs INT'!C$373:C$430,"X",1)</f>
        <v>Cloud &amp; Engineering - 2 | Associate Engineer</v>
      </c>
    </row>
    <row r="652" spans="85:101" ht="13.05" customHeight="1" x14ac:dyDescent="0.25">
      <c r="CG652" s="2" t="s">
        <v>276</v>
      </c>
      <c r="CH652" s="2" t="s">
        <v>276</v>
      </c>
      <c r="CI652" s="2" t="s">
        <v>3150</v>
      </c>
      <c r="CJ652" s="2" t="s">
        <v>1813</v>
      </c>
      <c r="CK652" s="2" t="s">
        <v>569</v>
      </c>
      <c r="CL652" s="2" t="s">
        <v>3550</v>
      </c>
      <c r="CM652" s="39">
        <v>2</v>
      </c>
      <c r="CN652" s="2" t="str">
        <f t="shared" si="62"/>
        <v>TADigital NA Consulting | Content &amp; SEO - Content Strategist</v>
      </c>
      <c r="CO652" s="2" t="str">
        <f t="shared" si="65"/>
        <v>TADigital India Consulting | Cloud &amp; Engineering - L2 / B1-B3 | Associate Engineer</v>
      </c>
      <c r="CP652" s="1579">
        <v>165</v>
      </c>
      <c r="CQ652" s="1579">
        <v>80</v>
      </c>
      <c r="CR652" s="1579">
        <v>60</v>
      </c>
      <c r="CS652" s="1579">
        <f t="shared" si="59"/>
        <v>16.400000000000002</v>
      </c>
      <c r="CT652" s="1579">
        <v>20</v>
      </c>
      <c r="CU652" s="2">
        <f t="shared" si="63"/>
        <v>13</v>
      </c>
      <c r="CV652" s="2" t="str">
        <f t="shared" si="61"/>
        <v>Content &amp; SEO - Content Strategist</v>
      </c>
      <c r="CW652" s="2" t="str">
        <f>_xlfn.XLOOKUP(CL652,'[1]Rates &amp; Drop Downs INT'!D$373:D$430,'[1]Rates &amp; Drop Downs INT'!C$373:C$430,"X",1)</f>
        <v>Cloud &amp; Engineering - 2 | Associate Engineer</v>
      </c>
    </row>
    <row r="653" spans="85:101" ht="13.05" customHeight="1" x14ac:dyDescent="0.25">
      <c r="CG653" s="2" t="s">
        <v>276</v>
      </c>
      <c r="CH653" s="2" t="s">
        <v>276</v>
      </c>
      <c r="CI653" s="2" t="s">
        <v>1235</v>
      </c>
      <c r="CJ653" s="2" t="s">
        <v>1811</v>
      </c>
      <c r="CK653" s="2" t="s">
        <v>3351</v>
      </c>
      <c r="CL653" s="2" t="s">
        <v>3545</v>
      </c>
      <c r="CM653" s="39">
        <v>2</v>
      </c>
      <c r="CN653" s="2" t="str">
        <f t="shared" si="62"/>
        <v>TADigital NA Consulting | Content &amp; SEO - Associate Web Content Analyst</v>
      </c>
      <c r="CO653" s="2" t="str">
        <f t="shared" si="65"/>
        <v>TADigital India Consulting | Cloud &amp; Engineering - L2 / B1-B3 | Associate Engineer</v>
      </c>
      <c r="CP653" s="1579">
        <v>0</v>
      </c>
      <c r="CQ653" s="1579">
        <v>0</v>
      </c>
      <c r="CR653" s="1579">
        <v>35</v>
      </c>
      <c r="CS653" s="1579">
        <f t="shared" si="59"/>
        <v>10.66</v>
      </c>
      <c r="CT653" s="1579">
        <v>13</v>
      </c>
      <c r="CU653" s="2">
        <f t="shared" si="63"/>
        <v>13</v>
      </c>
      <c r="CV653" s="2" t="str">
        <f t="shared" si="61"/>
        <v>Content &amp; SEO - Associate Web Content Analyst</v>
      </c>
      <c r="CW653" s="2" t="str">
        <f>_xlfn.XLOOKUP(CL653,'[1]Rates &amp; Drop Downs INT'!D$373:D$430,'[1]Rates &amp; Drop Downs INT'!C$373:C$430,"X",1)</f>
        <v>Cloud &amp; Engineering - 2 | Associate Engineer</v>
      </c>
    </row>
    <row r="654" spans="85:101" ht="13.05" customHeight="1" x14ac:dyDescent="0.25">
      <c r="CG654" s="2" t="s">
        <v>276</v>
      </c>
      <c r="CH654" s="2" t="s">
        <v>276</v>
      </c>
      <c r="CI654" s="2" t="s">
        <v>1235</v>
      </c>
      <c r="CJ654" s="2" t="s">
        <v>1811</v>
      </c>
      <c r="CK654" s="2" t="s">
        <v>720</v>
      </c>
      <c r="CL654" s="2" t="s">
        <v>3546</v>
      </c>
      <c r="CM654" s="39">
        <v>5</v>
      </c>
      <c r="CN654" s="2" t="str">
        <f t="shared" si="62"/>
        <v>TADigital NA | Management - Associate Practice Director</v>
      </c>
      <c r="CO654" s="2" t="str">
        <f t="shared" si="65"/>
        <v>TADigital India Consulting | Cloud &amp; Engineering - L2 / B1-B3 | Associate Engineer</v>
      </c>
      <c r="CP654" s="1579">
        <v>290</v>
      </c>
      <c r="CQ654" s="1579">
        <v>140</v>
      </c>
      <c r="CR654" s="1579">
        <v>105</v>
      </c>
      <c r="CS654" s="1579">
        <f t="shared" si="59"/>
        <v>45.1</v>
      </c>
      <c r="CT654" s="1579">
        <v>55</v>
      </c>
      <c r="CU654" s="2">
        <f t="shared" si="63"/>
        <v>13</v>
      </c>
      <c r="CV654" s="2" t="str">
        <f t="shared" si="61"/>
        <v>Management - Associate Practice Director</v>
      </c>
      <c r="CW654" s="2" t="str">
        <f>_xlfn.XLOOKUP(CL654,'[1]Rates &amp; Drop Downs INT'!D$373:D$430,'[1]Rates &amp; Drop Downs INT'!C$373:C$430,"X",1)</f>
        <v>Cloud &amp; Engineering - 2 | Associate Engineer</v>
      </c>
    </row>
    <row r="655" spans="85:101" ht="13.05" customHeight="1" x14ac:dyDescent="0.25">
      <c r="CG655" s="2" t="s">
        <v>276</v>
      </c>
      <c r="CH655" s="2" t="s">
        <v>276</v>
      </c>
      <c r="CI655" s="2" t="s">
        <v>1235</v>
      </c>
      <c r="CJ655" s="2" t="s">
        <v>1811</v>
      </c>
      <c r="CK655" s="2" t="s">
        <v>532</v>
      </c>
      <c r="CL655" s="2" t="s">
        <v>3547</v>
      </c>
      <c r="CM655" s="39">
        <v>2</v>
      </c>
      <c r="CN655" s="2" t="str">
        <f t="shared" si="62"/>
        <v>TADigital NA Consulting | Content &amp; SEO - Associate Content Strategist</v>
      </c>
      <c r="CO655" s="2" t="str">
        <f t="shared" si="65"/>
        <v>TADigital India Consulting | Cloud &amp; Engineering - L2 / B1-B3 | Associate Engineer</v>
      </c>
      <c r="CP655" s="1579">
        <v>160</v>
      </c>
      <c r="CQ655" s="1579">
        <v>80</v>
      </c>
      <c r="CR655" s="1579">
        <v>55</v>
      </c>
      <c r="CS655" s="1579">
        <f t="shared" si="59"/>
        <v>14.760000000000002</v>
      </c>
      <c r="CT655" s="1579">
        <v>18</v>
      </c>
      <c r="CU655" s="2">
        <f t="shared" si="63"/>
        <v>13</v>
      </c>
      <c r="CV655" s="2" t="str">
        <f t="shared" si="61"/>
        <v>Content &amp; SEO - Associate Content Strategist</v>
      </c>
      <c r="CW655" s="2" t="str">
        <f>_xlfn.XLOOKUP(CL655,'[1]Rates &amp; Drop Downs INT'!D$373:D$430,'[1]Rates &amp; Drop Downs INT'!C$373:C$430,"X",1)</f>
        <v>Cloud &amp; Engineering - 2 | Associate Engineer</v>
      </c>
    </row>
    <row r="656" spans="85:101" ht="13.05" customHeight="1" x14ac:dyDescent="0.25">
      <c r="CG656" s="2" t="s">
        <v>276</v>
      </c>
      <c r="CH656" s="2" t="s">
        <v>276</v>
      </c>
      <c r="CI656" s="2" t="s">
        <v>1235</v>
      </c>
      <c r="CJ656" s="2" t="s">
        <v>1811</v>
      </c>
      <c r="CK656" s="2" t="s">
        <v>542</v>
      </c>
      <c r="CL656" s="2" t="s">
        <v>3548</v>
      </c>
      <c r="CM656" s="39">
        <v>5</v>
      </c>
      <c r="CN656" s="2" t="str">
        <f t="shared" si="62"/>
        <v>TADigital NA | Management - Associate Practice Director</v>
      </c>
      <c r="CO656" s="2" t="str">
        <f t="shared" si="65"/>
        <v>TADigital India Consulting | Cloud &amp; Engineering - L2 / B1-B3 | Associate Engineer</v>
      </c>
      <c r="CP656" s="1579">
        <v>290</v>
      </c>
      <c r="CQ656" s="1579">
        <v>167.5</v>
      </c>
      <c r="CR656" s="1579">
        <v>125</v>
      </c>
      <c r="CS656" s="1579">
        <f t="shared" si="59"/>
        <v>51.250000000000007</v>
      </c>
      <c r="CT656" s="1579">
        <v>62.5</v>
      </c>
      <c r="CU656" s="2">
        <f t="shared" si="63"/>
        <v>13</v>
      </c>
      <c r="CV656" s="2" t="str">
        <f t="shared" si="61"/>
        <v>Management - Associate Practice Director</v>
      </c>
      <c r="CW656" s="2" t="str">
        <f>_xlfn.XLOOKUP(CL656,'[1]Rates &amp; Drop Downs INT'!D$373:D$430,'[1]Rates &amp; Drop Downs INT'!C$373:C$430,"X",1)</f>
        <v>Cloud &amp; Engineering - 2 | Associate Engineer</v>
      </c>
    </row>
    <row r="657" spans="85:101" ht="13.05" customHeight="1" x14ac:dyDescent="0.25">
      <c r="CG657" s="2" t="s">
        <v>276</v>
      </c>
      <c r="CH657" s="2" t="s">
        <v>276</v>
      </c>
      <c r="CI657" s="2" t="s">
        <v>1235</v>
      </c>
      <c r="CJ657" s="2" t="s">
        <v>1811</v>
      </c>
      <c r="CK657" s="2" t="s">
        <v>3352</v>
      </c>
      <c r="CL657" s="2" t="s">
        <v>3549</v>
      </c>
      <c r="CM657" s="39">
        <v>5</v>
      </c>
      <c r="CN657" s="2" t="str">
        <f t="shared" si="62"/>
        <v>TADigital NA | Management - Practice Director / Delivery Director</v>
      </c>
      <c r="CO657" s="2" t="str">
        <f t="shared" si="65"/>
        <v>TADigital India Consulting | Cloud &amp; Engineering - L2 / B1-B3 | Associate Engineer</v>
      </c>
      <c r="CP657" s="1579">
        <v>315</v>
      </c>
      <c r="CQ657" s="1579">
        <v>165</v>
      </c>
      <c r="CR657" s="1579">
        <v>115</v>
      </c>
      <c r="CS657" s="1579">
        <f t="shared" si="59"/>
        <v>45.1</v>
      </c>
      <c r="CT657" s="1579">
        <v>55</v>
      </c>
      <c r="CU657" s="2">
        <f t="shared" si="63"/>
        <v>13</v>
      </c>
      <c r="CV657" s="2" t="str">
        <f t="shared" si="61"/>
        <v>Management - Practice Director / Delivery Director</v>
      </c>
      <c r="CW657" s="2" t="str">
        <f>_xlfn.XLOOKUP(CL657,'[1]Rates &amp; Drop Downs INT'!D$373:D$430,'[1]Rates &amp; Drop Downs INT'!C$373:C$430,"X",1)</f>
        <v>Cloud &amp; Engineering - 2 | Associate Engineer</v>
      </c>
    </row>
    <row r="658" spans="85:101" ht="13.05" customHeight="1" x14ac:dyDescent="0.25">
      <c r="CG658" s="2" t="s">
        <v>276</v>
      </c>
      <c r="CH658" s="2" t="s">
        <v>276</v>
      </c>
      <c r="CI658" s="2" t="s">
        <v>1235</v>
      </c>
      <c r="CJ658" s="2" t="s">
        <v>1811</v>
      </c>
      <c r="CK658" s="2" t="s">
        <v>446</v>
      </c>
      <c r="CL658" s="2" t="s">
        <v>3546</v>
      </c>
      <c r="CM658" s="39">
        <v>4</v>
      </c>
      <c r="CN658" s="2" t="str">
        <f t="shared" si="62"/>
        <v>TADigital NA Consulting - Sr. Project Manager</v>
      </c>
      <c r="CO658" s="2" t="str">
        <f t="shared" si="65"/>
        <v>TADigital India Consulting | Cloud &amp; Engineering - L2 / B1-B3 | Associate Engineer</v>
      </c>
      <c r="CP658" s="1579">
        <v>235</v>
      </c>
      <c r="CQ658" s="1579">
        <v>130</v>
      </c>
      <c r="CR658" s="1579">
        <v>80</v>
      </c>
      <c r="CS658" s="1579">
        <f t="shared" si="59"/>
        <v>38.950000000000003</v>
      </c>
      <c r="CT658" s="1579">
        <v>47.5</v>
      </c>
      <c r="CU658" s="2">
        <f t="shared" si="63"/>
        <v>13</v>
      </c>
      <c r="CV658" s="2" t="str">
        <f t="shared" si="61"/>
        <v>Sr. Project Manager</v>
      </c>
      <c r="CW658" s="2" t="str">
        <f>_xlfn.XLOOKUP(CL658,'[1]Rates &amp; Drop Downs INT'!D$373:D$430,'[1]Rates &amp; Drop Downs INT'!C$373:C$430,"X",1)</f>
        <v>Cloud &amp; Engineering - 2 | Associate Engineer</v>
      </c>
    </row>
    <row r="659" spans="85:101" ht="13.05" customHeight="1" x14ac:dyDescent="0.25">
      <c r="CG659" s="2" t="s">
        <v>276</v>
      </c>
      <c r="CH659" s="2" t="s">
        <v>276</v>
      </c>
      <c r="CI659" s="2" t="s">
        <v>1235</v>
      </c>
      <c r="CJ659" s="2" t="s">
        <v>1811</v>
      </c>
      <c r="CK659" s="2" t="s">
        <v>3353</v>
      </c>
      <c r="CL659" s="2" t="s">
        <v>3549</v>
      </c>
      <c r="CM659" s="39">
        <v>6</v>
      </c>
      <c r="CN659" s="2" t="str">
        <f t="shared" si="62"/>
        <v>TADigital NA | Management - Practice VP / Delivery VP</v>
      </c>
      <c r="CO659" s="2" t="str">
        <f t="shared" si="65"/>
        <v>TADigital India Consulting | Cloud &amp; Engineering - L2 / B1-B3 | Associate Engineer</v>
      </c>
      <c r="CP659" s="1579">
        <v>370</v>
      </c>
      <c r="CQ659" s="1579">
        <v>172.5</v>
      </c>
      <c r="CR659" s="1579">
        <v>135</v>
      </c>
      <c r="CS659" s="1579">
        <f t="shared" si="59"/>
        <v>51.250000000000007</v>
      </c>
      <c r="CT659" s="1579">
        <v>62.5</v>
      </c>
      <c r="CU659" s="2">
        <f t="shared" si="63"/>
        <v>13</v>
      </c>
      <c r="CV659" s="2" t="str">
        <f t="shared" si="61"/>
        <v>Management - Practice VP / Delivery VP</v>
      </c>
      <c r="CW659" s="2" t="str">
        <f>_xlfn.XLOOKUP(CL659,'[1]Rates &amp; Drop Downs INT'!D$373:D$430,'[1]Rates &amp; Drop Downs INT'!C$373:C$430,"X",1)</f>
        <v>Cloud &amp; Engineering - 2 | Associate Engineer</v>
      </c>
    </row>
    <row r="660" spans="85:101" ht="13.05" customHeight="1" x14ac:dyDescent="0.25">
      <c r="CG660" s="2" t="s">
        <v>276</v>
      </c>
      <c r="CH660" s="2" t="s">
        <v>276</v>
      </c>
      <c r="CI660" s="2" t="s">
        <v>1235</v>
      </c>
      <c r="CJ660" s="2" t="s">
        <v>1811</v>
      </c>
      <c r="CK660" s="2" t="s">
        <v>534</v>
      </c>
      <c r="CL660" s="2" t="s">
        <v>3550</v>
      </c>
      <c r="CM660" s="39">
        <v>2</v>
      </c>
      <c r="CN660" s="2" t="str">
        <f t="shared" si="62"/>
        <v>TADigital NA Consulting | Content &amp; SEO - Content Strategist</v>
      </c>
      <c r="CO660" s="2" t="str">
        <f t="shared" si="65"/>
        <v>TADigital India Consulting | Cloud &amp; Engineering - L2 / B1-B3 | Associate Engineer</v>
      </c>
      <c r="CP660" s="1579">
        <v>170</v>
      </c>
      <c r="CQ660" s="1579">
        <v>82.5</v>
      </c>
      <c r="CR660" s="1579">
        <v>65</v>
      </c>
      <c r="CS660" s="1579">
        <f t="shared" si="59"/>
        <v>18.450000000000003</v>
      </c>
      <c r="CT660" s="1579">
        <v>22.5</v>
      </c>
      <c r="CU660" s="2">
        <f t="shared" si="63"/>
        <v>13</v>
      </c>
      <c r="CV660" s="2" t="str">
        <f t="shared" si="61"/>
        <v>Content &amp; SEO - Content Strategist</v>
      </c>
      <c r="CW660" s="2" t="str">
        <f>_xlfn.XLOOKUP(CL660,'[1]Rates &amp; Drop Downs INT'!D$373:D$430,'[1]Rates &amp; Drop Downs INT'!C$373:C$430,"X",1)</f>
        <v>Cloud &amp; Engineering - 2 | Associate Engineer</v>
      </c>
    </row>
    <row r="661" spans="85:101" ht="13.05" customHeight="1" x14ac:dyDescent="0.25">
      <c r="CG661" s="2" t="s">
        <v>276</v>
      </c>
      <c r="CH661" s="2" t="s">
        <v>276</v>
      </c>
      <c r="CI661" s="2" t="s">
        <v>1235</v>
      </c>
      <c r="CJ661" s="2" t="s">
        <v>1811</v>
      </c>
      <c r="CK661" s="2" t="s">
        <v>3354</v>
      </c>
      <c r="CL661" s="2" t="s">
        <v>3549</v>
      </c>
      <c r="CM661" s="39">
        <v>5</v>
      </c>
      <c r="CN661" s="2" t="str">
        <f t="shared" si="62"/>
        <v>TADigital NA | Management - Sr. Practice Director / Sr. Delivery Director</v>
      </c>
      <c r="CO661" s="2" t="str">
        <f t="shared" si="65"/>
        <v>TADigital India Consulting | Cloud &amp; Engineering - L2 / B1-B3 | Associate Engineer</v>
      </c>
      <c r="CP661" s="1579">
        <v>340</v>
      </c>
      <c r="CQ661" s="1579">
        <v>170</v>
      </c>
      <c r="CR661" s="1579">
        <v>125</v>
      </c>
      <c r="CS661" s="1579">
        <f t="shared" si="59"/>
        <v>49.2</v>
      </c>
      <c r="CT661" s="1579">
        <v>60</v>
      </c>
      <c r="CU661" s="2">
        <f t="shared" si="63"/>
        <v>13</v>
      </c>
      <c r="CV661" s="2" t="str">
        <f t="shared" si="61"/>
        <v>Management - Sr. Practice Director / Sr. Delivery Director</v>
      </c>
      <c r="CW661" s="2" t="str">
        <f>_xlfn.XLOOKUP(CL661,'[1]Rates &amp; Drop Downs INT'!D$373:D$430,'[1]Rates &amp; Drop Downs INT'!C$373:C$430,"X",1)</f>
        <v>Cloud &amp; Engineering - 2 | Associate Engineer</v>
      </c>
    </row>
    <row r="662" spans="85:101" ht="13.05" customHeight="1" x14ac:dyDescent="0.25">
      <c r="CG662" s="2" t="s">
        <v>276</v>
      </c>
      <c r="CH662" s="2" t="s">
        <v>276</v>
      </c>
      <c r="CI662" s="2" t="s">
        <v>1235</v>
      </c>
      <c r="CJ662" s="2" t="s">
        <v>1811</v>
      </c>
      <c r="CK662" s="2" t="s">
        <v>448</v>
      </c>
      <c r="CL662" s="2" t="s">
        <v>3546</v>
      </c>
      <c r="CM662" s="39">
        <v>5</v>
      </c>
      <c r="CN662" s="2" t="str">
        <f t="shared" si="62"/>
        <v>TADigital NA Consulting - Delivery Manager</v>
      </c>
      <c r="CO662" s="2" t="str">
        <f t="shared" si="65"/>
        <v>TADigital India Consulting | Cloud &amp; Engineering - L2 / B1-B3 | Associate Engineer</v>
      </c>
      <c r="CP662" s="1579">
        <v>265</v>
      </c>
      <c r="CQ662" s="1579">
        <v>137.5</v>
      </c>
      <c r="CR662" s="1579">
        <v>90</v>
      </c>
      <c r="CS662" s="1579">
        <f t="shared" si="59"/>
        <v>38.950000000000003</v>
      </c>
      <c r="CT662" s="1579">
        <v>47.5</v>
      </c>
      <c r="CU662" s="2">
        <f t="shared" si="63"/>
        <v>13</v>
      </c>
      <c r="CV662" s="2" t="str">
        <f t="shared" si="61"/>
        <v>Delivery Manager</v>
      </c>
      <c r="CW662" s="2" t="str">
        <f>_xlfn.XLOOKUP(CL662,'[1]Rates &amp; Drop Downs INT'!D$373:D$430,'[1]Rates &amp; Drop Downs INT'!C$373:C$430,"X",1)</f>
        <v>Cloud &amp; Engineering - 2 | Associate Engineer</v>
      </c>
    </row>
    <row r="663" spans="85:101" ht="13.05" customHeight="1" x14ac:dyDescent="0.25">
      <c r="CG663" s="2" t="s">
        <v>276</v>
      </c>
      <c r="CH663" s="2" t="s">
        <v>276</v>
      </c>
      <c r="CI663" s="2" t="s">
        <v>1235</v>
      </c>
      <c r="CJ663" s="2" t="s">
        <v>1811</v>
      </c>
      <c r="CK663" s="2" t="s">
        <v>540</v>
      </c>
      <c r="CL663" s="2" t="s">
        <v>538</v>
      </c>
      <c r="CM663" s="39">
        <v>5</v>
      </c>
      <c r="CN663" s="2" t="str">
        <f t="shared" si="62"/>
        <v>TADigital NA Digital - Sr. Technical Architect</v>
      </c>
      <c r="CO663" s="2" t="str">
        <f t="shared" si="65"/>
        <v>TADigital India Consulting | Cloud &amp; Engineering - L2 / B1-B3 | Associate Engineer</v>
      </c>
      <c r="CP663" s="1579">
        <v>275</v>
      </c>
      <c r="CQ663" s="1579">
        <v>155</v>
      </c>
      <c r="CR663" s="1579">
        <v>105</v>
      </c>
      <c r="CS663" s="1579">
        <f t="shared" si="59"/>
        <v>36.900000000000006</v>
      </c>
      <c r="CT663" s="1579">
        <v>45</v>
      </c>
      <c r="CU663" s="2">
        <f t="shared" si="63"/>
        <v>13</v>
      </c>
      <c r="CV663" s="2" t="str">
        <f t="shared" si="61"/>
        <v>Sr. Technical Architect</v>
      </c>
      <c r="CW663" s="2" t="str">
        <f>_xlfn.XLOOKUP(CL663,'[1]Rates &amp; Drop Downs INT'!D$373:D$430,'[1]Rates &amp; Drop Downs INT'!C$373:C$430,"X",1)</f>
        <v>Cloud &amp; Engineering - 2 | Associate Engineer</v>
      </c>
    </row>
    <row r="664" spans="85:101" ht="13.05" customHeight="1" x14ac:dyDescent="0.25">
      <c r="CG664" s="2" t="s">
        <v>276</v>
      </c>
      <c r="CH664" s="2" t="s">
        <v>276</v>
      </c>
      <c r="CI664" s="2" t="s">
        <v>1235</v>
      </c>
      <c r="CJ664" s="2" t="s">
        <v>1811</v>
      </c>
      <c r="CK664" s="2" t="s">
        <v>538</v>
      </c>
      <c r="CL664" s="2" t="s">
        <v>538</v>
      </c>
      <c r="CM664" s="39">
        <v>4</v>
      </c>
      <c r="CN664" s="2" t="str">
        <f t="shared" si="62"/>
        <v>TADigital NA Consulting - Sr. Project Manager</v>
      </c>
      <c r="CO664" s="2" t="str">
        <f t="shared" si="65"/>
        <v>TADigital India Consulting | Cloud &amp; Engineering - L2 / B1-B3 | Associate Engineer</v>
      </c>
      <c r="CP664" s="1579">
        <v>235</v>
      </c>
      <c r="CQ664" s="1579">
        <v>132.5</v>
      </c>
      <c r="CR664" s="1579">
        <v>95</v>
      </c>
      <c r="CS664" s="1579">
        <f t="shared" si="59"/>
        <v>32.800000000000004</v>
      </c>
      <c r="CT664" s="1579">
        <v>40</v>
      </c>
      <c r="CU664" s="2">
        <f t="shared" si="63"/>
        <v>13</v>
      </c>
      <c r="CV664" s="2" t="str">
        <f t="shared" si="61"/>
        <v>Sr. Project Manager</v>
      </c>
      <c r="CW664" s="2" t="str">
        <f>_xlfn.XLOOKUP(CL664,'[1]Rates &amp; Drop Downs INT'!D$373:D$430,'[1]Rates &amp; Drop Downs INT'!C$373:C$430,"X",1)</f>
        <v>Cloud &amp; Engineering - 2 | Associate Engineer</v>
      </c>
    </row>
    <row r="665" spans="85:101" ht="13.05" customHeight="1" x14ac:dyDescent="0.25">
      <c r="CG665" s="2" t="s">
        <v>276</v>
      </c>
      <c r="CH665" s="2" t="s">
        <v>276</v>
      </c>
      <c r="CI665" s="2" t="s">
        <v>1235</v>
      </c>
      <c r="CJ665" s="2" t="s">
        <v>1811</v>
      </c>
      <c r="CK665" s="2" t="s">
        <v>536</v>
      </c>
      <c r="CL665" s="2" t="s">
        <v>536</v>
      </c>
      <c r="CM665" s="39">
        <v>3</v>
      </c>
      <c r="CN665" s="2" t="str">
        <f t="shared" si="62"/>
        <v>TADigital NA Digital - Technical Lead</v>
      </c>
      <c r="CO665" s="2" t="str">
        <f t="shared" si="65"/>
        <v>TADigital India Consulting | Cloud &amp; Engineering - L2 / B1-B3 | Associate Engineer</v>
      </c>
      <c r="CP665" s="1579">
        <v>185</v>
      </c>
      <c r="CQ665" s="1579">
        <v>90</v>
      </c>
      <c r="CR665" s="1579">
        <v>85</v>
      </c>
      <c r="CS665" s="1579">
        <f t="shared" si="59"/>
        <v>24.6</v>
      </c>
      <c r="CT665" s="1579">
        <v>30</v>
      </c>
      <c r="CU665" s="2">
        <f t="shared" si="63"/>
        <v>13</v>
      </c>
      <c r="CV665" s="2" t="str">
        <f t="shared" si="61"/>
        <v>Technical Lead</v>
      </c>
      <c r="CW665" s="2" t="str">
        <f>_xlfn.XLOOKUP(CL665,'[1]Rates &amp; Drop Downs INT'!D$373:D$430,'[1]Rates &amp; Drop Downs INT'!C$373:C$430,"X",1)</f>
        <v>Cloud &amp; Engineering - 2 | Associate Engineer</v>
      </c>
    </row>
    <row r="666" spans="85:101" ht="13.05" customHeight="1" x14ac:dyDescent="0.25">
      <c r="CG666" s="2" t="s">
        <v>276</v>
      </c>
      <c r="CH666" s="2" t="s">
        <v>276</v>
      </c>
      <c r="CI666" s="2" t="s">
        <v>1240</v>
      </c>
      <c r="CJ666" s="2" t="s">
        <v>1817</v>
      </c>
      <c r="CK666" s="2" t="s">
        <v>3351</v>
      </c>
      <c r="CL666" s="2" t="s">
        <v>3545</v>
      </c>
      <c r="CM666" s="39">
        <v>2</v>
      </c>
      <c r="CN666" s="2" t="str">
        <f t="shared" si="62"/>
        <v>TADigital NA Consulting | Content &amp; SEO - Associate Web Content Analyst</v>
      </c>
      <c r="CO666" s="2" t="str">
        <f t="shared" si="65"/>
        <v>TADigital India Consulting | Cloud &amp; Engineering - L2 / B1-B3 | Associate Engineer</v>
      </c>
      <c r="CP666" s="1579">
        <v>0</v>
      </c>
      <c r="CQ666" s="1579">
        <v>0</v>
      </c>
      <c r="CR666" s="1579">
        <v>35</v>
      </c>
      <c r="CS666" s="1579">
        <f t="shared" si="59"/>
        <v>10.66</v>
      </c>
      <c r="CT666" s="1579">
        <v>13</v>
      </c>
      <c r="CU666" s="2">
        <f t="shared" si="63"/>
        <v>13</v>
      </c>
      <c r="CV666" s="2" t="str">
        <f t="shared" si="61"/>
        <v>Content &amp; SEO - Associate Web Content Analyst</v>
      </c>
      <c r="CW666" s="2" t="str">
        <f>_xlfn.XLOOKUP(CL666,'[1]Rates &amp; Drop Downs INT'!D$373:D$430,'[1]Rates &amp; Drop Downs INT'!C$373:C$430,"X",1)</f>
        <v>Cloud &amp; Engineering - 2 | Associate Engineer</v>
      </c>
    </row>
    <row r="667" spans="85:101" ht="13.05" customHeight="1" x14ac:dyDescent="0.25">
      <c r="CG667" s="2" t="s">
        <v>276</v>
      </c>
      <c r="CH667" s="2" t="s">
        <v>276</v>
      </c>
      <c r="CI667" s="2" t="s">
        <v>1240</v>
      </c>
      <c r="CJ667" s="2" t="s">
        <v>1817</v>
      </c>
      <c r="CK667" s="2" t="s">
        <v>3365</v>
      </c>
      <c r="CL667" s="2" t="s">
        <v>3561</v>
      </c>
      <c r="CM667" s="39">
        <v>2</v>
      </c>
      <c r="CN667" s="2" t="str">
        <f t="shared" si="62"/>
        <v>TADigital NA Consulting | Content &amp; SEO - Associate Web Content Analyst</v>
      </c>
      <c r="CO667" s="2" t="str">
        <f t="shared" si="65"/>
        <v>TADigital India Consulting | Cloud &amp; Engineering - L2 / B1-B3 | Associate Engineer</v>
      </c>
      <c r="CP667" s="1579">
        <v>0</v>
      </c>
      <c r="CQ667" s="1579">
        <v>0</v>
      </c>
      <c r="CR667" s="1579">
        <v>35</v>
      </c>
      <c r="CS667" s="1579">
        <f t="shared" ref="CS667:CS730" si="66">CT667*(1-0.18)</f>
        <v>10.66</v>
      </c>
      <c r="CT667" s="1579">
        <v>13</v>
      </c>
      <c r="CU667" s="2">
        <f t="shared" si="63"/>
        <v>13</v>
      </c>
      <c r="CV667" s="2" t="str">
        <f t="shared" si="61"/>
        <v>Content &amp; SEO - Associate Web Content Analyst</v>
      </c>
      <c r="CW667" s="2" t="str">
        <f>_xlfn.XLOOKUP(CL667,'[1]Rates &amp; Drop Downs INT'!D$373:D$430,'[1]Rates &amp; Drop Downs INT'!C$373:C$430,"X",1)</f>
        <v>Cloud &amp; Engineering - 2 | Associate Engineer</v>
      </c>
    </row>
    <row r="668" spans="85:101" ht="13.05" customHeight="1" x14ac:dyDescent="0.25">
      <c r="CG668" s="2" t="s">
        <v>276</v>
      </c>
      <c r="CH668" s="2" t="s">
        <v>276</v>
      </c>
      <c r="CI668" s="2" t="s">
        <v>1240</v>
      </c>
      <c r="CJ668" s="2" t="s">
        <v>1817</v>
      </c>
      <c r="CK668" s="2" t="s">
        <v>720</v>
      </c>
      <c r="CL668" s="2" t="s">
        <v>3546</v>
      </c>
      <c r="CM668" s="39">
        <v>5</v>
      </c>
      <c r="CN668" s="2" t="str">
        <f t="shared" si="62"/>
        <v>TADigital NA | Management - Associate Practice Director</v>
      </c>
      <c r="CO668" s="2" t="str">
        <f t="shared" si="65"/>
        <v>TADigital India Consulting | Cloud &amp; Engineering - L2 / B1-B3 | Associate Engineer</v>
      </c>
      <c r="CP668" s="1579">
        <v>290</v>
      </c>
      <c r="CQ668" s="1579">
        <v>140</v>
      </c>
      <c r="CR668" s="1579">
        <v>105</v>
      </c>
      <c r="CS668" s="1579">
        <f t="shared" si="66"/>
        <v>45.1</v>
      </c>
      <c r="CT668" s="1579">
        <v>55</v>
      </c>
      <c r="CU668" s="2">
        <f t="shared" si="63"/>
        <v>13</v>
      </c>
      <c r="CV668" s="2" t="str">
        <f t="shared" si="61"/>
        <v>Management - Associate Practice Director</v>
      </c>
      <c r="CW668" s="2" t="str">
        <f>_xlfn.XLOOKUP(CL668,'[1]Rates &amp; Drop Downs INT'!D$373:D$430,'[1]Rates &amp; Drop Downs INT'!C$373:C$430,"X",1)</f>
        <v>Cloud &amp; Engineering - 2 | Associate Engineer</v>
      </c>
    </row>
    <row r="669" spans="85:101" ht="13.05" customHeight="1" x14ac:dyDescent="0.25">
      <c r="CG669" s="2" t="s">
        <v>276</v>
      </c>
      <c r="CH669" s="2" t="s">
        <v>276</v>
      </c>
      <c r="CI669" s="2" t="s">
        <v>1240</v>
      </c>
      <c r="CJ669" s="2" t="s">
        <v>1817</v>
      </c>
      <c r="CK669" s="2" t="s">
        <v>3366</v>
      </c>
      <c r="CL669" s="2" t="s">
        <v>3564</v>
      </c>
      <c r="CM669" s="39">
        <v>2</v>
      </c>
      <c r="CN669" s="2" t="str">
        <f t="shared" si="62"/>
        <v>TADigital NA Consulting - Project Manager / Product Manager</v>
      </c>
      <c r="CO669" s="2" t="str">
        <f t="shared" si="65"/>
        <v>TADigital India Consulting | Cloud &amp; Engineering - L2 / B1-B3 | Associate Engineer</v>
      </c>
      <c r="CP669" s="1579">
        <v>190</v>
      </c>
      <c r="CQ669" s="1579">
        <v>107.5</v>
      </c>
      <c r="CR669" s="1579">
        <v>55</v>
      </c>
      <c r="CS669" s="1579">
        <f t="shared" si="66"/>
        <v>14.760000000000002</v>
      </c>
      <c r="CT669" s="1579">
        <v>18</v>
      </c>
      <c r="CU669" s="2">
        <f t="shared" si="63"/>
        <v>13</v>
      </c>
      <c r="CV669" s="2" t="str">
        <f t="shared" si="61"/>
        <v>Project Manager / Product Manager</v>
      </c>
      <c r="CW669" s="2" t="str">
        <f>_xlfn.XLOOKUP(CL669,'[1]Rates &amp; Drop Downs INT'!D$373:D$430,'[1]Rates &amp; Drop Downs INT'!C$373:C$430,"X",1)</f>
        <v>Cloud &amp; Engineering - 2 | Associate Engineer</v>
      </c>
    </row>
    <row r="670" spans="85:101" ht="13.05" customHeight="1" x14ac:dyDescent="0.25">
      <c r="CG670" s="2" t="s">
        <v>276</v>
      </c>
      <c r="CH670" s="2" t="s">
        <v>276</v>
      </c>
      <c r="CI670" s="2" t="s">
        <v>1240</v>
      </c>
      <c r="CJ670" s="2" t="s">
        <v>1817</v>
      </c>
      <c r="CK670" s="2" t="s">
        <v>532</v>
      </c>
      <c r="CL670" s="2" t="s">
        <v>3547</v>
      </c>
      <c r="CM670" s="39">
        <v>2</v>
      </c>
      <c r="CN670" s="2" t="str">
        <f t="shared" si="62"/>
        <v>TADigital NA Consulting | Content &amp; SEO - Associate Content Strategist</v>
      </c>
      <c r="CO670" s="2" t="str">
        <f t="shared" si="65"/>
        <v>TADigital India Consulting | Cloud &amp; Engineering - L2 / B1-B3 | Associate Engineer</v>
      </c>
      <c r="CP670" s="1579">
        <v>160</v>
      </c>
      <c r="CQ670" s="1579">
        <v>80</v>
      </c>
      <c r="CR670" s="1579">
        <v>55</v>
      </c>
      <c r="CS670" s="1579">
        <f t="shared" si="66"/>
        <v>14.760000000000002</v>
      </c>
      <c r="CT670" s="1579">
        <v>18</v>
      </c>
      <c r="CU670" s="2">
        <f t="shared" si="63"/>
        <v>13</v>
      </c>
      <c r="CV670" s="2" t="str">
        <f t="shared" si="61"/>
        <v>Content &amp; SEO - Associate Content Strategist</v>
      </c>
      <c r="CW670" s="2" t="str">
        <f>_xlfn.XLOOKUP(CL670,'[1]Rates &amp; Drop Downs INT'!D$373:D$430,'[1]Rates &amp; Drop Downs INT'!C$373:C$430,"X",1)</f>
        <v>Cloud &amp; Engineering - 2 | Associate Engineer</v>
      </c>
    </row>
    <row r="671" spans="85:101" ht="13.05" customHeight="1" x14ac:dyDescent="0.25">
      <c r="CG671" s="2" t="s">
        <v>276</v>
      </c>
      <c r="CH671" s="2" t="s">
        <v>276</v>
      </c>
      <c r="CI671" s="2" t="s">
        <v>1240</v>
      </c>
      <c r="CJ671" s="2" t="s">
        <v>1817</v>
      </c>
      <c r="CK671" s="2" t="s">
        <v>584</v>
      </c>
      <c r="CL671" s="2" t="s">
        <v>3561</v>
      </c>
      <c r="CM671" s="39">
        <v>2</v>
      </c>
      <c r="CN671" s="2" t="str">
        <f t="shared" si="62"/>
        <v>TADigital NA Digital - DevOps Engineer</v>
      </c>
      <c r="CO671" s="2" t="str">
        <f t="shared" si="65"/>
        <v>TADigital India Consulting | Cloud &amp; Engineering - L2 / B1-B3 | Associate Engineer</v>
      </c>
      <c r="CP671" s="1579">
        <v>130</v>
      </c>
      <c r="CQ671" s="1579">
        <v>75</v>
      </c>
      <c r="CR671" s="1579">
        <v>50</v>
      </c>
      <c r="CS671" s="1579">
        <f t="shared" si="66"/>
        <v>10.66</v>
      </c>
      <c r="CT671" s="1579">
        <v>13</v>
      </c>
      <c r="CU671" s="2">
        <f t="shared" si="63"/>
        <v>13</v>
      </c>
      <c r="CV671" s="2" t="str">
        <f t="shared" si="61"/>
        <v>DevOps Engineer</v>
      </c>
      <c r="CW671" s="2" t="str">
        <f>_xlfn.XLOOKUP(CL671,'[1]Rates &amp; Drop Downs INT'!D$373:D$430,'[1]Rates &amp; Drop Downs INT'!C$373:C$430,"X",1)</f>
        <v>Cloud &amp; Engineering - 2 | Associate Engineer</v>
      </c>
    </row>
    <row r="672" spans="85:101" ht="13.05" customHeight="1" x14ac:dyDescent="0.25">
      <c r="CG672" s="2" t="s">
        <v>276</v>
      </c>
      <c r="CH672" s="2" t="s">
        <v>276</v>
      </c>
      <c r="CI672" s="2" t="s">
        <v>1240</v>
      </c>
      <c r="CJ672" s="2" t="s">
        <v>1817</v>
      </c>
      <c r="CK672" s="2" t="s">
        <v>590</v>
      </c>
      <c r="CL672" s="2" t="s">
        <v>3549</v>
      </c>
      <c r="CM672" s="39">
        <v>4</v>
      </c>
      <c r="CN672" s="2" t="str">
        <f t="shared" si="62"/>
        <v>TADigital NA Consulting | Strategy - Associate Digital Strategist</v>
      </c>
      <c r="CO672" s="2" t="str">
        <f t="shared" si="65"/>
        <v>TADigital India Consulting | Cloud &amp; Engineering - L2 / B1-B3 | Associate Engineer</v>
      </c>
      <c r="CP672" s="1579">
        <v>200</v>
      </c>
      <c r="CQ672" s="1579">
        <v>115</v>
      </c>
      <c r="CR672" s="1579">
        <v>85</v>
      </c>
      <c r="CS672" s="1579">
        <f t="shared" si="66"/>
        <v>24.6</v>
      </c>
      <c r="CT672" s="1579">
        <v>30</v>
      </c>
      <c r="CU672" s="2">
        <f t="shared" si="63"/>
        <v>13</v>
      </c>
      <c r="CV672" s="2" t="str">
        <f t="shared" si="61"/>
        <v>Strategy - Associate Digital Strategist</v>
      </c>
      <c r="CW672" s="2" t="str">
        <f>_xlfn.XLOOKUP(CL672,'[1]Rates &amp; Drop Downs INT'!D$373:D$430,'[1]Rates &amp; Drop Downs INT'!C$373:C$430,"X",1)</f>
        <v>Cloud &amp; Engineering - 2 | Associate Engineer</v>
      </c>
    </row>
    <row r="673" spans="85:101" ht="13.05" customHeight="1" x14ac:dyDescent="0.25">
      <c r="CG673" s="2" t="s">
        <v>276</v>
      </c>
      <c r="CH673" s="2" t="s">
        <v>276</v>
      </c>
      <c r="CI673" s="2" t="s">
        <v>1240</v>
      </c>
      <c r="CJ673" s="2" t="s">
        <v>1817</v>
      </c>
      <c r="CK673" s="2" t="s">
        <v>588</v>
      </c>
      <c r="CL673" s="2" t="s">
        <v>3563</v>
      </c>
      <c r="CM673" s="39">
        <v>3</v>
      </c>
      <c r="CN673" s="2" t="str">
        <f t="shared" si="62"/>
        <v>TADigital NA Consulting | Content &amp; SEO - Sr. Content Strategist</v>
      </c>
      <c r="CO673" s="2" t="str">
        <f t="shared" si="65"/>
        <v>TADigital India Consulting | Cloud &amp; Engineering - L2 / B1-B3 | Associate Engineer</v>
      </c>
      <c r="CP673" s="1579">
        <v>175</v>
      </c>
      <c r="CQ673" s="1579">
        <v>100</v>
      </c>
      <c r="CR673" s="1579">
        <v>75</v>
      </c>
      <c r="CS673" s="1579">
        <f t="shared" si="66"/>
        <v>24.6</v>
      </c>
      <c r="CT673" s="1579">
        <v>30</v>
      </c>
      <c r="CU673" s="2">
        <f t="shared" si="63"/>
        <v>13</v>
      </c>
      <c r="CV673" s="2" t="str">
        <f t="shared" si="61"/>
        <v>Content &amp; SEO - Sr. Content Strategist</v>
      </c>
      <c r="CW673" s="2" t="str">
        <f>_xlfn.XLOOKUP(CL673,'[1]Rates &amp; Drop Downs INT'!D$373:D$430,'[1]Rates &amp; Drop Downs INT'!C$373:C$430,"X",1)</f>
        <v>Cloud &amp; Engineering - 2 | Associate Engineer</v>
      </c>
    </row>
    <row r="674" spans="85:101" ht="13.05" customHeight="1" x14ac:dyDescent="0.25">
      <c r="CG674" s="2" t="s">
        <v>276</v>
      </c>
      <c r="CH674" s="2" t="s">
        <v>276</v>
      </c>
      <c r="CI674" s="2" t="s">
        <v>1240</v>
      </c>
      <c r="CJ674" s="2" t="s">
        <v>1817</v>
      </c>
      <c r="CK674" s="2" t="s">
        <v>542</v>
      </c>
      <c r="CL674" s="2" t="s">
        <v>3548</v>
      </c>
      <c r="CM674" s="39">
        <v>5</v>
      </c>
      <c r="CN674" s="2" t="str">
        <f t="shared" si="62"/>
        <v>TADigital NA | Management - Associate Practice Director</v>
      </c>
      <c r="CO674" s="2" t="str">
        <f t="shared" si="65"/>
        <v>TADigital India Consulting | Cloud &amp; Engineering - L2 / B1-B3 | Associate Engineer</v>
      </c>
      <c r="CP674" s="1579">
        <v>290</v>
      </c>
      <c r="CQ674" s="1579">
        <v>167.5</v>
      </c>
      <c r="CR674" s="1579">
        <v>125</v>
      </c>
      <c r="CS674" s="1579">
        <f t="shared" si="66"/>
        <v>51.250000000000007</v>
      </c>
      <c r="CT674" s="1579">
        <v>62.5</v>
      </c>
      <c r="CU674" s="2">
        <f t="shared" si="63"/>
        <v>13</v>
      </c>
      <c r="CV674" s="2" t="str">
        <f t="shared" si="61"/>
        <v>Management - Associate Practice Director</v>
      </c>
      <c r="CW674" s="2" t="str">
        <f>_xlfn.XLOOKUP(CL674,'[1]Rates &amp; Drop Downs INT'!D$373:D$430,'[1]Rates &amp; Drop Downs INT'!C$373:C$430,"X",1)</f>
        <v>Cloud &amp; Engineering - 2 | Associate Engineer</v>
      </c>
    </row>
    <row r="675" spans="85:101" ht="13.05" customHeight="1" x14ac:dyDescent="0.25">
      <c r="CG675" s="2" t="s">
        <v>276</v>
      </c>
      <c r="CH675" s="2" t="s">
        <v>276</v>
      </c>
      <c r="CI675" s="2" t="s">
        <v>1240</v>
      </c>
      <c r="CJ675" s="2" t="s">
        <v>1817</v>
      </c>
      <c r="CK675" s="2" t="s">
        <v>3352</v>
      </c>
      <c r="CL675" s="2" t="s">
        <v>3549</v>
      </c>
      <c r="CM675" s="39">
        <v>5</v>
      </c>
      <c r="CN675" s="2" t="str">
        <f t="shared" si="62"/>
        <v>TADigital NA | Management - Practice Director / Delivery Director</v>
      </c>
      <c r="CO675" s="2" t="str">
        <f t="shared" si="65"/>
        <v>TADigital India Consulting | Cloud &amp; Engineering - L2 / B1-B3 | Associate Engineer</v>
      </c>
      <c r="CP675" s="1579">
        <v>315</v>
      </c>
      <c r="CQ675" s="1579">
        <v>165</v>
      </c>
      <c r="CR675" s="1579">
        <v>115</v>
      </c>
      <c r="CS675" s="1579">
        <f t="shared" si="66"/>
        <v>45.1</v>
      </c>
      <c r="CT675" s="1579">
        <v>55</v>
      </c>
      <c r="CU675" s="2">
        <f t="shared" si="63"/>
        <v>13</v>
      </c>
      <c r="CV675" s="2" t="str">
        <f t="shared" si="61"/>
        <v>Management - Practice Director / Delivery Director</v>
      </c>
      <c r="CW675" s="2" t="str">
        <f>_xlfn.XLOOKUP(CL675,'[1]Rates &amp; Drop Downs INT'!D$373:D$430,'[1]Rates &amp; Drop Downs INT'!C$373:C$430,"X",1)</f>
        <v>Cloud &amp; Engineering - 2 | Associate Engineer</v>
      </c>
    </row>
    <row r="676" spans="85:101" ht="13.05" customHeight="1" x14ac:dyDescent="0.25">
      <c r="CG676" s="2" t="s">
        <v>276</v>
      </c>
      <c r="CH676" s="2" t="s">
        <v>276</v>
      </c>
      <c r="CI676" s="2" t="s">
        <v>1240</v>
      </c>
      <c r="CJ676" s="2" t="s">
        <v>1817</v>
      </c>
      <c r="CK676" s="2" t="s">
        <v>446</v>
      </c>
      <c r="CL676" s="2" t="s">
        <v>3546</v>
      </c>
      <c r="CM676" s="39">
        <v>4</v>
      </c>
      <c r="CN676" s="2" t="str">
        <f t="shared" si="62"/>
        <v>TADigital NA Consulting - Sr. Project Manager</v>
      </c>
      <c r="CO676" s="2" t="str">
        <f t="shared" si="65"/>
        <v>TADigital India Consulting | Cloud &amp; Engineering - L2 / B1-B3 | Associate Engineer</v>
      </c>
      <c r="CP676" s="1579">
        <v>235</v>
      </c>
      <c r="CQ676" s="1579">
        <v>130</v>
      </c>
      <c r="CR676" s="1579">
        <v>80</v>
      </c>
      <c r="CS676" s="1579">
        <f t="shared" si="66"/>
        <v>38.950000000000003</v>
      </c>
      <c r="CT676" s="1579">
        <v>47.5</v>
      </c>
      <c r="CU676" s="2">
        <f t="shared" si="63"/>
        <v>13</v>
      </c>
      <c r="CV676" s="2" t="str">
        <f t="shared" si="61"/>
        <v>Sr. Project Manager</v>
      </c>
      <c r="CW676" s="2" t="str">
        <f>_xlfn.XLOOKUP(CL676,'[1]Rates &amp; Drop Downs INT'!D$373:D$430,'[1]Rates &amp; Drop Downs INT'!C$373:C$430,"X",1)</f>
        <v>Cloud &amp; Engineering - 2 | Associate Engineer</v>
      </c>
    </row>
    <row r="677" spans="85:101" ht="13.05" customHeight="1" x14ac:dyDescent="0.25">
      <c r="CG677" s="2" t="s">
        <v>276</v>
      </c>
      <c r="CH677" s="2" t="s">
        <v>276</v>
      </c>
      <c r="CI677" s="2" t="s">
        <v>1240</v>
      </c>
      <c r="CJ677" s="2" t="s">
        <v>1817</v>
      </c>
      <c r="CK677" s="2" t="s">
        <v>3353</v>
      </c>
      <c r="CL677" s="2" t="s">
        <v>3549</v>
      </c>
      <c r="CM677" s="39">
        <v>6</v>
      </c>
      <c r="CN677" s="2" t="str">
        <f t="shared" si="62"/>
        <v>TADigital NA | Management - Practice VP / Delivery VP</v>
      </c>
      <c r="CO677" s="2" t="str">
        <f t="shared" si="65"/>
        <v>TADigital India Consulting | Cloud &amp; Engineering - L2 / B1-B3 | Associate Engineer</v>
      </c>
      <c r="CP677" s="1579">
        <v>370</v>
      </c>
      <c r="CQ677" s="1579">
        <v>172.5</v>
      </c>
      <c r="CR677" s="1579">
        <v>135</v>
      </c>
      <c r="CS677" s="1579">
        <f t="shared" si="66"/>
        <v>51.250000000000007</v>
      </c>
      <c r="CT677" s="1579">
        <v>62.5</v>
      </c>
      <c r="CU677" s="2">
        <f t="shared" si="63"/>
        <v>13</v>
      </c>
      <c r="CV677" s="2" t="str">
        <f t="shared" si="61"/>
        <v>Management - Practice VP / Delivery VP</v>
      </c>
      <c r="CW677" s="2" t="str">
        <f>_xlfn.XLOOKUP(CL677,'[1]Rates &amp; Drop Downs INT'!D$373:D$430,'[1]Rates &amp; Drop Downs INT'!C$373:C$430,"X",1)</f>
        <v>Cloud &amp; Engineering - 2 | Associate Engineer</v>
      </c>
    </row>
    <row r="678" spans="85:101" ht="13.05" customHeight="1" x14ac:dyDescent="0.25">
      <c r="CG678" s="2" t="s">
        <v>276</v>
      </c>
      <c r="CH678" s="2" t="s">
        <v>276</v>
      </c>
      <c r="CI678" s="2" t="s">
        <v>1240</v>
      </c>
      <c r="CJ678" s="2" t="s">
        <v>1817</v>
      </c>
      <c r="CK678" s="2" t="s">
        <v>534</v>
      </c>
      <c r="CL678" s="2" t="s">
        <v>3550</v>
      </c>
      <c r="CM678" s="39">
        <v>2</v>
      </c>
      <c r="CN678" s="2" t="str">
        <f t="shared" si="62"/>
        <v>TADigital NA Consulting | Content &amp; SEO - Content Strategist</v>
      </c>
      <c r="CO678" s="2" t="str">
        <f t="shared" si="65"/>
        <v>TADigital India Consulting | Cloud &amp; Engineering - L2 / B1-B3 | Associate Engineer</v>
      </c>
      <c r="CP678" s="1579">
        <v>170</v>
      </c>
      <c r="CQ678" s="1579">
        <v>82.5</v>
      </c>
      <c r="CR678" s="1579">
        <v>65</v>
      </c>
      <c r="CS678" s="1579">
        <f t="shared" si="66"/>
        <v>18.450000000000003</v>
      </c>
      <c r="CT678" s="1579">
        <v>22.5</v>
      </c>
      <c r="CU678" s="2">
        <f t="shared" si="63"/>
        <v>13</v>
      </c>
      <c r="CV678" s="2" t="str">
        <f t="shared" si="61"/>
        <v>Content &amp; SEO - Content Strategist</v>
      </c>
      <c r="CW678" s="2" t="str">
        <f>_xlfn.XLOOKUP(CL678,'[1]Rates &amp; Drop Downs INT'!D$373:D$430,'[1]Rates &amp; Drop Downs INT'!C$373:C$430,"X",1)</f>
        <v>Cloud &amp; Engineering - 2 | Associate Engineer</v>
      </c>
    </row>
    <row r="679" spans="85:101" ht="13.05" customHeight="1" x14ac:dyDescent="0.25">
      <c r="CG679" s="2" t="s">
        <v>276</v>
      </c>
      <c r="CH679" s="2" t="s">
        <v>276</v>
      </c>
      <c r="CI679" s="2" t="s">
        <v>1240</v>
      </c>
      <c r="CJ679" s="2" t="s">
        <v>1817</v>
      </c>
      <c r="CK679" s="2" t="s">
        <v>586</v>
      </c>
      <c r="CL679" s="2" t="s">
        <v>3562</v>
      </c>
      <c r="CM679" s="39">
        <v>2</v>
      </c>
      <c r="CN679" s="2" t="str">
        <f t="shared" si="62"/>
        <v>TADigital NA Consulting | Content &amp; SEO - Associate Content Strategist</v>
      </c>
      <c r="CO679" s="2" t="str">
        <f t="shared" si="65"/>
        <v>TADigital India Consulting | Cloud &amp; Engineering - L2 / B1-B3 | Associate Engineer</v>
      </c>
      <c r="CP679" s="1579">
        <v>150</v>
      </c>
      <c r="CQ679" s="1579">
        <v>85</v>
      </c>
      <c r="CR679" s="1579">
        <v>60</v>
      </c>
      <c r="CS679" s="1579">
        <f t="shared" si="66"/>
        <v>20.5</v>
      </c>
      <c r="CT679" s="1579">
        <v>25</v>
      </c>
      <c r="CU679" s="2">
        <f t="shared" si="63"/>
        <v>13</v>
      </c>
      <c r="CV679" s="2" t="str">
        <f t="shared" si="61"/>
        <v>Content &amp; SEO - Associate Content Strategist</v>
      </c>
      <c r="CW679" s="2" t="str">
        <f>_xlfn.XLOOKUP(CL679,'[1]Rates &amp; Drop Downs INT'!D$373:D$430,'[1]Rates &amp; Drop Downs INT'!C$373:C$430,"X",1)</f>
        <v>Cloud &amp; Engineering - 2 | Associate Engineer</v>
      </c>
    </row>
    <row r="680" spans="85:101" ht="13.05" customHeight="1" x14ac:dyDescent="0.25">
      <c r="CG680" s="2" t="s">
        <v>276</v>
      </c>
      <c r="CH680" s="2" t="s">
        <v>276</v>
      </c>
      <c r="CI680" s="2" t="s">
        <v>1240</v>
      </c>
      <c r="CJ680" s="2" t="s">
        <v>1817</v>
      </c>
      <c r="CK680" s="2" t="s">
        <v>3354</v>
      </c>
      <c r="CL680" s="2" t="s">
        <v>3549</v>
      </c>
      <c r="CM680" s="39">
        <v>5</v>
      </c>
      <c r="CN680" s="2" t="str">
        <f t="shared" si="62"/>
        <v>TADigital NA | Management - Sr. Practice Director / Sr. Delivery Director</v>
      </c>
      <c r="CO680" s="2" t="str">
        <f t="shared" si="65"/>
        <v>TADigital India Consulting | Cloud &amp; Engineering - L2 / B1-B3 | Associate Engineer</v>
      </c>
      <c r="CP680" s="1579">
        <v>340</v>
      </c>
      <c r="CQ680" s="1579">
        <v>170</v>
      </c>
      <c r="CR680" s="1579">
        <v>125</v>
      </c>
      <c r="CS680" s="1579">
        <f t="shared" si="66"/>
        <v>49.2</v>
      </c>
      <c r="CT680" s="1579">
        <v>60</v>
      </c>
      <c r="CU680" s="2">
        <f t="shared" si="63"/>
        <v>13</v>
      </c>
      <c r="CV680" s="2" t="str">
        <f t="shared" si="61"/>
        <v>Management - Sr. Practice Director / Sr. Delivery Director</v>
      </c>
      <c r="CW680" s="2" t="str">
        <f>_xlfn.XLOOKUP(CL680,'[1]Rates &amp; Drop Downs INT'!D$373:D$430,'[1]Rates &amp; Drop Downs INT'!C$373:C$430,"X",1)</f>
        <v>Cloud &amp; Engineering - 2 | Associate Engineer</v>
      </c>
    </row>
    <row r="681" spans="85:101" ht="13.05" customHeight="1" x14ac:dyDescent="0.25">
      <c r="CG681" s="2" t="s">
        <v>276</v>
      </c>
      <c r="CH681" s="2" t="s">
        <v>276</v>
      </c>
      <c r="CI681" s="2" t="s">
        <v>1240</v>
      </c>
      <c r="CJ681" s="2" t="s">
        <v>1817</v>
      </c>
      <c r="CK681" s="2" t="s">
        <v>448</v>
      </c>
      <c r="CL681" s="2" t="s">
        <v>3546</v>
      </c>
      <c r="CM681" s="39">
        <v>5</v>
      </c>
      <c r="CN681" s="2" t="str">
        <f t="shared" si="62"/>
        <v>TADigital NA Consulting - Delivery Manager</v>
      </c>
      <c r="CO681" s="2" t="str">
        <f t="shared" si="65"/>
        <v>TADigital India Consulting | Cloud &amp; Engineering - L2 / B1-B3 | Associate Engineer</v>
      </c>
      <c r="CP681" s="1579">
        <v>265</v>
      </c>
      <c r="CQ681" s="1579">
        <v>137.5</v>
      </c>
      <c r="CR681" s="1579">
        <v>90</v>
      </c>
      <c r="CS681" s="1579">
        <f t="shared" si="66"/>
        <v>38.950000000000003</v>
      </c>
      <c r="CT681" s="1579">
        <v>47.5</v>
      </c>
      <c r="CU681" s="2">
        <f t="shared" si="63"/>
        <v>13</v>
      </c>
      <c r="CV681" s="2" t="str">
        <f t="shared" si="61"/>
        <v>Delivery Manager</v>
      </c>
      <c r="CW681" s="2" t="str">
        <f>_xlfn.XLOOKUP(CL681,'[1]Rates &amp; Drop Downs INT'!D$373:D$430,'[1]Rates &amp; Drop Downs INT'!C$373:C$430,"X",1)</f>
        <v>Cloud &amp; Engineering - 2 | Associate Engineer</v>
      </c>
    </row>
    <row r="682" spans="85:101" ht="13.05" customHeight="1" x14ac:dyDescent="0.25">
      <c r="CG682" s="2" t="s">
        <v>276</v>
      </c>
      <c r="CH682" s="2" t="s">
        <v>276</v>
      </c>
      <c r="CI682" s="2" t="s">
        <v>1240</v>
      </c>
      <c r="CJ682" s="2" t="s">
        <v>1817</v>
      </c>
      <c r="CK682" s="2" t="s">
        <v>3367</v>
      </c>
      <c r="CL682" s="2" t="s">
        <v>3565</v>
      </c>
      <c r="CM682" s="39">
        <v>3</v>
      </c>
      <c r="CN682" s="2" t="str">
        <f t="shared" si="62"/>
        <v>TADigital NA Consulting | Strategy - Associate Digital Strategist</v>
      </c>
      <c r="CO682" s="2" t="str">
        <f t="shared" si="65"/>
        <v>TADigital India Consulting | Cloud &amp; Engineering - L2 / B1-B3 | Associate Engineer</v>
      </c>
      <c r="CP682" s="1579">
        <v>200</v>
      </c>
      <c r="CQ682" s="1579">
        <v>115</v>
      </c>
      <c r="CR682" s="1579">
        <v>65</v>
      </c>
      <c r="CS682" s="1579">
        <f t="shared" si="66"/>
        <v>18.450000000000003</v>
      </c>
      <c r="CT682" s="1579">
        <v>22.5</v>
      </c>
      <c r="CU682" s="2">
        <f t="shared" si="63"/>
        <v>13</v>
      </c>
      <c r="CV682" s="2" t="str">
        <f t="shared" si="61"/>
        <v>Strategy - Associate Digital Strategist</v>
      </c>
      <c r="CW682" s="2" t="str">
        <f>_xlfn.XLOOKUP(CL682,'[1]Rates &amp; Drop Downs INT'!D$373:D$430,'[1]Rates &amp; Drop Downs INT'!C$373:C$430,"X",1)</f>
        <v>Cloud &amp; Engineering - 2 | Associate Engineer</v>
      </c>
    </row>
    <row r="683" spans="85:101" ht="13.05" customHeight="1" x14ac:dyDescent="0.25">
      <c r="CG683" s="2" t="s">
        <v>276</v>
      </c>
      <c r="CH683" s="2" t="s">
        <v>276</v>
      </c>
      <c r="CI683" s="2" t="s">
        <v>1240</v>
      </c>
      <c r="CJ683" s="2" t="s">
        <v>1817</v>
      </c>
      <c r="CK683" s="2" t="s">
        <v>540</v>
      </c>
      <c r="CL683" s="2" t="s">
        <v>538</v>
      </c>
      <c r="CM683" s="39">
        <v>5</v>
      </c>
      <c r="CN683" s="2" t="str">
        <f t="shared" si="62"/>
        <v>TADigital NA Digital - Sr. Technical Architect</v>
      </c>
      <c r="CO683" s="2" t="str">
        <f t="shared" si="65"/>
        <v>TADigital India Consulting | Cloud &amp; Engineering - L2 / B1-B3 | Associate Engineer</v>
      </c>
      <c r="CP683" s="1579">
        <v>275</v>
      </c>
      <c r="CQ683" s="1579">
        <v>155</v>
      </c>
      <c r="CR683" s="1579">
        <v>105</v>
      </c>
      <c r="CS683" s="1579">
        <f t="shared" si="66"/>
        <v>36.900000000000006</v>
      </c>
      <c r="CT683" s="1579">
        <v>45</v>
      </c>
      <c r="CU683" s="2">
        <f t="shared" si="63"/>
        <v>13</v>
      </c>
      <c r="CV683" s="2" t="str">
        <f t="shared" si="61"/>
        <v>Sr. Technical Architect</v>
      </c>
      <c r="CW683" s="2" t="str">
        <f>_xlfn.XLOOKUP(CL683,'[1]Rates &amp; Drop Downs INT'!D$373:D$430,'[1]Rates &amp; Drop Downs INT'!C$373:C$430,"X",1)</f>
        <v>Cloud &amp; Engineering - 2 | Associate Engineer</v>
      </c>
    </row>
    <row r="684" spans="85:101" ht="13.05" customHeight="1" x14ac:dyDescent="0.25">
      <c r="CG684" s="2" t="s">
        <v>276</v>
      </c>
      <c r="CH684" s="2" t="s">
        <v>276</v>
      </c>
      <c r="CI684" s="2" t="s">
        <v>1240</v>
      </c>
      <c r="CJ684" s="2" t="s">
        <v>1817</v>
      </c>
      <c r="CK684" s="2" t="s">
        <v>3368</v>
      </c>
      <c r="CL684" s="2" t="s">
        <v>3564</v>
      </c>
      <c r="CM684" s="39">
        <v>2</v>
      </c>
      <c r="CN684" s="2" t="str">
        <f t="shared" si="62"/>
        <v>TADigital NA Digital - BA Lead</v>
      </c>
      <c r="CO684" s="2" t="str">
        <f t="shared" si="65"/>
        <v>TADigital India Consulting | Cloud &amp; Engineering - L2 / B1-B3 | Associate Engineer</v>
      </c>
      <c r="CP684" s="1579">
        <v>195</v>
      </c>
      <c r="CQ684" s="1579">
        <v>110</v>
      </c>
      <c r="CR684" s="1579">
        <v>60</v>
      </c>
      <c r="CS684" s="1579">
        <f t="shared" si="66"/>
        <v>18.040000000000003</v>
      </c>
      <c r="CT684" s="1579">
        <v>22</v>
      </c>
      <c r="CU684" s="2">
        <f t="shared" si="63"/>
        <v>13</v>
      </c>
      <c r="CV684" s="2" t="str">
        <f t="shared" si="61"/>
        <v>BA Lead</v>
      </c>
      <c r="CW684" s="2" t="str">
        <f>_xlfn.XLOOKUP(CL684,'[1]Rates &amp; Drop Downs INT'!D$373:D$430,'[1]Rates &amp; Drop Downs INT'!C$373:C$430,"X",1)</f>
        <v>Cloud &amp; Engineering - 2 | Associate Engineer</v>
      </c>
    </row>
    <row r="685" spans="85:101" ht="13.05" customHeight="1" x14ac:dyDescent="0.25">
      <c r="CG685" s="2" t="s">
        <v>276</v>
      </c>
      <c r="CH685" s="2" t="s">
        <v>276</v>
      </c>
      <c r="CI685" s="2" t="s">
        <v>1240</v>
      </c>
      <c r="CJ685" s="2" t="s">
        <v>1817</v>
      </c>
      <c r="CK685" s="2" t="s">
        <v>538</v>
      </c>
      <c r="CL685" s="2" t="s">
        <v>538</v>
      </c>
      <c r="CM685" s="39">
        <v>4</v>
      </c>
      <c r="CN685" s="2" t="str">
        <f t="shared" si="62"/>
        <v>TADigital NA Consulting - Sr. Project Manager</v>
      </c>
      <c r="CO685" s="2" t="str">
        <f t="shared" si="65"/>
        <v>TADigital India Consulting | Cloud &amp; Engineering - L2 / B1-B3 | Associate Engineer</v>
      </c>
      <c r="CP685" s="1579">
        <v>235</v>
      </c>
      <c r="CQ685" s="1579">
        <v>132.5</v>
      </c>
      <c r="CR685" s="1579">
        <v>95</v>
      </c>
      <c r="CS685" s="1579">
        <f t="shared" si="66"/>
        <v>32.800000000000004</v>
      </c>
      <c r="CT685" s="1580">
        <v>40</v>
      </c>
      <c r="CU685" s="2">
        <f t="shared" si="63"/>
        <v>13</v>
      </c>
      <c r="CV685" s="2" t="str">
        <f t="shared" si="61"/>
        <v>Sr. Project Manager</v>
      </c>
      <c r="CW685" s="2" t="str">
        <f>_xlfn.XLOOKUP(CL685,'[1]Rates &amp; Drop Downs INT'!D$373:D$430,'[1]Rates &amp; Drop Downs INT'!C$373:C$430,"X",1)</f>
        <v>Cloud &amp; Engineering - 2 | Associate Engineer</v>
      </c>
    </row>
    <row r="686" spans="85:101" ht="13.05" customHeight="1" x14ac:dyDescent="0.25">
      <c r="CG686" s="2" t="s">
        <v>276</v>
      </c>
      <c r="CH686" s="2" t="s">
        <v>276</v>
      </c>
      <c r="CI686" s="2" t="s">
        <v>1240</v>
      </c>
      <c r="CJ686" s="2" t="s">
        <v>1817</v>
      </c>
      <c r="CK686" s="2" t="s">
        <v>536</v>
      </c>
      <c r="CL686" s="2" t="s">
        <v>536</v>
      </c>
      <c r="CM686" s="39">
        <v>3</v>
      </c>
      <c r="CN686" s="2" t="str">
        <f t="shared" si="62"/>
        <v>TADigital NA Digital - Technical Lead</v>
      </c>
      <c r="CO686" s="2" t="str">
        <f t="shared" si="65"/>
        <v>TADigital India Consulting | Cloud &amp; Engineering - L2 / B1-B3 | Associate Engineer</v>
      </c>
      <c r="CP686" s="1579">
        <v>185</v>
      </c>
      <c r="CQ686" s="1579">
        <v>90</v>
      </c>
      <c r="CR686" s="1579">
        <v>85</v>
      </c>
      <c r="CS686" s="1579">
        <f t="shared" si="66"/>
        <v>24.6</v>
      </c>
      <c r="CT686" s="1580">
        <v>30</v>
      </c>
      <c r="CU686" s="2">
        <f t="shared" si="63"/>
        <v>13</v>
      </c>
      <c r="CV686" s="2" t="str">
        <f t="shared" si="61"/>
        <v>Technical Lead</v>
      </c>
      <c r="CW686" s="2" t="str">
        <f>_xlfn.XLOOKUP(CL686,'[1]Rates &amp; Drop Downs INT'!D$373:D$430,'[1]Rates &amp; Drop Downs INT'!C$373:C$430,"X",1)</f>
        <v>Cloud &amp; Engineering - 2 | Associate Engineer</v>
      </c>
    </row>
    <row r="687" spans="85:101" ht="13.05" customHeight="1" x14ac:dyDescent="0.25">
      <c r="CG687" s="2" t="s">
        <v>3167</v>
      </c>
      <c r="CH687" s="2" t="s">
        <v>3335</v>
      </c>
      <c r="CI687" s="2" t="s">
        <v>1180</v>
      </c>
      <c r="CJ687" s="2" t="s">
        <v>1180</v>
      </c>
      <c r="CK687" s="2" t="s">
        <v>3363</v>
      </c>
      <c r="CL687" s="2">
        <v>0</v>
      </c>
      <c r="CM687" s="39">
        <v>2</v>
      </c>
      <c r="CN687" s="2" t="str">
        <f t="shared" si="62"/>
        <v>TADigital NA Consulting | Content &amp; SEO - Associate Web Content Analyst</v>
      </c>
      <c r="CO687" s="2" t="str">
        <f t="shared" si="65"/>
        <v>TADigital India Consulting | Cloud &amp; Engineering - L2 / B1-B3 | Associate Engineer</v>
      </c>
      <c r="CP687" s="1579">
        <v>0</v>
      </c>
      <c r="CQ687" s="1579">
        <v>0</v>
      </c>
      <c r="CR687" s="1579">
        <v>35</v>
      </c>
      <c r="CS687" s="1579">
        <f t="shared" si="66"/>
        <v>10.66</v>
      </c>
      <c r="CT687" s="1580">
        <v>13</v>
      </c>
      <c r="CU687" s="2">
        <f t="shared" si="63"/>
        <v>13</v>
      </c>
      <c r="CV687" s="2" t="str">
        <f t="shared" si="61"/>
        <v>Content &amp; SEO - Associate Web Content Analyst</v>
      </c>
      <c r="CW687" s="2" t="str">
        <f>_xlfn.XLOOKUP(CL687,'[1]Rates &amp; Drop Downs INT'!D$373:D$430,'[1]Rates &amp; Drop Downs INT'!C$373:C$430,"X",1)</f>
        <v>Cloud &amp; Engineering - 2 | Associate Engineer</v>
      </c>
    </row>
    <row r="688" spans="85:101" ht="13.05" customHeight="1" x14ac:dyDescent="0.25">
      <c r="CG688" s="2" t="s">
        <v>3167</v>
      </c>
      <c r="CH688" s="2" t="s">
        <v>3335</v>
      </c>
      <c r="CI688" s="2" t="s">
        <v>1180</v>
      </c>
      <c r="CJ688" s="2" t="s">
        <v>1180</v>
      </c>
      <c r="CK688" s="2" t="s">
        <v>720</v>
      </c>
      <c r="CL688" s="2" t="s">
        <v>3546</v>
      </c>
      <c r="CM688" s="39">
        <v>5</v>
      </c>
      <c r="CN688" s="2" t="str">
        <f t="shared" si="62"/>
        <v>TADigital NA | Management - Associate Practice Director</v>
      </c>
      <c r="CO688" s="2" t="str">
        <f t="shared" si="65"/>
        <v>TADigital India Consulting | Cloud &amp; Engineering - L2 / B1-B3 | Associate Engineer</v>
      </c>
      <c r="CP688" s="1579">
        <v>290</v>
      </c>
      <c r="CQ688" s="1579">
        <v>140</v>
      </c>
      <c r="CR688" s="1579">
        <v>105</v>
      </c>
      <c r="CS688" s="1579">
        <f t="shared" si="66"/>
        <v>45.1</v>
      </c>
      <c r="CT688" s="1580">
        <v>55</v>
      </c>
      <c r="CU688" s="2">
        <f t="shared" si="63"/>
        <v>13</v>
      </c>
      <c r="CV688" s="2" t="str">
        <f t="shared" si="61"/>
        <v>Management - Associate Practice Director</v>
      </c>
      <c r="CW688" s="2" t="str">
        <f>_xlfn.XLOOKUP(CL688,'[1]Rates &amp; Drop Downs INT'!D$373:D$430,'[1]Rates &amp; Drop Downs INT'!C$373:C$430,"X",1)</f>
        <v>Cloud &amp; Engineering - 2 | Associate Engineer</v>
      </c>
    </row>
    <row r="689" spans="85:101" ht="13.05" customHeight="1" x14ac:dyDescent="0.25">
      <c r="CG689" s="2" t="s">
        <v>3167</v>
      </c>
      <c r="CH689" s="2" t="s">
        <v>3335</v>
      </c>
      <c r="CI689" s="2" t="s">
        <v>1180</v>
      </c>
      <c r="CJ689" s="2" t="s">
        <v>1180</v>
      </c>
      <c r="CK689" s="2" t="s">
        <v>580</v>
      </c>
      <c r="CL689" s="2" t="s">
        <v>3551</v>
      </c>
      <c r="CM689" s="39">
        <v>4</v>
      </c>
      <c r="CN689" s="2" t="str">
        <f t="shared" si="62"/>
        <v>TADigital NA Consulting - Sr. Project Manager</v>
      </c>
      <c r="CO689" s="2" t="str">
        <f t="shared" si="65"/>
        <v>TADigital India Consulting | Cloud &amp; Engineering - L2 / B1-B3 | Associate Engineer</v>
      </c>
      <c r="CP689" s="1579">
        <v>235</v>
      </c>
      <c r="CQ689" s="1579">
        <v>120</v>
      </c>
      <c r="CR689" s="1579">
        <v>90</v>
      </c>
      <c r="CS689" s="1579">
        <f t="shared" si="66"/>
        <v>36.900000000000006</v>
      </c>
      <c r="CT689" s="1580">
        <v>45</v>
      </c>
      <c r="CU689" s="2">
        <f t="shared" si="63"/>
        <v>13</v>
      </c>
      <c r="CV689" s="2" t="str">
        <f t="shared" si="61"/>
        <v>Sr. Project Manager</v>
      </c>
      <c r="CW689" s="2" t="str">
        <f>_xlfn.XLOOKUP(CL689,'[1]Rates &amp; Drop Downs INT'!D$373:D$430,'[1]Rates &amp; Drop Downs INT'!C$373:C$430,"X",1)</f>
        <v>Cloud &amp; Engineering - 2 | Associate Engineer</v>
      </c>
    </row>
    <row r="690" spans="85:101" ht="13.05" customHeight="1" x14ac:dyDescent="0.25">
      <c r="CG690" s="2" t="s">
        <v>3167</v>
      </c>
      <c r="CH690" s="2" t="s">
        <v>3335</v>
      </c>
      <c r="CI690" s="2" t="s">
        <v>1180</v>
      </c>
      <c r="CJ690" s="2" t="s">
        <v>1180</v>
      </c>
      <c r="CK690" s="2" t="s">
        <v>329</v>
      </c>
      <c r="CL690" s="2" t="s">
        <v>3552</v>
      </c>
      <c r="CM690" s="39">
        <v>2</v>
      </c>
      <c r="CN690" s="2" t="str">
        <f t="shared" si="62"/>
        <v>TADigital NA Digital - DevOps Engineer</v>
      </c>
      <c r="CO690" s="2" t="str">
        <f t="shared" si="65"/>
        <v>TADigital India Consulting | Cloud &amp; Engineering - L2 / B1-B3 | Associate Engineer</v>
      </c>
      <c r="CP690" s="1579">
        <v>130</v>
      </c>
      <c r="CQ690" s="1579">
        <v>70</v>
      </c>
      <c r="CR690" s="1579">
        <v>55</v>
      </c>
      <c r="CS690" s="1579">
        <f t="shared" si="66"/>
        <v>14.760000000000002</v>
      </c>
      <c r="CT690" s="1580">
        <v>18</v>
      </c>
      <c r="CU690" s="2">
        <f t="shared" si="63"/>
        <v>13</v>
      </c>
      <c r="CV690" s="2" t="str">
        <f t="shared" si="61"/>
        <v>DevOps Engineer</v>
      </c>
      <c r="CW690" s="2" t="str">
        <f>_xlfn.XLOOKUP(CL690,'[1]Rates &amp; Drop Downs INT'!D$373:D$430,'[1]Rates &amp; Drop Downs INT'!C$373:C$430,"X",1)</f>
        <v>Cloud &amp; Engineering - 2 | Associate Engineer</v>
      </c>
    </row>
    <row r="691" spans="85:101" ht="13.05" customHeight="1" x14ac:dyDescent="0.25">
      <c r="CG691" s="2" t="s">
        <v>3167</v>
      </c>
      <c r="CH691" s="2" t="s">
        <v>3335</v>
      </c>
      <c r="CI691" s="2" t="s">
        <v>1180</v>
      </c>
      <c r="CJ691" s="2" t="s">
        <v>1180</v>
      </c>
      <c r="CK691" s="2" t="s">
        <v>578</v>
      </c>
      <c r="CL691" s="2" t="s">
        <v>3553</v>
      </c>
      <c r="CM691" s="39">
        <v>3</v>
      </c>
      <c r="CN691" s="2" t="str">
        <f t="shared" si="62"/>
        <v>TADigital NA Digital - Technical Lead</v>
      </c>
      <c r="CO691" s="2" t="str">
        <f t="shared" si="65"/>
        <v>TADigital India Consulting | Cloud &amp; Engineering - L2 / B1-B3 | Associate Engineer</v>
      </c>
      <c r="CP691" s="1579">
        <v>185</v>
      </c>
      <c r="CQ691" s="1579">
        <v>105</v>
      </c>
      <c r="CR691" s="1579">
        <v>80</v>
      </c>
      <c r="CS691" s="1579">
        <f t="shared" si="66"/>
        <v>22.55</v>
      </c>
      <c r="CT691" s="1580">
        <v>27.5</v>
      </c>
      <c r="CU691" s="2">
        <f t="shared" si="63"/>
        <v>13</v>
      </c>
      <c r="CV691" s="2" t="str">
        <f t="shared" si="61"/>
        <v>Technical Lead</v>
      </c>
      <c r="CW691" s="2" t="str">
        <f>_xlfn.XLOOKUP(CL691,'[1]Rates &amp; Drop Downs INT'!D$373:D$430,'[1]Rates &amp; Drop Downs INT'!C$373:C$430,"X",1)</f>
        <v>Cloud &amp; Engineering - 2 | Associate Engineer</v>
      </c>
    </row>
    <row r="692" spans="85:101" ht="13.05" customHeight="1" x14ac:dyDescent="0.25">
      <c r="CG692" s="2" t="s">
        <v>3167</v>
      </c>
      <c r="CH692" s="2" t="s">
        <v>3335</v>
      </c>
      <c r="CI692" s="2" t="s">
        <v>1180</v>
      </c>
      <c r="CJ692" s="2" t="s">
        <v>1180</v>
      </c>
      <c r="CK692" s="2" t="s">
        <v>582</v>
      </c>
      <c r="CL692" s="2">
        <v>0</v>
      </c>
      <c r="CM692" s="39">
        <v>5</v>
      </c>
      <c r="CN692" s="2" t="str">
        <f t="shared" si="62"/>
        <v>TADigital NA Consulting - Delivery Manager</v>
      </c>
      <c r="CO692" s="2" t="str">
        <f t="shared" si="65"/>
        <v>TADigital India Consulting | Cloud &amp; Engineering - L2 / B1-B3 | Associate Engineer</v>
      </c>
      <c r="CP692" s="1579">
        <v>265</v>
      </c>
      <c r="CQ692" s="1579">
        <v>132.5</v>
      </c>
      <c r="CR692" s="1579">
        <v>105</v>
      </c>
      <c r="CS692" s="1579">
        <f t="shared" si="66"/>
        <v>41</v>
      </c>
      <c r="CT692" s="1580">
        <v>50</v>
      </c>
      <c r="CU692" s="2">
        <f t="shared" si="63"/>
        <v>13</v>
      </c>
      <c r="CV692" s="2" t="str">
        <f t="shared" si="61"/>
        <v>Delivery Manager</v>
      </c>
      <c r="CW692" s="2" t="str">
        <f>_xlfn.XLOOKUP(CL692,'[1]Rates &amp; Drop Downs INT'!D$373:D$430,'[1]Rates &amp; Drop Downs INT'!C$373:C$430,"X",1)</f>
        <v>Cloud &amp; Engineering - 2 | Associate Engineer</v>
      </c>
    </row>
    <row r="693" spans="85:101" ht="13.05" customHeight="1" x14ac:dyDescent="0.25">
      <c r="CG693" s="2" t="s">
        <v>3167</v>
      </c>
      <c r="CH693" s="2" t="s">
        <v>3335</v>
      </c>
      <c r="CI693" s="2" t="s">
        <v>1180</v>
      </c>
      <c r="CJ693" s="2" t="s">
        <v>1180</v>
      </c>
      <c r="CK693" s="2" t="s">
        <v>3352</v>
      </c>
      <c r="CL693" s="2" t="s">
        <v>3549</v>
      </c>
      <c r="CM693" s="39">
        <v>5</v>
      </c>
      <c r="CN693" s="2" t="str">
        <f t="shared" si="62"/>
        <v>TADigital NA | Management - Practice Director / Delivery Director</v>
      </c>
      <c r="CO693" s="2" t="str">
        <f t="shared" si="65"/>
        <v>TADigital India Consulting | Cloud &amp; Engineering - L2 / B1-B3 | Associate Engineer</v>
      </c>
      <c r="CP693" s="1579">
        <v>315</v>
      </c>
      <c r="CQ693" s="1579">
        <v>165</v>
      </c>
      <c r="CR693" s="1579">
        <v>115</v>
      </c>
      <c r="CS693" s="1579">
        <f t="shared" si="66"/>
        <v>45.1</v>
      </c>
      <c r="CT693" s="1580">
        <v>55</v>
      </c>
      <c r="CU693" s="2">
        <f t="shared" si="63"/>
        <v>13</v>
      </c>
      <c r="CV693" s="2" t="str">
        <f t="shared" si="61"/>
        <v>Management - Practice Director / Delivery Director</v>
      </c>
      <c r="CW693" s="2" t="str">
        <f>_xlfn.XLOOKUP(CL693,'[1]Rates &amp; Drop Downs INT'!D$373:D$430,'[1]Rates &amp; Drop Downs INT'!C$373:C$430,"X",1)</f>
        <v>Cloud &amp; Engineering - 2 | Associate Engineer</v>
      </c>
    </row>
    <row r="694" spans="85:101" ht="13.05" customHeight="1" x14ac:dyDescent="0.25">
      <c r="CG694" s="2" t="s">
        <v>3167</v>
      </c>
      <c r="CH694" s="2" t="s">
        <v>3335</v>
      </c>
      <c r="CI694" s="2" t="s">
        <v>1180</v>
      </c>
      <c r="CJ694" s="2" t="s">
        <v>1180</v>
      </c>
      <c r="CK694" s="2" t="s">
        <v>446</v>
      </c>
      <c r="CL694" s="2" t="s">
        <v>3546</v>
      </c>
      <c r="CM694" s="39">
        <v>4</v>
      </c>
      <c r="CN694" s="2" t="str">
        <f t="shared" si="62"/>
        <v>TADigital NA Consulting - Sr. Project Manager</v>
      </c>
      <c r="CO694" s="2" t="str">
        <f t="shared" si="65"/>
        <v>TADigital India Consulting | Cloud &amp; Engineering - L2 / B1-B3 | Associate Engineer</v>
      </c>
      <c r="CP694" s="1579">
        <v>235</v>
      </c>
      <c r="CQ694" s="1579">
        <v>130</v>
      </c>
      <c r="CR694" s="1579">
        <v>80</v>
      </c>
      <c r="CS694" s="1579">
        <f t="shared" si="66"/>
        <v>38.950000000000003</v>
      </c>
      <c r="CT694" s="1580">
        <v>47.5</v>
      </c>
      <c r="CU694" s="2">
        <f t="shared" si="63"/>
        <v>13</v>
      </c>
      <c r="CV694" s="2" t="str">
        <f t="shared" si="61"/>
        <v>Sr. Project Manager</v>
      </c>
      <c r="CW694" s="2" t="str">
        <f>_xlfn.XLOOKUP(CL694,'[1]Rates &amp; Drop Downs INT'!D$373:D$430,'[1]Rates &amp; Drop Downs INT'!C$373:C$430,"X",1)</f>
        <v>Cloud &amp; Engineering - 2 | Associate Engineer</v>
      </c>
    </row>
    <row r="695" spans="85:101" ht="13.05" customHeight="1" x14ac:dyDescent="0.25">
      <c r="CG695" s="2" t="s">
        <v>3167</v>
      </c>
      <c r="CH695" s="2" t="s">
        <v>3335</v>
      </c>
      <c r="CI695" s="2" t="s">
        <v>1180</v>
      </c>
      <c r="CJ695" s="2" t="s">
        <v>1180</v>
      </c>
      <c r="CK695" s="2" t="s">
        <v>3353</v>
      </c>
      <c r="CL695" s="2" t="s">
        <v>3549</v>
      </c>
      <c r="CM695" s="39">
        <v>6</v>
      </c>
      <c r="CN695" s="2" t="str">
        <f t="shared" si="62"/>
        <v>TADigital NA | Management - Practice VP / Delivery VP</v>
      </c>
      <c r="CO695" s="2" t="str">
        <f t="shared" si="65"/>
        <v>TADigital India Consulting | Cloud &amp; Engineering - L2 / B1-B3 | Associate Engineer</v>
      </c>
      <c r="CP695" s="1579">
        <v>370</v>
      </c>
      <c r="CQ695" s="1579">
        <v>172.5</v>
      </c>
      <c r="CR695" s="1579">
        <v>135</v>
      </c>
      <c r="CS695" s="1579">
        <f t="shared" si="66"/>
        <v>51.250000000000007</v>
      </c>
      <c r="CT695" s="1580">
        <v>62.5</v>
      </c>
      <c r="CU695" s="2">
        <f t="shared" si="63"/>
        <v>13</v>
      </c>
      <c r="CV695" s="2" t="str">
        <f t="shared" si="61"/>
        <v>Management - Practice VP / Delivery VP</v>
      </c>
      <c r="CW695" s="2" t="str">
        <f>_xlfn.XLOOKUP(CL695,'[1]Rates &amp; Drop Downs INT'!D$373:D$430,'[1]Rates &amp; Drop Downs INT'!C$373:C$430,"X",1)</f>
        <v>Cloud &amp; Engineering - 2 | Associate Engineer</v>
      </c>
    </row>
    <row r="696" spans="85:101" ht="13.05" customHeight="1" x14ac:dyDescent="0.25">
      <c r="CG696" s="2" t="s">
        <v>3167</v>
      </c>
      <c r="CH696" s="2" t="s">
        <v>3335</v>
      </c>
      <c r="CI696" s="2" t="s">
        <v>1180</v>
      </c>
      <c r="CJ696" s="2" t="s">
        <v>1180</v>
      </c>
      <c r="CK696" s="2" t="s">
        <v>576</v>
      </c>
      <c r="CL696" s="2" t="s">
        <v>3554</v>
      </c>
      <c r="CM696" s="39">
        <v>2</v>
      </c>
      <c r="CN696" s="2" t="str">
        <f t="shared" si="62"/>
        <v>TADigital NA Consulting | Content &amp; SEO - Associate Content Strategist</v>
      </c>
      <c r="CO696" s="2" t="str">
        <f t="shared" si="65"/>
        <v>TADigital India Consulting | Cloud &amp; Engineering - L2 / B1-B3 | Associate Engineer</v>
      </c>
      <c r="CP696" s="1579">
        <v>160</v>
      </c>
      <c r="CQ696" s="1579">
        <v>80</v>
      </c>
      <c r="CR696" s="1579">
        <v>65</v>
      </c>
      <c r="CS696" s="1579">
        <f t="shared" si="66"/>
        <v>16.400000000000002</v>
      </c>
      <c r="CT696" s="1580">
        <v>20</v>
      </c>
      <c r="CU696" s="2">
        <f t="shared" si="63"/>
        <v>13</v>
      </c>
      <c r="CV696" s="2" t="str">
        <f t="shared" si="61"/>
        <v>Content &amp; SEO - Associate Content Strategist</v>
      </c>
      <c r="CW696" s="2" t="str">
        <f>_xlfn.XLOOKUP(CL696,'[1]Rates &amp; Drop Downs INT'!D$373:D$430,'[1]Rates &amp; Drop Downs INT'!C$373:C$430,"X",1)</f>
        <v>Cloud &amp; Engineering - 2 | Associate Engineer</v>
      </c>
    </row>
    <row r="697" spans="85:101" ht="13.05" customHeight="1" x14ac:dyDescent="0.25">
      <c r="CG697" s="2" t="s">
        <v>3167</v>
      </c>
      <c r="CH697" s="2" t="s">
        <v>3335</v>
      </c>
      <c r="CI697" s="2" t="s">
        <v>1180</v>
      </c>
      <c r="CJ697" s="2" t="s">
        <v>1180</v>
      </c>
      <c r="CK697" s="2" t="s">
        <v>3354</v>
      </c>
      <c r="CL697" s="2" t="s">
        <v>3549</v>
      </c>
      <c r="CM697" s="39">
        <v>5</v>
      </c>
      <c r="CN697" s="2" t="str">
        <f t="shared" si="62"/>
        <v>TADigital NA | Management - Sr. Practice Director / Sr. Delivery Director</v>
      </c>
      <c r="CO697" s="2" t="str">
        <f t="shared" si="65"/>
        <v>TADigital India Consulting | Cloud &amp; Engineering - L2 / B1-B3 | Associate Engineer</v>
      </c>
      <c r="CP697" s="1579">
        <v>340</v>
      </c>
      <c r="CQ697" s="1579">
        <v>170</v>
      </c>
      <c r="CR697" s="1579">
        <v>125</v>
      </c>
      <c r="CS697" s="1579">
        <f t="shared" si="66"/>
        <v>49.2</v>
      </c>
      <c r="CT697" s="1580">
        <v>60</v>
      </c>
      <c r="CU697" s="2">
        <f t="shared" si="63"/>
        <v>13</v>
      </c>
      <c r="CV697" s="2" t="str">
        <f t="shared" si="61"/>
        <v>Management - Sr. Practice Director / Sr. Delivery Director</v>
      </c>
      <c r="CW697" s="2" t="str">
        <f>_xlfn.XLOOKUP(CL697,'[1]Rates &amp; Drop Downs INT'!D$373:D$430,'[1]Rates &amp; Drop Downs INT'!C$373:C$430,"X",1)</f>
        <v>Cloud &amp; Engineering - 2 | Associate Engineer</v>
      </c>
    </row>
    <row r="698" spans="85:101" ht="13.05" customHeight="1" x14ac:dyDescent="0.25">
      <c r="CG698" s="2" t="s">
        <v>3167</v>
      </c>
      <c r="CH698" s="2" t="s">
        <v>3335</v>
      </c>
      <c r="CI698" s="2" t="s">
        <v>1180</v>
      </c>
      <c r="CJ698" s="2" t="s">
        <v>1180</v>
      </c>
      <c r="CK698" s="2" t="s">
        <v>448</v>
      </c>
      <c r="CL698" s="2" t="s">
        <v>3546</v>
      </c>
      <c r="CM698" s="39">
        <v>5</v>
      </c>
      <c r="CN698" s="2" t="str">
        <f t="shared" si="62"/>
        <v>TADigital NA Consulting - Delivery Manager</v>
      </c>
      <c r="CO698" s="2" t="str">
        <f t="shared" si="65"/>
        <v>TADigital India Consulting | Cloud &amp; Engineering - L2 / B1-B3 | Associate Engineer</v>
      </c>
      <c r="CP698" s="1579">
        <v>265</v>
      </c>
      <c r="CQ698" s="1579">
        <v>137.5</v>
      </c>
      <c r="CR698" s="1579">
        <v>90</v>
      </c>
      <c r="CS698" s="1579">
        <f t="shared" si="66"/>
        <v>38.950000000000003</v>
      </c>
      <c r="CT698" s="1580">
        <v>47.5</v>
      </c>
      <c r="CU698" s="2">
        <f t="shared" si="63"/>
        <v>13</v>
      </c>
      <c r="CV698" s="2" t="str">
        <f t="shared" si="61"/>
        <v>Delivery Manager</v>
      </c>
      <c r="CW698" s="2" t="str">
        <f>_xlfn.XLOOKUP(CL698,'[1]Rates &amp; Drop Downs INT'!D$373:D$430,'[1]Rates &amp; Drop Downs INT'!C$373:C$430,"X",1)</f>
        <v>Cloud &amp; Engineering - 2 | Associate Engineer</v>
      </c>
    </row>
    <row r="699" spans="85:101" ht="13.05" customHeight="1" x14ac:dyDescent="0.25">
      <c r="CG699" s="2" t="s">
        <v>3167</v>
      </c>
      <c r="CH699" s="2" t="s">
        <v>3335</v>
      </c>
      <c r="CI699" s="2" t="s">
        <v>3166</v>
      </c>
      <c r="CJ699" s="2" t="s">
        <v>3348</v>
      </c>
      <c r="CK699" s="2" t="s">
        <v>3356</v>
      </c>
      <c r="CL699" s="2" t="s">
        <v>3545</v>
      </c>
      <c r="CM699" s="39">
        <v>2</v>
      </c>
      <c r="CN699" s="2" t="str">
        <f t="shared" si="62"/>
        <v>TADigital NA Consulting | Content &amp; SEO - Associate Web Content Analyst</v>
      </c>
      <c r="CO699" s="2" t="str">
        <f t="shared" si="65"/>
        <v>TADigital India Consulting | Cloud &amp; Engineering - L2 / B1-B3 | Associate Engineer</v>
      </c>
      <c r="CP699" s="1579">
        <v>0</v>
      </c>
      <c r="CQ699" s="1579">
        <v>0</v>
      </c>
      <c r="CR699" s="1579">
        <v>35</v>
      </c>
      <c r="CS699" s="1579">
        <f t="shared" si="66"/>
        <v>10.66</v>
      </c>
      <c r="CT699" s="1580">
        <v>13</v>
      </c>
      <c r="CU699" s="2">
        <f t="shared" si="63"/>
        <v>13</v>
      </c>
      <c r="CV699" s="2" t="str">
        <f t="shared" si="61"/>
        <v>Content &amp; SEO - Associate Web Content Analyst</v>
      </c>
      <c r="CW699" s="2" t="str">
        <f>_xlfn.XLOOKUP(CL699,'[1]Rates &amp; Drop Downs INT'!D$373:D$430,'[1]Rates &amp; Drop Downs INT'!C$373:C$430,"X",1)</f>
        <v>Cloud &amp; Engineering - 2 | Associate Engineer</v>
      </c>
    </row>
    <row r="700" spans="85:101" ht="13.05" customHeight="1" x14ac:dyDescent="0.25">
      <c r="CG700" s="2" t="s">
        <v>3167</v>
      </c>
      <c r="CH700" s="2" t="s">
        <v>3335</v>
      </c>
      <c r="CI700" s="2" t="s">
        <v>3166</v>
      </c>
      <c r="CJ700" s="2" t="s">
        <v>3348</v>
      </c>
      <c r="CK700" s="2" t="s">
        <v>3389</v>
      </c>
      <c r="CL700" s="2" t="s">
        <v>538</v>
      </c>
      <c r="CM700" s="39">
        <v>5</v>
      </c>
      <c r="CN700" s="2" t="str">
        <f t="shared" si="62"/>
        <v>TADigital NA Consulting - Delivery Manager</v>
      </c>
      <c r="CO700" s="2" t="str">
        <f t="shared" si="65"/>
        <v>TADigital India Consulting | Cloud &amp; Engineering - L2 / B1-B3 | Associate Engineer</v>
      </c>
      <c r="CP700" s="1579">
        <v>260</v>
      </c>
      <c r="CQ700" s="1579">
        <v>142.5</v>
      </c>
      <c r="CR700" s="1579">
        <v>100</v>
      </c>
      <c r="CS700" s="1579">
        <f t="shared" si="66"/>
        <v>38.950000000000003</v>
      </c>
      <c r="CT700" s="1580">
        <v>47.5</v>
      </c>
      <c r="CU700" s="2">
        <f t="shared" si="63"/>
        <v>13</v>
      </c>
      <c r="CV700" s="2" t="str">
        <f t="shared" si="61"/>
        <v>Delivery Manager</v>
      </c>
      <c r="CW700" s="2" t="str">
        <f>_xlfn.XLOOKUP(CL700,'[1]Rates &amp; Drop Downs INT'!D$373:D$430,'[1]Rates &amp; Drop Downs INT'!C$373:C$430,"X",1)</f>
        <v>Cloud &amp; Engineering - 2 | Associate Engineer</v>
      </c>
    </row>
    <row r="701" spans="85:101" ht="13.05" customHeight="1" x14ac:dyDescent="0.25">
      <c r="CG701" s="2" t="s">
        <v>3167</v>
      </c>
      <c r="CH701" s="2" t="s">
        <v>3335</v>
      </c>
      <c r="CI701" s="2" t="s">
        <v>3166</v>
      </c>
      <c r="CJ701" s="2" t="s">
        <v>3348</v>
      </c>
      <c r="CK701" s="2" t="s">
        <v>3390</v>
      </c>
      <c r="CL701" s="2">
        <v>0</v>
      </c>
      <c r="CM701" s="39">
        <v>6</v>
      </c>
      <c r="CN701" s="2" t="str">
        <f t="shared" si="62"/>
        <v>TADigital NA | Management - Practice VP / Delivery VP</v>
      </c>
      <c r="CO701" s="2" t="str">
        <f t="shared" si="65"/>
        <v>TADigital India Consulting | Cloud &amp; Engineering - L2 / B1-B3 | Associate Engineer</v>
      </c>
      <c r="CP701" s="1579">
        <v>350</v>
      </c>
      <c r="CQ701" s="1579">
        <v>197.5</v>
      </c>
      <c r="CR701" s="1579">
        <v>0</v>
      </c>
      <c r="CS701" s="1579">
        <f t="shared" si="66"/>
        <v>49.2</v>
      </c>
      <c r="CT701" s="1580">
        <v>60</v>
      </c>
      <c r="CU701" s="2">
        <f t="shared" si="63"/>
        <v>13</v>
      </c>
      <c r="CV701" s="2" t="str">
        <f t="shared" si="61"/>
        <v>Management - Practice VP / Delivery VP</v>
      </c>
      <c r="CW701" s="2" t="str">
        <f>_xlfn.XLOOKUP(CL701,'[1]Rates &amp; Drop Downs INT'!D$373:D$430,'[1]Rates &amp; Drop Downs INT'!C$373:C$430,"X",1)</f>
        <v>Cloud &amp; Engineering - 2 | Associate Engineer</v>
      </c>
    </row>
    <row r="702" spans="85:101" ht="13.05" customHeight="1" x14ac:dyDescent="0.25">
      <c r="CG702" s="2" t="s">
        <v>3167</v>
      </c>
      <c r="CH702" s="2" t="s">
        <v>3335</v>
      </c>
      <c r="CI702" s="2" t="s">
        <v>3166</v>
      </c>
      <c r="CJ702" s="2" t="s">
        <v>3348</v>
      </c>
      <c r="CK702" s="2" t="s">
        <v>315</v>
      </c>
      <c r="CL702" s="2" t="s">
        <v>3550</v>
      </c>
      <c r="CM702" s="39">
        <v>2</v>
      </c>
      <c r="CN702" s="2" t="str">
        <f t="shared" si="62"/>
        <v>TADigital NA Consulting | Content &amp; SEO - Associate Content Strategist</v>
      </c>
      <c r="CO702" s="2" t="str">
        <f t="shared" si="65"/>
        <v>TADigital India Consulting | Cloud &amp; Engineering - L2 / B1-B3 | Associate Engineer</v>
      </c>
      <c r="CP702" s="1579">
        <v>160</v>
      </c>
      <c r="CQ702" s="1579">
        <v>85</v>
      </c>
      <c r="CR702" s="1579">
        <v>55</v>
      </c>
      <c r="CS702" s="1579">
        <f t="shared" si="66"/>
        <v>14.760000000000002</v>
      </c>
      <c r="CT702" s="1580">
        <v>18</v>
      </c>
      <c r="CU702" s="2">
        <f t="shared" si="63"/>
        <v>13</v>
      </c>
      <c r="CV702" s="2" t="str">
        <f t="shared" si="61"/>
        <v>Content &amp; SEO - Associate Content Strategist</v>
      </c>
      <c r="CW702" s="2" t="str">
        <f>_xlfn.XLOOKUP(CL702,'[1]Rates &amp; Drop Downs INT'!D$373:D$430,'[1]Rates &amp; Drop Downs INT'!C$373:C$430,"X",1)</f>
        <v>Cloud &amp; Engineering - 2 | Associate Engineer</v>
      </c>
    </row>
    <row r="703" spans="85:101" ht="13.05" customHeight="1" x14ac:dyDescent="0.25">
      <c r="CG703" s="2" t="s">
        <v>3167</v>
      </c>
      <c r="CH703" s="2" t="s">
        <v>3335</v>
      </c>
      <c r="CI703" s="2" t="s">
        <v>3166</v>
      </c>
      <c r="CJ703" s="2" t="s">
        <v>3348</v>
      </c>
      <c r="CK703" s="2" t="s">
        <v>3357</v>
      </c>
      <c r="CL703" s="2" t="s">
        <v>536</v>
      </c>
      <c r="CM703" s="39">
        <v>3</v>
      </c>
      <c r="CN703" s="2" t="str">
        <f t="shared" si="62"/>
        <v>TADigital NA Consulting | Content &amp; SEO - Associate Manager</v>
      </c>
      <c r="CO703" s="2" t="str">
        <f t="shared" si="65"/>
        <v>TADigital India Consulting | Cloud &amp; Engineering - L2 / B1-B3 | Associate Engineer</v>
      </c>
      <c r="CP703" s="1579">
        <v>210</v>
      </c>
      <c r="CQ703" s="1579">
        <v>107.5</v>
      </c>
      <c r="CR703" s="1579">
        <v>85</v>
      </c>
      <c r="CS703" s="1579">
        <f t="shared" si="66"/>
        <v>28.700000000000003</v>
      </c>
      <c r="CT703" s="1580">
        <v>35</v>
      </c>
      <c r="CU703" s="2">
        <f t="shared" si="63"/>
        <v>13</v>
      </c>
      <c r="CV703" s="2" t="str">
        <f t="shared" si="61"/>
        <v>Content &amp; SEO - Associate Manager</v>
      </c>
      <c r="CW703" s="2" t="str">
        <f>_xlfn.XLOOKUP(CL703,'[1]Rates &amp; Drop Downs INT'!D$373:D$430,'[1]Rates &amp; Drop Downs INT'!C$373:C$430,"X",1)</f>
        <v>Cloud &amp; Engineering - 2 | Associate Engineer</v>
      </c>
    </row>
    <row r="704" spans="85:101" ht="13.05" customHeight="1" x14ac:dyDescent="0.25">
      <c r="CG704" s="2" t="s">
        <v>3167</v>
      </c>
      <c r="CH704" s="2" t="s">
        <v>3335</v>
      </c>
      <c r="CI704" s="2" t="s">
        <v>3166</v>
      </c>
      <c r="CJ704" s="2" t="s">
        <v>3348</v>
      </c>
      <c r="CK704" s="2" t="s">
        <v>369</v>
      </c>
      <c r="CL704" s="2" t="s">
        <v>3557</v>
      </c>
      <c r="CM704" s="39">
        <v>4</v>
      </c>
      <c r="CN704" s="2" t="str">
        <f t="shared" si="62"/>
        <v>TADigital NA Consulting - Sr. Project Manager</v>
      </c>
      <c r="CO704" s="2" t="str">
        <f t="shared" si="65"/>
        <v>TADigital India Consulting | Cloud &amp; Engineering - L2 / B1-B3 | Associate Engineer</v>
      </c>
      <c r="CP704" s="1579">
        <v>225</v>
      </c>
      <c r="CQ704" s="1579">
        <v>110</v>
      </c>
      <c r="CR704" s="1579">
        <v>90</v>
      </c>
      <c r="CS704" s="1579">
        <f t="shared" si="66"/>
        <v>28.700000000000003</v>
      </c>
      <c r="CT704" s="1580">
        <v>35</v>
      </c>
      <c r="CU704" s="2">
        <f t="shared" si="63"/>
        <v>13</v>
      </c>
      <c r="CV704" s="2" t="str">
        <f t="shared" si="61"/>
        <v>Sr. Project Manager</v>
      </c>
      <c r="CW704" s="2" t="str">
        <f>_xlfn.XLOOKUP(CL704,'[1]Rates &amp; Drop Downs INT'!D$373:D$430,'[1]Rates &amp; Drop Downs INT'!C$373:C$430,"X",1)</f>
        <v>Cloud &amp; Engineering - 2 | Associate Engineer</v>
      </c>
    </row>
    <row r="705" spans="85:101" ht="13.05" customHeight="1" x14ac:dyDescent="0.25">
      <c r="CG705" s="2" t="s">
        <v>3167</v>
      </c>
      <c r="CH705" s="2" t="s">
        <v>3335</v>
      </c>
      <c r="CI705" s="2" t="s">
        <v>3166</v>
      </c>
      <c r="CJ705" s="2" t="s">
        <v>3348</v>
      </c>
      <c r="CK705" s="2" t="s">
        <v>3391</v>
      </c>
      <c r="CL705" s="2">
        <v>0</v>
      </c>
      <c r="CM705" s="39">
        <v>5</v>
      </c>
      <c r="CN705" s="2" t="str">
        <f t="shared" si="62"/>
        <v>TADigital NA Digital - Sr. Technical Architect</v>
      </c>
      <c r="CO705" s="2" t="str">
        <f t="shared" si="65"/>
        <v>TADigital India Consulting | Cloud &amp; Engineering - L2 / B1-B3 | Associate Engineer</v>
      </c>
      <c r="CP705" s="1579">
        <v>275</v>
      </c>
      <c r="CQ705" s="1579">
        <v>155</v>
      </c>
      <c r="CR705" s="1579">
        <v>110</v>
      </c>
      <c r="CS705" s="1579">
        <f t="shared" si="66"/>
        <v>41</v>
      </c>
      <c r="CT705" s="1580">
        <v>50</v>
      </c>
      <c r="CU705" s="2">
        <f t="shared" si="63"/>
        <v>13</v>
      </c>
      <c r="CV705" s="2" t="str">
        <f t="shared" si="61"/>
        <v>Sr. Technical Architect</v>
      </c>
      <c r="CW705" s="2" t="str">
        <f>_xlfn.XLOOKUP(CL705,'[1]Rates &amp; Drop Downs INT'!D$373:D$430,'[1]Rates &amp; Drop Downs INT'!C$373:C$430,"X",1)</f>
        <v>Cloud &amp; Engineering - 2 | Associate Engineer</v>
      </c>
    </row>
    <row r="706" spans="85:101" ht="13.05" customHeight="1" x14ac:dyDescent="0.25">
      <c r="CG706" s="2" t="s">
        <v>3167</v>
      </c>
      <c r="CH706" s="2" t="s">
        <v>3335</v>
      </c>
      <c r="CI706" s="2" t="s">
        <v>3166</v>
      </c>
      <c r="CJ706" s="2" t="s">
        <v>3348</v>
      </c>
      <c r="CK706" s="2" t="s">
        <v>3361</v>
      </c>
      <c r="CL706" s="2" t="s">
        <v>3547</v>
      </c>
      <c r="CM706" s="39">
        <v>2</v>
      </c>
      <c r="CN706" s="2" t="str">
        <f t="shared" si="62"/>
        <v>TADigital NA Consulting - Project Manager / Product Manager</v>
      </c>
      <c r="CO706" s="2" t="str">
        <f t="shared" si="65"/>
        <v>TADigital India Consulting | Cloud &amp; Engineering - L2 / B1-B3 | Associate Engineer</v>
      </c>
      <c r="CP706" s="1579">
        <v>190</v>
      </c>
      <c r="CQ706" s="1579">
        <v>105</v>
      </c>
      <c r="CR706" s="1579">
        <v>65</v>
      </c>
      <c r="CS706" s="1579">
        <f t="shared" si="66"/>
        <v>22.55</v>
      </c>
      <c r="CT706" s="1580">
        <v>27.5</v>
      </c>
      <c r="CU706" s="2">
        <f t="shared" si="63"/>
        <v>13</v>
      </c>
      <c r="CV706" s="2" t="str">
        <f t="shared" si="61"/>
        <v>Project Manager / Product Manager</v>
      </c>
      <c r="CW706" s="2" t="str">
        <f>_xlfn.XLOOKUP(CL706,'[1]Rates &amp; Drop Downs INT'!D$373:D$430,'[1]Rates &amp; Drop Downs INT'!C$373:C$430,"X",1)</f>
        <v>Cloud &amp; Engineering - 2 | Associate Engineer</v>
      </c>
    </row>
    <row r="707" spans="85:101" ht="13.05" customHeight="1" x14ac:dyDescent="0.25">
      <c r="CG707" s="2" t="s">
        <v>3167</v>
      </c>
      <c r="CH707" s="2" t="s">
        <v>3335</v>
      </c>
      <c r="CI707" s="2" t="s">
        <v>3166</v>
      </c>
      <c r="CJ707" s="2" t="s">
        <v>3348</v>
      </c>
      <c r="CK707" s="2" t="s">
        <v>3392</v>
      </c>
      <c r="CL707" s="2" t="s">
        <v>536</v>
      </c>
      <c r="CM707" s="39">
        <v>5</v>
      </c>
      <c r="CN707" s="2" t="str">
        <f t="shared" si="62"/>
        <v>TADigital NA Consulting - Delivery Manager</v>
      </c>
      <c r="CO707" s="2" t="str">
        <f t="shared" si="65"/>
        <v>TADigital India Consulting | Cloud &amp; Engineering - L2 / B1-B3 | Associate Engineer</v>
      </c>
      <c r="CP707" s="1579">
        <v>260</v>
      </c>
      <c r="CQ707" s="1579">
        <v>142.5</v>
      </c>
      <c r="CR707" s="1579">
        <v>100</v>
      </c>
      <c r="CS707" s="1579">
        <f t="shared" si="66"/>
        <v>38.950000000000003</v>
      </c>
      <c r="CT707" s="1580">
        <v>47.5</v>
      </c>
      <c r="CU707" s="2">
        <f t="shared" si="63"/>
        <v>13</v>
      </c>
      <c r="CV707" s="2" t="str">
        <f t="shared" si="61"/>
        <v>Delivery Manager</v>
      </c>
      <c r="CW707" s="2" t="str">
        <f>_xlfn.XLOOKUP(CL707,'[1]Rates &amp; Drop Downs INT'!D$373:D$430,'[1]Rates &amp; Drop Downs INT'!C$373:C$430,"X",1)</f>
        <v>Cloud &amp; Engineering - 2 | Associate Engineer</v>
      </c>
    </row>
    <row r="708" spans="85:101" ht="13.05" customHeight="1" x14ac:dyDescent="0.25">
      <c r="CG708" s="2" t="s">
        <v>3167</v>
      </c>
      <c r="CH708" s="2" t="s">
        <v>3335</v>
      </c>
      <c r="CI708" s="2" t="s">
        <v>3166</v>
      </c>
      <c r="CJ708" s="2" t="s">
        <v>3348</v>
      </c>
      <c r="CK708" s="2" t="s">
        <v>3393</v>
      </c>
      <c r="CL708" s="2">
        <v>0</v>
      </c>
      <c r="CM708" s="39">
        <v>6</v>
      </c>
      <c r="CN708" s="2" t="str">
        <f t="shared" si="62"/>
        <v>TADigital NA | Management - Practice Director / Delivery Director</v>
      </c>
      <c r="CO708" s="2" t="str">
        <f t="shared" si="65"/>
        <v>TADigital India Consulting | Cloud &amp; Engineering - L2 / B1-B3 | Associate Engineer</v>
      </c>
      <c r="CP708" s="1579">
        <v>300</v>
      </c>
      <c r="CQ708" s="1579">
        <v>165</v>
      </c>
      <c r="CR708" s="1579">
        <v>120</v>
      </c>
      <c r="CS708" s="1579">
        <f t="shared" si="66"/>
        <v>45.1</v>
      </c>
      <c r="CT708" s="1580">
        <v>55</v>
      </c>
      <c r="CU708" s="2">
        <f t="shared" si="63"/>
        <v>13</v>
      </c>
      <c r="CV708" s="2" t="str">
        <f t="shared" si="61"/>
        <v>Management - Practice Director / Delivery Director</v>
      </c>
      <c r="CW708" s="2" t="str">
        <f>_xlfn.XLOOKUP(CL708,'[1]Rates &amp; Drop Downs INT'!D$373:D$430,'[1]Rates &amp; Drop Downs INT'!C$373:C$430,"X",1)</f>
        <v>Cloud &amp; Engineering - 2 | Associate Engineer</v>
      </c>
    </row>
    <row r="709" spans="85:101" ht="13.05" customHeight="1" x14ac:dyDescent="0.25">
      <c r="CG709" s="2" t="s">
        <v>3167</v>
      </c>
      <c r="CH709" s="2" t="s">
        <v>3335</v>
      </c>
      <c r="CI709" s="2" t="s">
        <v>1184</v>
      </c>
      <c r="CJ709" s="2" t="s">
        <v>1184</v>
      </c>
      <c r="CK709" s="2" t="s">
        <v>3351</v>
      </c>
      <c r="CL709" s="2" t="s">
        <v>3545</v>
      </c>
      <c r="CM709" s="39">
        <v>2</v>
      </c>
      <c r="CN709" s="2" t="str">
        <f t="shared" si="62"/>
        <v>TADigital NA Consulting | Content &amp; SEO - Associate Web Content Analyst</v>
      </c>
      <c r="CO709" s="2" t="str">
        <f t="shared" si="65"/>
        <v>TADigital India Consulting | Cloud &amp; Engineering - L2 / B1-B3 | Associate Engineer</v>
      </c>
      <c r="CP709" s="1579">
        <v>0</v>
      </c>
      <c r="CQ709" s="1579">
        <v>0</v>
      </c>
      <c r="CR709" s="1579">
        <v>35</v>
      </c>
      <c r="CS709" s="1579">
        <f t="shared" si="66"/>
        <v>10.66</v>
      </c>
      <c r="CT709" s="1580">
        <v>13</v>
      </c>
      <c r="CU709" s="2">
        <f t="shared" si="63"/>
        <v>13</v>
      </c>
      <c r="CV709" s="2" t="str">
        <f t="shared" si="61"/>
        <v>Content &amp; SEO - Associate Web Content Analyst</v>
      </c>
      <c r="CW709" s="2" t="str">
        <f>_xlfn.XLOOKUP(CL709,'[1]Rates &amp; Drop Downs INT'!D$373:D$430,'[1]Rates &amp; Drop Downs INT'!C$373:C$430,"X",1)</f>
        <v>Cloud &amp; Engineering - 2 | Associate Engineer</v>
      </c>
    </row>
    <row r="710" spans="85:101" ht="13.05" customHeight="1" x14ac:dyDescent="0.25">
      <c r="CG710" s="2" t="s">
        <v>3167</v>
      </c>
      <c r="CH710" s="2" t="s">
        <v>3335</v>
      </c>
      <c r="CI710" s="2" t="s">
        <v>1184</v>
      </c>
      <c r="CJ710" s="2" t="s">
        <v>1184</v>
      </c>
      <c r="CK710" s="2" t="s">
        <v>720</v>
      </c>
      <c r="CL710" s="2" t="s">
        <v>3546</v>
      </c>
      <c r="CM710" s="39">
        <v>5</v>
      </c>
      <c r="CN710" s="2" t="str">
        <f t="shared" si="62"/>
        <v>TADigital NA | Management - Associate Practice Director</v>
      </c>
      <c r="CO710" s="2" t="str">
        <f t="shared" si="65"/>
        <v>TADigital India Consulting | Cloud &amp; Engineering - L2 / B1-B3 | Associate Engineer</v>
      </c>
      <c r="CP710" s="1579">
        <v>290</v>
      </c>
      <c r="CQ710" s="1579">
        <v>140</v>
      </c>
      <c r="CR710" s="1579">
        <v>105</v>
      </c>
      <c r="CS710" s="1579">
        <f t="shared" si="66"/>
        <v>45.1</v>
      </c>
      <c r="CT710" s="1580">
        <v>55</v>
      </c>
      <c r="CU710" s="2">
        <f t="shared" si="63"/>
        <v>13</v>
      </c>
      <c r="CV710" s="2" t="str">
        <f t="shared" ref="CV710:CV747" si="67">_xlfn.XLOOKUP(CN710,$F$205:$F$287,TADNorthAmerica,"X",1)</f>
        <v>Management - Associate Practice Director</v>
      </c>
      <c r="CW710" s="2" t="str">
        <f>_xlfn.XLOOKUP(CL710,'[1]Rates &amp; Drop Downs INT'!D$373:D$430,'[1]Rates &amp; Drop Downs INT'!C$373:C$430,"X",1)</f>
        <v>Cloud &amp; Engineering - 2 | Associate Engineer</v>
      </c>
    </row>
    <row r="711" spans="85:101" ht="13.05" customHeight="1" x14ac:dyDescent="0.25">
      <c r="CG711" s="2" t="s">
        <v>3167</v>
      </c>
      <c r="CH711" s="2" t="s">
        <v>3335</v>
      </c>
      <c r="CI711" s="2" t="s">
        <v>1184</v>
      </c>
      <c r="CJ711" s="2" t="s">
        <v>1184</v>
      </c>
      <c r="CK711" s="2" t="s">
        <v>532</v>
      </c>
      <c r="CL711" s="2" t="s">
        <v>3547</v>
      </c>
      <c r="CM711" s="39">
        <v>2</v>
      </c>
      <c r="CN711" s="2" t="str">
        <f t="shared" ref="CN711:CN747" si="68">_xlfn.XLOOKUP(CP711,$I$205:$I$287,$F$205:$F$287,"X",1)</f>
        <v>TADigital NA Consulting | Content &amp; SEO - Associate Content Strategist</v>
      </c>
      <c r="CO711" s="2" t="str">
        <f t="shared" si="65"/>
        <v>TADigital India Consulting | Cloud &amp; Engineering - L2 / B1-B3 | Associate Engineer</v>
      </c>
      <c r="CP711" s="1579">
        <v>160</v>
      </c>
      <c r="CQ711" s="1579">
        <v>80</v>
      </c>
      <c r="CR711" s="1579">
        <v>55</v>
      </c>
      <c r="CS711" s="1579">
        <f t="shared" si="66"/>
        <v>14.760000000000002</v>
      </c>
      <c r="CT711" s="1580">
        <v>18</v>
      </c>
      <c r="CU711" s="2">
        <f t="shared" ref="CU711:CU747" si="69">_xlfn.XLOOKUP(CW711,$C$373:$C$430,$G$373:$G$430,"X",1)</f>
        <v>13</v>
      </c>
      <c r="CV711" s="2" t="str">
        <f t="shared" si="67"/>
        <v>Content &amp; SEO - Associate Content Strategist</v>
      </c>
      <c r="CW711" s="2" t="str">
        <f>_xlfn.XLOOKUP(CL711,'[1]Rates &amp; Drop Downs INT'!D$373:D$430,'[1]Rates &amp; Drop Downs INT'!C$373:C$430,"X",1)</f>
        <v>Cloud &amp; Engineering - 2 | Associate Engineer</v>
      </c>
    </row>
    <row r="712" spans="85:101" ht="13.05" customHeight="1" x14ac:dyDescent="0.25">
      <c r="CG712" s="2" t="s">
        <v>3167</v>
      </c>
      <c r="CH712" s="2" t="s">
        <v>3335</v>
      </c>
      <c r="CI712" s="2" t="s">
        <v>1184</v>
      </c>
      <c r="CJ712" s="2" t="s">
        <v>1184</v>
      </c>
      <c r="CK712" s="2" t="s">
        <v>542</v>
      </c>
      <c r="CL712" s="2" t="s">
        <v>3548</v>
      </c>
      <c r="CM712" s="39">
        <v>5</v>
      </c>
      <c r="CN712" s="2" t="str">
        <f t="shared" si="68"/>
        <v>TADigital NA | Management - Associate Practice Director</v>
      </c>
      <c r="CO712" s="2" t="str">
        <f t="shared" si="65"/>
        <v>TADigital India Consulting | Cloud &amp; Engineering - L2 / B1-B3 | Associate Engineer</v>
      </c>
      <c r="CP712" s="1579">
        <v>290</v>
      </c>
      <c r="CQ712" s="1579">
        <v>167.5</v>
      </c>
      <c r="CR712" s="1579">
        <v>125</v>
      </c>
      <c r="CS712" s="1579">
        <f t="shared" si="66"/>
        <v>51.250000000000007</v>
      </c>
      <c r="CT712" s="1580">
        <v>62.5</v>
      </c>
      <c r="CU712" s="2">
        <f t="shared" si="69"/>
        <v>13</v>
      </c>
      <c r="CV712" s="2" t="str">
        <f t="shared" si="67"/>
        <v>Management - Associate Practice Director</v>
      </c>
      <c r="CW712" s="2" t="str">
        <f>_xlfn.XLOOKUP(CL712,'[1]Rates &amp; Drop Downs INT'!D$373:D$430,'[1]Rates &amp; Drop Downs INT'!C$373:C$430,"X",1)</f>
        <v>Cloud &amp; Engineering - 2 | Associate Engineer</v>
      </c>
    </row>
    <row r="713" spans="85:101" ht="13.05" customHeight="1" x14ac:dyDescent="0.25">
      <c r="CG713" s="2" t="s">
        <v>3167</v>
      </c>
      <c r="CH713" s="2" t="s">
        <v>3335</v>
      </c>
      <c r="CI713" s="2" t="s">
        <v>1184</v>
      </c>
      <c r="CJ713" s="2" t="s">
        <v>1184</v>
      </c>
      <c r="CK713" s="2" t="s">
        <v>3352</v>
      </c>
      <c r="CL713" s="2" t="s">
        <v>3549</v>
      </c>
      <c r="CM713" s="39">
        <v>5</v>
      </c>
      <c r="CN713" s="2" t="str">
        <f t="shared" si="68"/>
        <v>TADigital NA | Management - Practice Director / Delivery Director</v>
      </c>
      <c r="CO713" s="2" t="str">
        <f t="shared" si="65"/>
        <v>TADigital India Consulting | Cloud &amp; Engineering - L2 / B1-B3 | Associate Engineer</v>
      </c>
      <c r="CP713" s="1579">
        <v>315</v>
      </c>
      <c r="CQ713" s="1579">
        <v>165</v>
      </c>
      <c r="CR713" s="1579">
        <v>115</v>
      </c>
      <c r="CS713" s="1579">
        <f t="shared" si="66"/>
        <v>45.1</v>
      </c>
      <c r="CT713" s="1580">
        <v>55</v>
      </c>
      <c r="CU713" s="2">
        <f t="shared" si="69"/>
        <v>13</v>
      </c>
      <c r="CV713" s="2" t="str">
        <f t="shared" si="67"/>
        <v>Management - Practice Director / Delivery Director</v>
      </c>
      <c r="CW713" s="2" t="str">
        <f>_xlfn.XLOOKUP(CL713,'[1]Rates &amp; Drop Downs INT'!D$373:D$430,'[1]Rates &amp; Drop Downs INT'!C$373:C$430,"X",1)</f>
        <v>Cloud &amp; Engineering - 2 | Associate Engineer</v>
      </c>
    </row>
    <row r="714" spans="85:101" ht="13.05" customHeight="1" x14ac:dyDescent="0.25">
      <c r="CG714" s="2" t="s">
        <v>3167</v>
      </c>
      <c r="CH714" s="2" t="s">
        <v>3335</v>
      </c>
      <c r="CI714" s="2" t="s">
        <v>1184</v>
      </c>
      <c r="CJ714" s="2" t="s">
        <v>1184</v>
      </c>
      <c r="CK714" s="2" t="s">
        <v>446</v>
      </c>
      <c r="CL714" s="2" t="s">
        <v>3546</v>
      </c>
      <c r="CM714" s="39">
        <v>4</v>
      </c>
      <c r="CN714" s="2" t="str">
        <f t="shared" si="68"/>
        <v>TADigital NA Consulting - Sr. Project Manager</v>
      </c>
      <c r="CO714" s="2" t="str">
        <f t="shared" ref="CO714:CO747" si="70">_xlfn.XLOOKUP(CW714,$C$373:$C$430,$F$373:$F$430,"X",1)</f>
        <v>TADigital India Consulting | Cloud &amp; Engineering - L2 / B1-B3 | Associate Engineer</v>
      </c>
      <c r="CP714" s="1579">
        <v>235</v>
      </c>
      <c r="CQ714" s="1579">
        <v>130</v>
      </c>
      <c r="CR714" s="1579">
        <v>80</v>
      </c>
      <c r="CS714" s="1579">
        <f t="shared" si="66"/>
        <v>38.950000000000003</v>
      </c>
      <c r="CT714" s="1580">
        <v>47.5</v>
      </c>
      <c r="CU714" s="2">
        <f t="shared" si="69"/>
        <v>13</v>
      </c>
      <c r="CV714" s="2" t="str">
        <f t="shared" si="67"/>
        <v>Sr. Project Manager</v>
      </c>
      <c r="CW714" s="2" t="str">
        <f>_xlfn.XLOOKUP(CL714,'[1]Rates &amp; Drop Downs INT'!D$373:D$430,'[1]Rates &amp; Drop Downs INT'!C$373:C$430,"X",1)</f>
        <v>Cloud &amp; Engineering - 2 | Associate Engineer</v>
      </c>
    </row>
    <row r="715" spans="85:101" ht="13.05" customHeight="1" x14ac:dyDescent="0.25">
      <c r="CG715" s="2" t="s">
        <v>3167</v>
      </c>
      <c r="CH715" s="2" t="s">
        <v>3335</v>
      </c>
      <c r="CI715" s="2" t="s">
        <v>1184</v>
      </c>
      <c r="CJ715" s="2" t="s">
        <v>1184</v>
      </c>
      <c r="CK715" s="2" t="s">
        <v>3353</v>
      </c>
      <c r="CL715" s="2" t="s">
        <v>3549</v>
      </c>
      <c r="CM715" s="39">
        <v>6</v>
      </c>
      <c r="CN715" s="2" t="str">
        <f t="shared" si="68"/>
        <v>TADigital NA | Management - Practice VP / Delivery VP</v>
      </c>
      <c r="CO715" s="2" t="str">
        <f t="shared" si="70"/>
        <v>TADigital India Consulting | Cloud &amp; Engineering - L2 / B1-B3 | Associate Engineer</v>
      </c>
      <c r="CP715" s="1579">
        <v>370</v>
      </c>
      <c r="CQ715" s="1579">
        <v>172.5</v>
      </c>
      <c r="CR715" s="1579">
        <v>135</v>
      </c>
      <c r="CS715" s="1579">
        <f t="shared" si="66"/>
        <v>51.250000000000007</v>
      </c>
      <c r="CT715" s="1580">
        <v>62.5</v>
      </c>
      <c r="CU715" s="2">
        <f t="shared" si="69"/>
        <v>13</v>
      </c>
      <c r="CV715" s="2" t="str">
        <f t="shared" si="67"/>
        <v>Management - Practice VP / Delivery VP</v>
      </c>
      <c r="CW715" s="2" t="str">
        <f>_xlfn.XLOOKUP(CL715,'[1]Rates &amp; Drop Downs INT'!D$373:D$430,'[1]Rates &amp; Drop Downs INT'!C$373:C$430,"X",1)</f>
        <v>Cloud &amp; Engineering - 2 | Associate Engineer</v>
      </c>
    </row>
    <row r="716" spans="85:101" ht="13.05" customHeight="1" x14ac:dyDescent="0.25">
      <c r="CG716" s="2" t="s">
        <v>3167</v>
      </c>
      <c r="CH716" s="2" t="s">
        <v>3335</v>
      </c>
      <c r="CI716" s="2" t="s">
        <v>1184</v>
      </c>
      <c r="CJ716" s="2" t="s">
        <v>1184</v>
      </c>
      <c r="CK716" s="2" t="s">
        <v>534</v>
      </c>
      <c r="CL716" s="2" t="s">
        <v>3550</v>
      </c>
      <c r="CM716" s="39">
        <v>2</v>
      </c>
      <c r="CN716" s="2" t="str">
        <f t="shared" si="68"/>
        <v>TADigital NA Consulting | Content &amp; SEO - Content Strategist</v>
      </c>
      <c r="CO716" s="2" t="str">
        <f t="shared" si="70"/>
        <v>TADigital India Consulting | Cloud &amp; Engineering - L2 / B1-B3 | Associate Engineer</v>
      </c>
      <c r="CP716" s="1579">
        <v>170</v>
      </c>
      <c r="CQ716" s="1579">
        <v>82.5</v>
      </c>
      <c r="CR716" s="1579">
        <v>65</v>
      </c>
      <c r="CS716" s="1579">
        <f t="shared" si="66"/>
        <v>18.450000000000003</v>
      </c>
      <c r="CT716" s="1580">
        <v>22.5</v>
      </c>
      <c r="CU716" s="2">
        <f t="shared" si="69"/>
        <v>13</v>
      </c>
      <c r="CV716" s="2" t="str">
        <f t="shared" si="67"/>
        <v>Content &amp; SEO - Content Strategist</v>
      </c>
      <c r="CW716" s="2" t="str">
        <f>_xlfn.XLOOKUP(CL716,'[1]Rates &amp; Drop Downs INT'!D$373:D$430,'[1]Rates &amp; Drop Downs INT'!C$373:C$430,"X",1)</f>
        <v>Cloud &amp; Engineering - 2 | Associate Engineer</v>
      </c>
    </row>
    <row r="717" spans="85:101" ht="13.05" customHeight="1" x14ac:dyDescent="0.25">
      <c r="CG717" s="2" t="s">
        <v>3167</v>
      </c>
      <c r="CH717" s="2" t="s">
        <v>3335</v>
      </c>
      <c r="CI717" s="2" t="s">
        <v>1184</v>
      </c>
      <c r="CJ717" s="2" t="s">
        <v>1184</v>
      </c>
      <c r="CK717" s="2" t="s">
        <v>3354</v>
      </c>
      <c r="CL717" s="2" t="s">
        <v>3549</v>
      </c>
      <c r="CM717" s="39">
        <v>5</v>
      </c>
      <c r="CN717" s="2" t="str">
        <f t="shared" si="68"/>
        <v>TADigital NA | Management - Sr. Practice Director / Sr. Delivery Director</v>
      </c>
      <c r="CO717" s="2" t="str">
        <f t="shared" si="70"/>
        <v>TADigital India Consulting | Cloud &amp; Engineering - L2 / B1-B3 | Associate Engineer</v>
      </c>
      <c r="CP717" s="1579">
        <v>340</v>
      </c>
      <c r="CQ717" s="1579">
        <v>170</v>
      </c>
      <c r="CR717" s="1579">
        <v>125</v>
      </c>
      <c r="CS717" s="1579">
        <f t="shared" si="66"/>
        <v>49.2</v>
      </c>
      <c r="CT717" s="1580">
        <v>60</v>
      </c>
      <c r="CU717" s="2">
        <f t="shared" si="69"/>
        <v>13</v>
      </c>
      <c r="CV717" s="2" t="str">
        <f t="shared" si="67"/>
        <v>Management - Sr. Practice Director / Sr. Delivery Director</v>
      </c>
      <c r="CW717" s="2" t="str">
        <f>_xlfn.XLOOKUP(CL717,'[1]Rates &amp; Drop Downs INT'!D$373:D$430,'[1]Rates &amp; Drop Downs INT'!C$373:C$430,"X",1)</f>
        <v>Cloud &amp; Engineering - 2 | Associate Engineer</v>
      </c>
    </row>
    <row r="718" spans="85:101" ht="13.05" customHeight="1" x14ac:dyDescent="0.25">
      <c r="CG718" s="2" t="s">
        <v>3167</v>
      </c>
      <c r="CH718" s="2" t="s">
        <v>3335</v>
      </c>
      <c r="CI718" s="2" t="s">
        <v>1184</v>
      </c>
      <c r="CJ718" s="2" t="s">
        <v>1184</v>
      </c>
      <c r="CK718" s="2" t="s">
        <v>448</v>
      </c>
      <c r="CL718" s="2" t="s">
        <v>3546</v>
      </c>
      <c r="CM718" s="39">
        <v>5</v>
      </c>
      <c r="CN718" s="2" t="str">
        <f t="shared" si="68"/>
        <v>TADigital NA Consulting - Delivery Manager</v>
      </c>
      <c r="CO718" s="2" t="str">
        <f t="shared" si="70"/>
        <v>TADigital India Consulting | Cloud &amp; Engineering - L2 / B1-B3 | Associate Engineer</v>
      </c>
      <c r="CP718" s="1579">
        <v>265</v>
      </c>
      <c r="CQ718" s="1579">
        <v>137.5</v>
      </c>
      <c r="CR718" s="1579">
        <v>90</v>
      </c>
      <c r="CS718" s="1579">
        <f t="shared" si="66"/>
        <v>38.950000000000003</v>
      </c>
      <c r="CT718" s="1580">
        <v>47.5</v>
      </c>
      <c r="CU718" s="2">
        <f t="shared" si="69"/>
        <v>13</v>
      </c>
      <c r="CV718" s="2" t="str">
        <f t="shared" si="67"/>
        <v>Delivery Manager</v>
      </c>
      <c r="CW718" s="2" t="str">
        <f>_xlfn.XLOOKUP(CL718,'[1]Rates &amp; Drop Downs INT'!D$373:D$430,'[1]Rates &amp; Drop Downs INT'!C$373:C$430,"X",1)</f>
        <v>Cloud &amp; Engineering - 2 | Associate Engineer</v>
      </c>
    </row>
    <row r="719" spans="85:101" ht="13.05" customHeight="1" x14ac:dyDescent="0.25">
      <c r="CG719" s="2" t="s">
        <v>3167</v>
      </c>
      <c r="CH719" s="2" t="s">
        <v>3335</v>
      </c>
      <c r="CI719" s="2" t="s">
        <v>1184</v>
      </c>
      <c r="CJ719" s="2" t="s">
        <v>1184</v>
      </c>
      <c r="CK719" s="2" t="s">
        <v>540</v>
      </c>
      <c r="CL719" s="2" t="s">
        <v>538</v>
      </c>
      <c r="CM719" s="39">
        <v>5</v>
      </c>
      <c r="CN719" s="2" t="str">
        <f t="shared" si="68"/>
        <v>TADigital NA Digital - Sr. Technical Architect</v>
      </c>
      <c r="CO719" s="2" t="str">
        <f t="shared" si="70"/>
        <v>TADigital India Consulting | Cloud &amp; Engineering - L2 / B1-B3 | Associate Engineer</v>
      </c>
      <c r="CP719" s="1579">
        <v>275</v>
      </c>
      <c r="CQ719" s="1579">
        <v>155</v>
      </c>
      <c r="CR719" s="1579">
        <v>105</v>
      </c>
      <c r="CS719" s="1579">
        <f t="shared" si="66"/>
        <v>36.900000000000006</v>
      </c>
      <c r="CT719" s="1580">
        <v>45</v>
      </c>
      <c r="CU719" s="2">
        <f t="shared" si="69"/>
        <v>13</v>
      </c>
      <c r="CV719" s="2" t="str">
        <f t="shared" si="67"/>
        <v>Sr. Technical Architect</v>
      </c>
      <c r="CW719" s="2" t="str">
        <f>_xlfn.XLOOKUP(CL719,'[1]Rates &amp; Drop Downs INT'!D$373:D$430,'[1]Rates &amp; Drop Downs INT'!C$373:C$430,"X",1)</f>
        <v>Cloud &amp; Engineering - 2 | Associate Engineer</v>
      </c>
    </row>
    <row r="720" spans="85:101" ht="13.05" customHeight="1" x14ac:dyDescent="0.25">
      <c r="CG720" s="2" t="s">
        <v>3167</v>
      </c>
      <c r="CH720" s="2" t="s">
        <v>3335</v>
      </c>
      <c r="CI720" s="2" t="s">
        <v>1184</v>
      </c>
      <c r="CJ720" s="2" t="s">
        <v>1184</v>
      </c>
      <c r="CK720" s="2" t="s">
        <v>538</v>
      </c>
      <c r="CL720" s="2" t="s">
        <v>538</v>
      </c>
      <c r="CM720" s="39">
        <v>4</v>
      </c>
      <c r="CN720" s="2" t="str">
        <f t="shared" si="68"/>
        <v>TADigital NA Consulting - Sr. Project Manager</v>
      </c>
      <c r="CO720" s="2" t="str">
        <f t="shared" si="70"/>
        <v>TADigital India Consulting | Cloud &amp; Engineering - L2 / B1-B3 | Associate Engineer</v>
      </c>
      <c r="CP720" s="1579">
        <v>235</v>
      </c>
      <c r="CQ720" s="1579">
        <v>132.5</v>
      </c>
      <c r="CR720" s="1579">
        <v>95</v>
      </c>
      <c r="CS720" s="1579">
        <f t="shared" si="66"/>
        <v>32.800000000000004</v>
      </c>
      <c r="CT720" s="1580">
        <v>40</v>
      </c>
      <c r="CU720" s="2">
        <f t="shared" si="69"/>
        <v>13</v>
      </c>
      <c r="CV720" s="2" t="str">
        <f t="shared" si="67"/>
        <v>Sr. Project Manager</v>
      </c>
      <c r="CW720" s="2" t="str">
        <f>_xlfn.XLOOKUP(CL720,'[1]Rates &amp; Drop Downs INT'!D$373:D$430,'[1]Rates &amp; Drop Downs INT'!C$373:C$430,"X",1)</f>
        <v>Cloud &amp; Engineering - 2 | Associate Engineer</v>
      </c>
    </row>
    <row r="721" spans="85:101" ht="13.05" customHeight="1" x14ac:dyDescent="0.25">
      <c r="CG721" s="2" t="s">
        <v>3167</v>
      </c>
      <c r="CH721" s="2" t="s">
        <v>3335</v>
      </c>
      <c r="CI721" s="2" t="s">
        <v>1184</v>
      </c>
      <c r="CJ721" s="2" t="s">
        <v>1184</v>
      </c>
      <c r="CK721" s="2" t="s">
        <v>536</v>
      </c>
      <c r="CL721" s="2" t="s">
        <v>536</v>
      </c>
      <c r="CM721" s="39">
        <v>3</v>
      </c>
      <c r="CN721" s="2" t="str">
        <f t="shared" si="68"/>
        <v>TADigital NA Digital - Technical Lead</v>
      </c>
      <c r="CO721" s="2" t="str">
        <f t="shared" si="70"/>
        <v>TADigital India Consulting | Cloud &amp; Engineering - L2 / B1-B3 | Associate Engineer</v>
      </c>
      <c r="CP721" s="1579">
        <v>185</v>
      </c>
      <c r="CQ721" s="1579">
        <v>90</v>
      </c>
      <c r="CR721" s="1579">
        <v>85</v>
      </c>
      <c r="CS721" s="1579">
        <f t="shared" si="66"/>
        <v>24.6</v>
      </c>
      <c r="CT721" s="1580">
        <v>30</v>
      </c>
      <c r="CU721" s="2">
        <f t="shared" si="69"/>
        <v>13</v>
      </c>
      <c r="CV721" s="2" t="str">
        <f t="shared" si="67"/>
        <v>Technical Lead</v>
      </c>
      <c r="CW721" s="2" t="str">
        <f>_xlfn.XLOOKUP(CL721,'[1]Rates &amp; Drop Downs INT'!D$373:D$430,'[1]Rates &amp; Drop Downs INT'!C$373:C$430,"X",1)</f>
        <v>Cloud &amp; Engineering - 2 | Associate Engineer</v>
      </c>
    </row>
    <row r="722" spans="85:101" ht="13.05" customHeight="1" x14ac:dyDescent="0.25">
      <c r="CG722" s="2" t="s">
        <v>3167</v>
      </c>
      <c r="CH722" s="2" t="s">
        <v>3335</v>
      </c>
      <c r="CI722" s="2" t="s">
        <v>3332</v>
      </c>
      <c r="CJ722" s="2" t="s">
        <v>3349</v>
      </c>
      <c r="CK722" s="2" t="s">
        <v>3351</v>
      </c>
      <c r="CL722" s="2" t="s">
        <v>3545</v>
      </c>
      <c r="CM722" s="39">
        <v>2</v>
      </c>
      <c r="CN722" s="2" t="str">
        <f t="shared" si="68"/>
        <v>TADigital NA Consulting | Content &amp; SEO - Associate Web Content Analyst</v>
      </c>
      <c r="CO722" s="2" t="str">
        <f t="shared" si="70"/>
        <v>TADigital India Consulting | Cloud &amp; Engineering - L2 / B1-B3 | Associate Engineer</v>
      </c>
      <c r="CP722" s="1579">
        <v>0</v>
      </c>
      <c r="CQ722" s="1579">
        <v>0</v>
      </c>
      <c r="CR722" s="1579">
        <v>35</v>
      </c>
      <c r="CS722" s="1579">
        <f t="shared" si="66"/>
        <v>10.66</v>
      </c>
      <c r="CT722" s="1580">
        <v>13</v>
      </c>
      <c r="CU722" s="2">
        <f t="shared" si="69"/>
        <v>13</v>
      </c>
      <c r="CV722" s="2" t="str">
        <f t="shared" si="67"/>
        <v>Content &amp; SEO - Associate Web Content Analyst</v>
      </c>
      <c r="CW722" s="2" t="str">
        <f>_xlfn.XLOOKUP(CL722,'[1]Rates &amp; Drop Downs INT'!D$373:D$430,'[1]Rates &amp; Drop Downs INT'!C$373:C$430,"X",1)</f>
        <v>Cloud &amp; Engineering - 2 | Associate Engineer</v>
      </c>
    </row>
    <row r="723" spans="85:101" ht="13.05" customHeight="1" x14ac:dyDescent="0.25">
      <c r="CG723" s="2" t="s">
        <v>3167</v>
      </c>
      <c r="CH723" s="2" t="s">
        <v>3335</v>
      </c>
      <c r="CI723" s="2" t="s">
        <v>3332</v>
      </c>
      <c r="CJ723" s="2" t="s">
        <v>3349</v>
      </c>
      <c r="CK723" s="2" t="s">
        <v>720</v>
      </c>
      <c r="CL723" s="2" t="s">
        <v>3546</v>
      </c>
      <c r="CM723" s="39">
        <v>5</v>
      </c>
      <c r="CN723" s="2" t="str">
        <f t="shared" si="68"/>
        <v>TADigital NA | Management - Associate Practice Director</v>
      </c>
      <c r="CO723" s="2" t="str">
        <f t="shared" si="70"/>
        <v>TADigital India Consulting | Cloud &amp; Engineering - L2 / B1-B3 | Associate Engineer</v>
      </c>
      <c r="CP723" s="1579">
        <v>290</v>
      </c>
      <c r="CQ723" s="1579">
        <v>140</v>
      </c>
      <c r="CR723" s="1579">
        <v>105</v>
      </c>
      <c r="CS723" s="1579">
        <f t="shared" si="66"/>
        <v>45.1</v>
      </c>
      <c r="CT723" s="1580">
        <v>55</v>
      </c>
      <c r="CU723" s="2">
        <f t="shared" si="69"/>
        <v>13</v>
      </c>
      <c r="CV723" s="2" t="str">
        <f t="shared" si="67"/>
        <v>Management - Associate Practice Director</v>
      </c>
      <c r="CW723" s="2" t="str">
        <f>_xlfn.XLOOKUP(CL723,'[1]Rates &amp; Drop Downs INT'!D$373:D$430,'[1]Rates &amp; Drop Downs INT'!C$373:C$430,"X",1)</f>
        <v>Cloud &amp; Engineering - 2 | Associate Engineer</v>
      </c>
    </row>
    <row r="724" spans="85:101" ht="13.05" customHeight="1" x14ac:dyDescent="0.25">
      <c r="CG724" s="2" t="s">
        <v>3167</v>
      </c>
      <c r="CH724" s="2" t="s">
        <v>3335</v>
      </c>
      <c r="CI724" s="2" t="s">
        <v>3332</v>
      </c>
      <c r="CJ724" s="2" t="s">
        <v>3349</v>
      </c>
      <c r="CK724" s="2" t="s">
        <v>532</v>
      </c>
      <c r="CL724" s="2" t="s">
        <v>3547</v>
      </c>
      <c r="CM724" s="39">
        <v>2</v>
      </c>
      <c r="CN724" s="2" t="str">
        <f t="shared" si="68"/>
        <v>TADigital NA Consulting | Content &amp; SEO - Associate Content Strategist</v>
      </c>
      <c r="CO724" s="2" t="str">
        <f t="shared" si="70"/>
        <v>TADigital India Consulting | Cloud &amp; Engineering - L2 / B1-B3 | Associate Engineer</v>
      </c>
      <c r="CP724" s="1579">
        <v>160</v>
      </c>
      <c r="CQ724" s="1579">
        <v>80</v>
      </c>
      <c r="CR724" s="1579">
        <v>55</v>
      </c>
      <c r="CS724" s="1579">
        <f t="shared" si="66"/>
        <v>14.760000000000002</v>
      </c>
      <c r="CT724" s="1580">
        <v>18</v>
      </c>
      <c r="CU724" s="2">
        <f t="shared" si="69"/>
        <v>13</v>
      </c>
      <c r="CV724" s="2" t="str">
        <f t="shared" si="67"/>
        <v>Content &amp; SEO - Associate Content Strategist</v>
      </c>
      <c r="CW724" s="2" t="str">
        <f>_xlfn.XLOOKUP(CL724,'[1]Rates &amp; Drop Downs INT'!D$373:D$430,'[1]Rates &amp; Drop Downs INT'!C$373:C$430,"X",1)</f>
        <v>Cloud &amp; Engineering - 2 | Associate Engineer</v>
      </c>
    </row>
    <row r="725" spans="85:101" ht="13.05" customHeight="1" x14ac:dyDescent="0.25">
      <c r="CG725" s="2" t="s">
        <v>3167</v>
      </c>
      <c r="CH725" s="2" t="s">
        <v>3335</v>
      </c>
      <c r="CI725" s="2" t="s">
        <v>3332</v>
      </c>
      <c r="CJ725" s="2" t="s">
        <v>3349</v>
      </c>
      <c r="CK725" s="2" t="s">
        <v>542</v>
      </c>
      <c r="CL725" s="2" t="s">
        <v>3548</v>
      </c>
      <c r="CM725" s="39">
        <v>5</v>
      </c>
      <c r="CN725" s="2" t="str">
        <f t="shared" si="68"/>
        <v>TADigital NA | Management - Associate Practice Director</v>
      </c>
      <c r="CO725" s="2" t="str">
        <f t="shared" si="70"/>
        <v>TADigital India Consulting | Cloud &amp; Engineering - L2 / B1-B3 | Associate Engineer</v>
      </c>
      <c r="CP725" s="1579">
        <v>290</v>
      </c>
      <c r="CQ725" s="1579">
        <v>167.5</v>
      </c>
      <c r="CR725" s="1579">
        <v>125</v>
      </c>
      <c r="CS725" s="1579">
        <f t="shared" si="66"/>
        <v>51.250000000000007</v>
      </c>
      <c r="CT725" s="1580">
        <v>62.5</v>
      </c>
      <c r="CU725" s="2">
        <f t="shared" si="69"/>
        <v>13</v>
      </c>
      <c r="CV725" s="2" t="str">
        <f t="shared" si="67"/>
        <v>Management - Associate Practice Director</v>
      </c>
      <c r="CW725" s="2" t="str">
        <f>_xlfn.XLOOKUP(CL725,'[1]Rates &amp; Drop Downs INT'!D$373:D$430,'[1]Rates &amp; Drop Downs INT'!C$373:C$430,"X",1)</f>
        <v>Cloud &amp; Engineering - 2 | Associate Engineer</v>
      </c>
    </row>
    <row r="726" spans="85:101" ht="13.05" customHeight="1" x14ac:dyDescent="0.25">
      <c r="CG726" s="2" t="s">
        <v>3167</v>
      </c>
      <c r="CH726" s="2" t="s">
        <v>3335</v>
      </c>
      <c r="CI726" s="2" t="s">
        <v>3332</v>
      </c>
      <c r="CJ726" s="2" t="s">
        <v>3349</v>
      </c>
      <c r="CK726" s="2" t="s">
        <v>3352</v>
      </c>
      <c r="CL726" s="2" t="s">
        <v>3549</v>
      </c>
      <c r="CM726" s="39">
        <v>5</v>
      </c>
      <c r="CN726" s="2" t="str">
        <f t="shared" si="68"/>
        <v>TADigital NA | Management - Practice Director / Delivery Director</v>
      </c>
      <c r="CO726" s="2" t="str">
        <f t="shared" si="70"/>
        <v>TADigital India Consulting | Cloud &amp; Engineering - L2 / B1-B3 | Associate Engineer</v>
      </c>
      <c r="CP726" s="1579">
        <v>315</v>
      </c>
      <c r="CQ726" s="1579">
        <v>165</v>
      </c>
      <c r="CR726" s="1579">
        <v>115</v>
      </c>
      <c r="CS726" s="1579">
        <f t="shared" si="66"/>
        <v>45.1</v>
      </c>
      <c r="CT726" s="1580">
        <v>55</v>
      </c>
      <c r="CU726" s="2">
        <f t="shared" si="69"/>
        <v>13</v>
      </c>
      <c r="CV726" s="2" t="str">
        <f t="shared" si="67"/>
        <v>Management - Practice Director / Delivery Director</v>
      </c>
      <c r="CW726" s="2" t="str">
        <f>_xlfn.XLOOKUP(CL726,'[1]Rates &amp; Drop Downs INT'!D$373:D$430,'[1]Rates &amp; Drop Downs INT'!C$373:C$430,"X",1)</f>
        <v>Cloud &amp; Engineering - 2 | Associate Engineer</v>
      </c>
    </row>
    <row r="727" spans="85:101" ht="13.05" customHeight="1" x14ac:dyDescent="0.25">
      <c r="CG727" s="2" t="s">
        <v>3167</v>
      </c>
      <c r="CH727" s="2" t="s">
        <v>3335</v>
      </c>
      <c r="CI727" s="2" t="s">
        <v>3332</v>
      </c>
      <c r="CJ727" s="2" t="s">
        <v>3349</v>
      </c>
      <c r="CK727" s="2" t="s">
        <v>446</v>
      </c>
      <c r="CL727" s="2" t="s">
        <v>3546</v>
      </c>
      <c r="CM727" s="39">
        <v>4</v>
      </c>
      <c r="CN727" s="2" t="str">
        <f t="shared" si="68"/>
        <v>TADigital NA Consulting - Sr. Project Manager</v>
      </c>
      <c r="CO727" s="2" t="str">
        <f t="shared" si="70"/>
        <v>TADigital India Consulting | Cloud &amp; Engineering - L2 / B1-B3 | Associate Engineer</v>
      </c>
      <c r="CP727" s="1579">
        <v>235</v>
      </c>
      <c r="CQ727" s="1579">
        <v>130</v>
      </c>
      <c r="CR727" s="1579">
        <v>80</v>
      </c>
      <c r="CS727" s="1579">
        <f t="shared" si="66"/>
        <v>38.950000000000003</v>
      </c>
      <c r="CT727" s="1580">
        <v>47.5</v>
      </c>
      <c r="CU727" s="2">
        <f t="shared" si="69"/>
        <v>13</v>
      </c>
      <c r="CV727" s="2" t="str">
        <f t="shared" si="67"/>
        <v>Sr. Project Manager</v>
      </c>
      <c r="CW727" s="2" t="str">
        <f>_xlfn.XLOOKUP(CL727,'[1]Rates &amp; Drop Downs INT'!D$373:D$430,'[1]Rates &amp; Drop Downs INT'!C$373:C$430,"X",1)</f>
        <v>Cloud &amp; Engineering - 2 | Associate Engineer</v>
      </c>
    </row>
    <row r="728" spans="85:101" ht="13.05" customHeight="1" x14ac:dyDescent="0.25">
      <c r="CG728" s="2" t="s">
        <v>3167</v>
      </c>
      <c r="CH728" s="2" t="s">
        <v>3335</v>
      </c>
      <c r="CI728" s="2" t="s">
        <v>3332</v>
      </c>
      <c r="CJ728" s="2" t="s">
        <v>3349</v>
      </c>
      <c r="CK728" s="2" t="s">
        <v>3353</v>
      </c>
      <c r="CL728" s="2" t="s">
        <v>3549</v>
      </c>
      <c r="CM728" s="39">
        <v>6</v>
      </c>
      <c r="CN728" s="2" t="str">
        <f t="shared" si="68"/>
        <v>TADigital NA | Management - Practice VP / Delivery VP</v>
      </c>
      <c r="CO728" s="2" t="str">
        <f t="shared" si="70"/>
        <v>TADigital India Consulting | Cloud &amp; Engineering - L2 / B1-B3 | Associate Engineer</v>
      </c>
      <c r="CP728" s="1579">
        <v>370</v>
      </c>
      <c r="CQ728" s="1579">
        <v>172.5</v>
      </c>
      <c r="CR728" s="1579">
        <v>135</v>
      </c>
      <c r="CS728" s="1579">
        <f t="shared" si="66"/>
        <v>51.250000000000007</v>
      </c>
      <c r="CT728" s="1580">
        <v>62.5</v>
      </c>
      <c r="CU728" s="2">
        <f t="shared" si="69"/>
        <v>13</v>
      </c>
      <c r="CV728" s="2" t="str">
        <f t="shared" si="67"/>
        <v>Management - Practice VP / Delivery VP</v>
      </c>
      <c r="CW728" s="2" t="str">
        <f>_xlfn.XLOOKUP(CL728,'[1]Rates &amp; Drop Downs INT'!D$373:D$430,'[1]Rates &amp; Drop Downs INT'!C$373:C$430,"X",1)</f>
        <v>Cloud &amp; Engineering - 2 | Associate Engineer</v>
      </c>
    </row>
    <row r="729" spans="85:101" ht="13.05" customHeight="1" x14ac:dyDescent="0.25">
      <c r="CG729" s="2" t="s">
        <v>3167</v>
      </c>
      <c r="CH729" s="2" t="s">
        <v>3335</v>
      </c>
      <c r="CI729" s="2" t="s">
        <v>3332</v>
      </c>
      <c r="CJ729" s="2" t="s">
        <v>3349</v>
      </c>
      <c r="CK729" s="2" t="s">
        <v>534</v>
      </c>
      <c r="CL729" s="2" t="s">
        <v>3550</v>
      </c>
      <c r="CM729" s="39">
        <v>2</v>
      </c>
      <c r="CN729" s="2" t="str">
        <f t="shared" si="68"/>
        <v>TADigital NA Consulting | Content &amp; SEO - Content Strategist</v>
      </c>
      <c r="CO729" s="2" t="str">
        <f t="shared" si="70"/>
        <v>TADigital India Consulting | Cloud &amp; Engineering - L2 / B1-B3 | Associate Engineer</v>
      </c>
      <c r="CP729" s="1579">
        <v>170</v>
      </c>
      <c r="CQ729" s="1579">
        <v>82.5</v>
      </c>
      <c r="CR729" s="1579">
        <v>65</v>
      </c>
      <c r="CS729" s="1579">
        <f t="shared" si="66"/>
        <v>18.450000000000003</v>
      </c>
      <c r="CT729" s="1580">
        <v>22.5</v>
      </c>
      <c r="CU729" s="2">
        <f t="shared" si="69"/>
        <v>13</v>
      </c>
      <c r="CV729" s="2" t="str">
        <f t="shared" si="67"/>
        <v>Content &amp; SEO - Content Strategist</v>
      </c>
      <c r="CW729" s="2" t="str">
        <f>_xlfn.XLOOKUP(CL729,'[1]Rates &amp; Drop Downs INT'!D$373:D$430,'[1]Rates &amp; Drop Downs INT'!C$373:C$430,"X",1)</f>
        <v>Cloud &amp; Engineering - 2 | Associate Engineer</v>
      </c>
    </row>
    <row r="730" spans="85:101" ht="13.05" customHeight="1" x14ac:dyDescent="0.25">
      <c r="CG730" s="2" t="s">
        <v>3167</v>
      </c>
      <c r="CH730" s="2" t="s">
        <v>3335</v>
      </c>
      <c r="CI730" s="2" t="s">
        <v>3332</v>
      </c>
      <c r="CJ730" s="2" t="s">
        <v>3349</v>
      </c>
      <c r="CK730" s="2" t="s">
        <v>3354</v>
      </c>
      <c r="CL730" s="2" t="s">
        <v>3549</v>
      </c>
      <c r="CM730" s="39">
        <v>5</v>
      </c>
      <c r="CN730" s="2" t="str">
        <f t="shared" si="68"/>
        <v>TADigital NA | Management - Sr. Practice Director / Sr. Delivery Director</v>
      </c>
      <c r="CO730" s="2" t="str">
        <f t="shared" si="70"/>
        <v>TADigital India Consulting | Cloud &amp; Engineering - L2 / B1-B3 | Associate Engineer</v>
      </c>
      <c r="CP730" s="1579">
        <v>340</v>
      </c>
      <c r="CQ730" s="1579">
        <v>170</v>
      </c>
      <c r="CR730" s="1579">
        <v>125</v>
      </c>
      <c r="CS730" s="1579">
        <f t="shared" si="66"/>
        <v>49.2</v>
      </c>
      <c r="CT730" s="1580">
        <v>60</v>
      </c>
      <c r="CU730" s="2">
        <f t="shared" si="69"/>
        <v>13</v>
      </c>
      <c r="CV730" s="2" t="str">
        <f t="shared" si="67"/>
        <v>Management - Sr. Practice Director / Sr. Delivery Director</v>
      </c>
      <c r="CW730" s="2" t="str">
        <f>_xlfn.XLOOKUP(CL730,'[1]Rates &amp; Drop Downs INT'!D$373:D$430,'[1]Rates &amp; Drop Downs INT'!C$373:C$430,"X",1)</f>
        <v>Cloud &amp; Engineering - 2 | Associate Engineer</v>
      </c>
    </row>
    <row r="731" spans="85:101" ht="13.05" customHeight="1" x14ac:dyDescent="0.25">
      <c r="CG731" s="2" t="s">
        <v>3167</v>
      </c>
      <c r="CH731" s="2" t="s">
        <v>3335</v>
      </c>
      <c r="CI731" s="2" t="s">
        <v>3332</v>
      </c>
      <c r="CJ731" s="2" t="s">
        <v>3349</v>
      </c>
      <c r="CK731" s="2" t="s">
        <v>448</v>
      </c>
      <c r="CL731" s="2" t="s">
        <v>3546</v>
      </c>
      <c r="CM731" s="39">
        <v>5</v>
      </c>
      <c r="CN731" s="2" t="str">
        <f t="shared" si="68"/>
        <v>TADigital NA Consulting - Delivery Manager</v>
      </c>
      <c r="CO731" s="2" t="str">
        <f t="shared" si="70"/>
        <v>TADigital India Consulting | Cloud &amp; Engineering - L2 / B1-B3 | Associate Engineer</v>
      </c>
      <c r="CP731" s="1579">
        <v>265</v>
      </c>
      <c r="CQ731" s="1579">
        <v>137.5</v>
      </c>
      <c r="CR731" s="1579">
        <v>90</v>
      </c>
      <c r="CS731" s="1579">
        <f t="shared" ref="CS731:CS747" si="71">CT731*(1-0.18)</f>
        <v>38.950000000000003</v>
      </c>
      <c r="CT731" s="1580">
        <v>47.5</v>
      </c>
      <c r="CU731" s="2">
        <f t="shared" si="69"/>
        <v>13</v>
      </c>
      <c r="CV731" s="2" t="str">
        <f t="shared" si="67"/>
        <v>Delivery Manager</v>
      </c>
      <c r="CW731" s="2" t="str">
        <f>_xlfn.XLOOKUP(CL731,'[1]Rates &amp; Drop Downs INT'!D$373:D$430,'[1]Rates &amp; Drop Downs INT'!C$373:C$430,"X",1)</f>
        <v>Cloud &amp; Engineering - 2 | Associate Engineer</v>
      </c>
    </row>
    <row r="732" spans="85:101" ht="13.05" customHeight="1" x14ac:dyDescent="0.25">
      <c r="CG732" s="2" t="s">
        <v>3167</v>
      </c>
      <c r="CH732" s="2" t="s">
        <v>3335</v>
      </c>
      <c r="CI732" s="2" t="s">
        <v>3332</v>
      </c>
      <c r="CJ732" s="2" t="s">
        <v>3349</v>
      </c>
      <c r="CK732" s="2" t="s">
        <v>540</v>
      </c>
      <c r="CL732" s="2" t="s">
        <v>538</v>
      </c>
      <c r="CM732" s="39">
        <v>5</v>
      </c>
      <c r="CN732" s="2" t="str">
        <f t="shared" si="68"/>
        <v>TADigital NA Digital - Sr. Technical Architect</v>
      </c>
      <c r="CO732" s="2" t="str">
        <f t="shared" si="70"/>
        <v>TADigital India Consulting | Cloud &amp; Engineering - L2 / B1-B3 | Associate Engineer</v>
      </c>
      <c r="CP732" s="1579">
        <v>275</v>
      </c>
      <c r="CQ732" s="1579">
        <v>155</v>
      </c>
      <c r="CR732" s="1579">
        <v>105</v>
      </c>
      <c r="CS732" s="1579">
        <f t="shared" si="71"/>
        <v>36.900000000000006</v>
      </c>
      <c r="CT732" s="1580">
        <v>45</v>
      </c>
      <c r="CU732" s="2">
        <f t="shared" si="69"/>
        <v>13</v>
      </c>
      <c r="CV732" s="2" t="str">
        <f t="shared" si="67"/>
        <v>Sr. Technical Architect</v>
      </c>
      <c r="CW732" s="2" t="str">
        <f>_xlfn.XLOOKUP(CL732,'[1]Rates &amp; Drop Downs INT'!D$373:D$430,'[1]Rates &amp; Drop Downs INT'!C$373:C$430,"X",1)</f>
        <v>Cloud &amp; Engineering - 2 | Associate Engineer</v>
      </c>
    </row>
    <row r="733" spans="85:101" ht="13.05" customHeight="1" x14ac:dyDescent="0.25">
      <c r="CG733" s="2" t="s">
        <v>3167</v>
      </c>
      <c r="CH733" s="2" t="s">
        <v>3335</v>
      </c>
      <c r="CI733" s="2" t="s">
        <v>3332</v>
      </c>
      <c r="CJ733" s="2" t="s">
        <v>3349</v>
      </c>
      <c r="CK733" s="2" t="s">
        <v>538</v>
      </c>
      <c r="CL733" s="2" t="s">
        <v>538</v>
      </c>
      <c r="CM733" s="39">
        <v>4</v>
      </c>
      <c r="CN733" s="2" t="str">
        <f t="shared" si="68"/>
        <v>TADigital NA Consulting - Sr. Project Manager</v>
      </c>
      <c r="CO733" s="2" t="str">
        <f t="shared" si="70"/>
        <v>TADigital India Consulting | Cloud &amp; Engineering - L2 / B1-B3 | Associate Engineer</v>
      </c>
      <c r="CP733" s="1579">
        <v>235</v>
      </c>
      <c r="CQ733" s="1579">
        <v>132.5</v>
      </c>
      <c r="CR733" s="1579">
        <v>95</v>
      </c>
      <c r="CS733" s="1579">
        <f t="shared" si="71"/>
        <v>32.800000000000004</v>
      </c>
      <c r="CT733" s="1580">
        <v>40</v>
      </c>
      <c r="CU733" s="2">
        <f t="shared" si="69"/>
        <v>13</v>
      </c>
      <c r="CV733" s="2" t="str">
        <f t="shared" si="67"/>
        <v>Sr. Project Manager</v>
      </c>
      <c r="CW733" s="2" t="str">
        <f>_xlfn.XLOOKUP(CL733,'[1]Rates &amp; Drop Downs INT'!D$373:D$430,'[1]Rates &amp; Drop Downs INT'!C$373:C$430,"X",1)</f>
        <v>Cloud &amp; Engineering - 2 | Associate Engineer</v>
      </c>
    </row>
    <row r="734" spans="85:101" ht="13.05" customHeight="1" x14ac:dyDescent="0.25">
      <c r="CG734" s="2" t="s">
        <v>3167</v>
      </c>
      <c r="CH734" s="2" t="s">
        <v>3335</v>
      </c>
      <c r="CI734" s="2" t="s">
        <v>3332</v>
      </c>
      <c r="CJ734" s="2" t="s">
        <v>3349</v>
      </c>
      <c r="CK734" s="2" t="s">
        <v>536</v>
      </c>
      <c r="CL734" s="2" t="s">
        <v>536</v>
      </c>
      <c r="CM734" s="39">
        <v>3</v>
      </c>
      <c r="CN734" s="2" t="str">
        <f t="shared" si="68"/>
        <v>TADigital NA Digital - Technical Lead</v>
      </c>
      <c r="CO734" s="2" t="str">
        <f t="shared" si="70"/>
        <v>TADigital India Consulting | Cloud &amp; Engineering - L2 / B1-B3 | Associate Engineer</v>
      </c>
      <c r="CP734" s="1579">
        <v>185</v>
      </c>
      <c r="CQ734" s="1579">
        <v>90</v>
      </c>
      <c r="CR734" s="1579">
        <v>85</v>
      </c>
      <c r="CS734" s="1579">
        <f t="shared" si="71"/>
        <v>24.6</v>
      </c>
      <c r="CT734" s="1580">
        <v>30</v>
      </c>
      <c r="CU734" s="2">
        <f t="shared" si="69"/>
        <v>13</v>
      </c>
      <c r="CV734" s="2" t="str">
        <f t="shared" si="67"/>
        <v>Technical Lead</v>
      </c>
      <c r="CW734" s="2" t="str">
        <f>_xlfn.XLOOKUP(CL734,'[1]Rates &amp; Drop Downs INT'!D$373:D$430,'[1]Rates &amp; Drop Downs INT'!C$373:C$430,"X",1)</f>
        <v>Cloud &amp; Engineering - 2 | Associate Engineer</v>
      </c>
    </row>
    <row r="735" spans="85:101" ht="13.05" customHeight="1" x14ac:dyDescent="0.25">
      <c r="CG735" s="2" t="s">
        <v>3167</v>
      </c>
      <c r="CH735" s="2" t="s">
        <v>3335</v>
      </c>
      <c r="CI735" s="2" t="s">
        <v>1188</v>
      </c>
      <c r="CJ735" s="2" t="s">
        <v>3350</v>
      </c>
      <c r="CK735" s="2" t="s">
        <v>3351</v>
      </c>
      <c r="CL735" s="2" t="s">
        <v>3545</v>
      </c>
      <c r="CM735" s="39">
        <v>2</v>
      </c>
      <c r="CN735" s="2" t="str">
        <f t="shared" si="68"/>
        <v>TADigital NA Consulting | Content &amp; SEO - Associate Web Content Analyst</v>
      </c>
      <c r="CO735" s="2" t="str">
        <f t="shared" si="70"/>
        <v>TADigital India Consulting | Cloud &amp; Engineering - L2 / B1-B3 | Associate Engineer</v>
      </c>
      <c r="CP735" s="1579">
        <v>0</v>
      </c>
      <c r="CQ735" s="1579">
        <v>0</v>
      </c>
      <c r="CR735" s="1579">
        <v>35</v>
      </c>
      <c r="CS735" s="1579">
        <f t="shared" si="71"/>
        <v>10.66</v>
      </c>
      <c r="CT735" s="1580">
        <v>13</v>
      </c>
      <c r="CU735" s="2">
        <f t="shared" si="69"/>
        <v>13</v>
      </c>
      <c r="CV735" s="2" t="str">
        <f t="shared" si="67"/>
        <v>Content &amp; SEO - Associate Web Content Analyst</v>
      </c>
      <c r="CW735" s="2" t="str">
        <f>_xlfn.XLOOKUP(CL735,'[1]Rates &amp; Drop Downs INT'!D$373:D$430,'[1]Rates &amp; Drop Downs INT'!C$373:C$430,"X",1)</f>
        <v>Cloud &amp; Engineering - 2 | Associate Engineer</v>
      </c>
    </row>
    <row r="736" spans="85:101" ht="13.05" customHeight="1" x14ac:dyDescent="0.25">
      <c r="CG736" s="2" t="s">
        <v>3167</v>
      </c>
      <c r="CH736" s="2" t="s">
        <v>3335</v>
      </c>
      <c r="CI736" s="2" t="s">
        <v>1188</v>
      </c>
      <c r="CJ736" s="2" t="s">
        <v>3350</v>
      </c>
      <c r="CK736" s="2" t="s">
        <v>720</v>
      </c>
      <c r="CL736" s="2" t="s">
        <v>3546</v>
      </c>
      <c r="CM736" s="39">
        <v>5</v>
      </c>
      <c r="CN736" s="2" t="str">
        <f t="shared" si="68"/>
        <v>TADigital NA | Management - Associate Practice Director</v>
      </c>
      <c r="CO736" s="2" t="str">
        <f t="shared" si="70"/>
        <v>TADigital India Consulting | Cloud &amp; Engineering - L2 / B1-B3 | Associate Engineer</v>
      </c>
      <c r="CP736" s="1579">
        <v>290</v>
      </c>
      <c r="CQ736" s="1579">
        <v>140</v>
      </c>
      <c r="CR736" s="1579">
        <v>105</v>
      </c>
      <c r="CS736" s="1579">
        <f t="shared" si="71"/>
        <v>45.1</v>
      </c>
      <c r="CT736" s="1580">
        <v>55</v>
      </c>
      <c r="CU736" s="2">
        <f t="shared" si="69"/>
        <v>13</v>
      </c>
      <c r="CV736" s="2" t="str">
        <f t="shared" si="67"/>
        <v>Management - Associate Practice Director</v>
      </c>
      <c r="CW736" s="2" t="str">
        <f>_xlfn.XLOOKUP(CL736,'[1]Rates &amp; Drop Downs INT'!D$373:D$430,'[1]Rates &amp; Drop Downs INT'!C$373:C$430,"X",1)</f>
        <v>Cloud &amp; Engineering - 2 | Associate Engineer</v>
      </c>
    </row>
    <row r="737" spans="85:101" ht="13.05" customHeight="1" x14ac:dyDescent="0.25">
      <c r="CG737" s="2" t="s">
        <v>3167</v>
      </c>
      <c r="CH737" s="2" t="s">
        <v>3335</v>
      </c>
      <c r="CI737" s="2" t="s">
        <v>1188</v>
      </c>
      <c r="CJ737" s="2" t="s">
        <v>3350</v>
      </c>
      <c r="CK737" s="2" t="s">
        <v>532</v>
      </c>
      <c r="CL737" s="2" t="s">
        <v>3547</v>
      </c>
      <c r="CM737" s="39">
        <v>2</v>
      </c>
      <c r="CN737" s="2" t="str">
        <f t="shared" si="68"/>
        <v>TADigital NA Consulting | Content &amp; SEO - Associate Content Strategist</v>
      </c>
      <c r="CO737" s="2" t="str">
        <f t="shared" si="70"/>
        <v>TADigital India Consulting | Cloud &amp; Engineering - L2 / B1-B3 | Associate Engineer</v>
      </c>
      <c r="CP737" s="1579">
        <v>160</v>
      </c>
      <c r="CQ737" s="1579">
        <v>80</v>
      </c>
      <c r="CR737" s="1579">
        <v>55</v>
      </c>
      <c r="CS737" s="1579">
        <f t="shared" si="71"/>
        <v>14.760000000000002</v>
      </c>
      <c r="CT737" s="1580">
        <v>18</v>
      </c>
      <c r="CU737" s="2">
        <f t="shared" si="69"/>
        <v>13</v>
      </c>
      <c r="CV737" s="2" t="str">
        <f t="shared" si="67"/>
        <v>Content &amp; SEO - Associate Content Strategist</v>
      </c>
      <c r="CW737" s="2" t="str">
        <f>_xlfn.XLOOKUP(CL737,'[1]Rates &amp; Drop Downs INT'!D$373:D$430,'[1]Rates &amp; Drop Downs INT'!C$373:C$430,"X",1)</f>
        <v>Cloud &amp; Engineering - 2 | Associate Engineer</v>
      </c>
    </row>
    <row r="738" spans="85:101" ht="13.05" customHeight="1" x14ac:dyDescent="0.25">
      <c r="CG738" s="2" t="s">
        <v>3167</v>
      </c>
      <c r="CH738" s="2" t="s">
        <v>3335</v>
      </c>
      <c r="CI738" s="2" t="s">
        <v>1188</v>
      </c>
      <c r="CJ738" s="2" t="s">
        <v>3350</v>
      </c>
      <c r="CK738" s="2" t="s">
        <v>542</v>
      </c>
      <c r="CL738" s="2" t="s">
        <v>3548</v>
      </c>
      <c r="CM738" s="39">
        <v>5</v>
      </c>
      <c r="CN738" s="2" t="str">
        <f t="shared" si="68"/>
        <v>TADigital NA | Management - Associate Practice Director</v>
      </c>
      <c r="CO738" s="2" t="str">
        <f t="shared" si="70"/>
        <v>TADigital India Consulting | Cloud &amp; Engineering - L2 / B1-B3 | Associate Engineer</v>
      </c>
      <c r="CP738" s="1579">
        <v>290</v>
      </c>
      <c r="CQ738" s="1579">
        <v>167.5</v>
      </c>
      <c r="CR738" s="1579">
        <v>125</v>
      </c>
      <c r="CS738" s="1579">
        <f t="shared" si="71"/>
        <v>51.250000000000007</v>
      </c>
      <c r="CT738" s="1580">
        <v>62.5</v>
      </c>
      <c r="CU738" s="2">
        <f t="shared" si="69"/>
        <v>13</v>
      </c>
      <c r="CV738" s="2" t="str">
        <f t="shared" si="67"/>
        <v>Management - Associate Practice Director</v>
      </c>
      <c r="CW738" s="2" t="str">
        <f>_xlfn.XLOOKUP(CL738,'[1]Rates &amp; Drop Downs INT'!D$373:D$430,'[1]Rates &amp; Drop Downs INT'!C$373:C$430,"X",1)</f>
        <v>Cloud &amp; Engineering - 2 | Associate Engineer</v>
      </c>
    </row>
    <row r="739" spans="85:101" ht="13.05" customHeight="1" x14ac:dyDescent="0.25">
      <c r="CG739" s="2" t="s">
        <v>3167</v>
      </c>
      <c r="CH739" s="2" t="s">
        <v>3335</v>
      </c>
      <c r="CI739" s="2" t="s">
        <v>1188</v>
      </c>
      <c r="CJ739" s="2" t="s">
        <v>3350</v>
      </c>
      <c r="CK739" s="2" t="s">
        <v>3352</v>
      </c>
      <c r="CL739" s="2" t="s">
        <v>3549</v>
      </c>
      <c r="CM739" s="39">
        <v>5</v>
      </c>
      <c r="CN739" s="2" t="str">
        <f t="shared" si="68"/>
        <v>TADigital NA | Management - Practice Director / Delivery Director</v>
      </c>
      <c r="CO739" s="2" t="str">
        <f t="shared" si="70"/>
        <v>TADigital India Consulting | Cloud &amp; Engineering - L2 / B1-B3 | Associate Engineer</v>
      </c>
      <c r="CP739" s="1579">
        <v>315</v>
      </c>
      <c r="CQ739" s="1579">
        <v>165</v>
      </c>
      <c r="CR739" s="1579">
        <v>115</v>
      </c>
      <c r="CS739" s="1579">
        <f t="shared" si="71"/>
        <v>45.1</v>
      </c>
      <c r="CT739" s="1580">
        <v>55</v>
      </c>
      <c r="CU739" s="2">
        <f t="shared" si="69"/>
        <v>13</v>
      </c>
      <c r="CV739" s="2" t="str">
        <f t="shared" si="67"/>
        <v>Management - Practice Director / Delivery Director</v>
      </c>
      <c r="CW739" s="2" t="str">
        <f>_xlfn.XLOOKUP(CL739,'[1]Rates &amp; Drop Downs INT'!D$373:D$430,'[1]Rates &amp; Drop Downs INT'!C$373:C$430,"X",1)</f>
        <v>Cloud &amp; Engineering - 2 | Associate Engineer</v>
      </c>
    </row>
    <row r="740" spans="85:101" ht="13.05" customHeight="1" x14ac:dyDescent="0.25">
      <c r="CG740" s="2" t="s">
        <v>3167</v>
      </c>
      <c r="CH740" s="2" t="s">
        <v>3335</v>
      </c>
      <c r="CI740" s="2" t="s">
        <v>1188</v>
      </c>
      <c r="CJ740" s="2" t="s">
        <v>3350</v>
      </c>
      <c r="CK740" s="2" t="s">
        <v>446</v>
      </c>
      <c r="CL740" s="2" t="s">
        <v>3546</v>
      </c>
      <c r="CM740" s="39">
        <v>4</v>
      </c>
      <c r="CN740" s="2" t="str">
        <f t="shared" si="68"/>
        <v>TADigital NA Consulting - Sr. Project Manager</v>
      </c>
      <c r="CO740" s="2" t="str">
        <f t="shared" si="70"/>
        <v>TADigital India Consulting | Cloud &amp; Engineering - L2 / B1-B3 | Associate Engineer</v>
      </c>
      <c r="CP740" s="1579">
        <v>235</v>
      </c>
      <c r="CQ740" s="1579">
        <v>130</v>
      </c>
      <c r="CR740" s="1579">
        <v>80</v>
      </c>
      <c r="CS740" s="1579">
        <f t="shared" si="71"/>
        <v>38.950000000000003</v>
      </c>
      <c r="CT740" s="1580">
        <v>47.5</v>
      </c>
      <c r="CU740" s="2">
        <f t="shared" si="69"/>
        <v>13</v>
      </c>
      <c r="CV740" s="2" t="str">
        <f t="shared" si="67"/>
        <v>Sr. Project Manager</v>
      </c>
      <c r="CW740" s="2" t="str">
        <f>_xlfn.XLOOKUP(CL740,'[1]Rates &amp; Drop Downs INT'!D$373:D$430,'[1]Rates &amp; Drop Downs INT'!C$373:C$430,"X",1)</f>
        <v>Cloud &amp; Engineering - 2 | Associate Engineer</v>
      </c>
    </row>
    <row r="741" spans="85:101" ht="13.05" customHeight="1" x14ac:dyDescent="0.25">
      <c r="CG741" s="2" t="s">
        <v>3167</v>
      </c>
      <c r="CH741" s="2" t="s">
        <v>3335</v>
      </c>
      <c r="CI741" s="2" t="s">
        <v>1188</v>
      </c>
      <c r="CJ741" s="2" t="s">
        <v>3350</v>
      </c>
      <c r="CK741" s="2" t="s">
        <v>3353</v>
      </c>
      <c r="CL741" s="2" t="s">
        <v>3549</v>
      </c>
      <c r="CM741" s="39">
        <v>6</v>
      </c>
      <c r="CN741" s="2" t="str">
        <f t="shared" si="68"/>
        <v>TADigital NA | Management - Practice VP / Delivery VP</v>
      </c>
      <c r="CO741" s="2" t="str">
        <f t="shared" si="70"/>
        <v>TADigital India Consulting | Cloud &amp; Engineering - L2 / B1-B3 | Associate Engineer</v>
      </c>
      <c r="CP741" s="1579">
        <v>370</v>
      </c>
      <c r="CQ741" s="1579">
        <v>172.5</v>
      </c>
      <c r="CR741" s="1579">
        <v>135</v>
      </c>
      <c r="CS741" s="1579">
        <f t="shared" si="71"/>
        <v>51.250000000000007</v>
      </c>
      <c r="CT741" s="1580">
        <v>62.5</v>
      </c>
      <c r="CU741" s="2">
        <f t="shared" si="69"/>
        <v>13</v>
      </c>
      <c r="CV741" s="2" t="str">
        <f t="shared" si="67"/>
        <v>Management - Practice VP / Delivery VP</v>
      </c>
      <c r="CW741" s="2" t="str">
        <f>_xlfn.XLOOKUP(CL741,'[1]Rates &amp; Drop Downs INT'!D$373:D$430,'[1]Rates &amp; Drop Downs INT'!C$373:C$430,"X",1)</f>
        <v>Cloud &amp; Engineering - 2 | Associate Engineer</v>
      </c>
    </row>
    <row r="742" spans="85:101" ht="13.05" customHeight="1" x14ac:dyDescent="0.25">
      <c r="CG742" s="2" t="s">
        <v>3167</v>
      </c>
      <c r="CH742" s="2" t="s">
        <v>3335</v>
      </c>
      <c r="CI742" s="2" t="s">
        <v>1188</v>
      </c>
      <c r="CJ742" s="2" t="s">
        <v>3350</v>
      </c>
      <c r="CK742" s="2" t="s">
        <v>534</v>
      </c>
      <c r="CL742" s="2" t="s">
        <v>3550</v>
      </c>
      <c r="CM742" s="39">
        <v>2</v>
      </c>
      <c r="CN742" s="2" t="str">
        <f t="shared" si="68"/>
        <v>TADigital NA Consulting | Content &amp; SEO - Content Strategist</v>
      </c>
      <c r="CO742" s="2" t="str">
        <f t="shared" si="70"/>
        <v>TADigital India Consulting | Cloud &amp; Engineering - L2 / B1-B3 | Associate Engineer</v>
      </c>
      <c r="CP742" s="1579">
        <v>170</v>
      </c>
      <c r="CQ742" s="1579">
        <v>82.5</v>
      </c>
      <c r="CR742" s="1579">
        <v>65</v>
      </c>
      <c r="CS742" s="1579">
        <f t="shared" si="71"/>
        <v>18.450000000000003</v>
      </c>
      <c r="CT742" s="1580">
        <v>22.5</v>
      </c>
      <c r="CU742" s="2">
        <f t="shared" si="69"/>
        <v>13</v>
      </c>
      <c r="CV742" s="2" t="str">
        <f t="shared" si="67"/>
        <v>Content &amp; SEO - Content Strategist</v>
      </c>
      <c r="CW742" s="2" t="str">
        <f>_xlfn.XLOOKUP(CL742,'[1]Rates &amp; Drop Downs INT'!D$373:D$430,'[1]Rates &amp; Drop Downs INT'!C$373:C$430,"X",1)</f>
        <v>Cloud &amp; Engineering - 2 | Associate Engineer</v>
      </c>
    </row>
    <row r="743" spans="85:101" ht="13.05" customHeight="1" x14ac:dyDescent="0.25">
      <c r="CG743" s="2" t="s">
        <v>3167</v>
      </c>
      <c r="CH743" s="2" t="s">
        <v>3335</v>
      </c>
      <c r="CI743" s="2" t="s">
        <v>1188</v>
      </c>
      <c r="CJ743" s="2" t="s">
        <v>3350</v>
      </c>
      <c r="CK743" s="2" t="s">
        <v>3354</v>
      </c>
      <c r="CL743" s="2" t="s">
        <v>3549</v>
      </c>
      <c r="CM743" s="39">
        <v>5</v>
      </c>
      <c r="CN743" s="2" t="str">
        <f t="shared" si="68"/>
        <v>TADigital NA | Management - Sr. Practice Director / Sr. Delivery Director</v>
      </c>
      <c r="CO743" s="2" t="str">
        <f t="shared" si="70"/>
        <v>TADigital India Consulting | Cloud &amp; Engineering - L2 / B1-B3 | Associate Engineer</v>
      </c>
      <c r="CP743" s="1579">
        <v>340</v>
      </c>
      <c r="CQ743" s="1579">
        <v>170</v>
      </c>
      <c r="CR743" s="1579">
        <v>125</v>
      </c>
      <c r="CS743" s="1579">
        <f t="shared" si="71"/>
        <v>49.2</v>
      </c>
      <c r="CT743" s="1580">
        <v>60</v>
      </c>
      <c r="CU743" s="2">
        <f t="shared" si="69"/>
        <v>13</v>
      </c>
      <c r="CV743" s="2" t="str">
        <f t="shared" si="67"/>
        <v>Management - Sr. Practice Director / Sr. Delivery Director</v>
      </c>
      <c r="CW743" s="2" t="str">
        <f>_xlfn.XLOOKUP(CL743,'[1]Rates &amp; Drop Downs INT'!D$373:D$430,'[1]Rates &amp; Drop Downs INT'!C$373:C$430,"X",1)</f>
        <v>Cloud &amp; Engineering - 2 | Associate Engineer</v>
      </c>
    </row>
    <row r="744" spans="85:101" ht="13.05" customHeight="1" x14ac:dyDescent="0.25">
      <c r="CG744" s="2" t="s">
        <v>3167</v>
      </c>
      <c r="CH744" s="2" t="s">
        <v>3335</v>
      </c>
      <c r="CI744" s="2" t="s">
        <v>1188</v>
      </c>
      <c r="CJ744" s="2" t="s">
        <v>3350</v>
      </c>
      <c r="CK744" s="2" t="s">
        <v>448</v>
      </c>
      <c r="CL744" s="2" t="s">
        <v>3546</v>
      </c>
      <c r="CM744" s="39">
        <v>5</v>
      </c>
      <c r="CN744" s="2" t="str">
        <f t="shared" si="68"/>
        <v>TADigital NA Consulting - Delivery Manager</v>
      </c>
      <c r="CO744" s="2" t="str">
        <f t="shared" si="70"/>
        <v>TADigital India Consulting | Cloud &amp; Engineering - L2 / B1-B3 | Associate Engineer</v>
      </c>
      <c r="CP744" s="1579">
        <v>265</v>
      </c>
      <c r="CQ744" s="1579">
        <v>137.5</v>
      </c>
      <c r="CR744" s="1579">
        <v>90</v>
      </c>
      <c r="CS744" s="1579">
        <f t="shared" si="71"/>
        <v>38.950000000000003</v>
      </c>
      <c r="CT744" s="1580">
        <v>47.5</v>
      </c>
      <c r="CU744" s="2">
        <f t="shared" si="69"/>
        <v>13</v>
      </c>
      <c r="CV744" s="2" t="str">
        <f t="shared" si="67"/>
        <v>Delivery Manager</v>
      </c>
      <c r="CW744" s="2" t="str">
        <f>_xlfn.XLOOKUP(CL744,'[1]Rates &amp; Drop Downs INT'!D$373:D$430,'[1]Rates &amp; Drop Downs INT'!C$373:C$430,"X",1)</f>
        <v>Cloud &amp; Engineering - 2 | Associate Engineer</v>
      </c>
    </row>
    <row r="745" spans="85:101" ht="13.05" customHeight="1" x14ac:dyDescent="0.25">
      <c r="CG745" s="2" t="s">
        <v>3167</v>
      </c>
      <c r="CH745" s="2" t="s">
        <v>3335</v>
      </c>
      <c r="CI745" s="2" t="s">
        <v>1188</v>
      </c>
      <c r="CJ745" s="2" t="s">
        <v>3350</v>
      </c>
      <c r="CK745" s="2" t="s">
        <v>540</v>
      </c>
      <c r="CL745" s="2" t="s">
        <v>538</v>
      </c>
      <c r="CM745" s="39">
        <v>5</v>
      </c>
      <c r="CN745" s="2" t="str">
        <f t="shared" si="68"/>
        <v>TADigital NA Digital - Sr. Technical Architect</v>
      </c>
      <c r="CO745" s="2" t="str">
        <f t="shared" si="70"/>
        <v>TADigital India Consulting | Cloud &amp; Engineering - L2 / B1-B3 | Associate Engineer</v>
      </c>
      <c r="CP745" s="1579">
        <v>275</v>
      </c>
      <c r="CQ745" s="1579">
        <v>155</v>
      </c>
      <c r="CR745" s="1579">
        <v>105</v>
      </c>
      <c r="CS745" s="1579">
        <f t="shared" si="71"/>
        <v>36.900000000000006</v>
      </c>
      <c r="CT745" s="1580">
        <v>45</v>
      </c>
      <c r="CU745" s="2">
        <f t="shared" si="69"/>
        <v>13</v>
      </c>
      <c r="CV745" s="2" t="str">
        <f t="shared" si="67"/>
        <v>Sr. Technical Architect</v>
      </c>
      <c r="CW745" s="2" t="str">
        <f>_xlfn.XLOOKUP(CL745,'[1]Rates &amp; Drop Downs INT'!D$373:D$430,'[1]Rates &amp; Drop Downs INT'!C$373:C$430,"X",1)</f>
        <v>Cloud &amp; Engineering - 2 | Associate Engineer</v>
      </c>
    </row>
    <row r="746" spans="85:101" ht="13.05" customHeight="1" x14ac:dyDescent="0.25">
      <c r="CG746" s="2" t="s">
        <v>3167</v>
      </c>
      <c r="CH746" s="2" t="s">
        <v>3335</v>
      </c>
      <c r="CI746" s="2" t="s">
        <v>1188</v>
      </c>
      <c r="CJ746" s="2" t="s">
        <v>3350</v>
      </c>
      <c r="CK746" s="2" t="s">
        <v>538</v>
      </c>
      <c r="CL746" s="2" t="s">
        <v>538</v>
      </c>
      <c r="CM746" s="39">
        <v>4</v>
      </c>
      <c r="CN746" s="2" t="str">
        <f t="shared" si="68"/>
        <v>TADigital NA Consulting - Sr. Project Manager</v>
      </c>
      <c r="CO746" s="2" t="str">
        <f t="shared" si="70"/>
        <v>TADigital India Consulting | Cloud &amp; Engineering - L2 / B1-B3 | Associate Engineer</v>
      </c>
      <c r="CP746" s="1579">
        <v>235</v>
      </c>
      <c r="CQ746" s="1579">
        <v>132.5</v>
      </c>
      <c r="CR746" s="1579">
        <v>95</v>
      </c>
      <c r="CS746" s="1579">
        <f t="shared" si="71"/>
        <v>32.800000000000004</v>
      </c>
      <c r="CT746" s="1580">
        <v>40</v>
      </c>
      <c r="CU746" s="2">
        <f t="shared" si="69"/>
        <v>13</v>
      </c>
      <c r="CV746" s="2" t="str">
        <f t="shared" si="67"/>
        <v>Sr. Project Manager</v>
      </c>
      <c r="CW746" s="2" t="str">
        <f>_xlfn.XLOOKUP(CL746,'[1]Rates &amp; Drop Downs INT'!D$373:D$430,'[1]Rates &amp; Drop Downs INT'!C$373:C$430,"X",1)</f>
        <v>Cloud &amp; Engineering - 2 | Associate Engineer</v>
      </c>
    </row>
    <row r="747" spans="85:101" ht="13.05" customHeight="1" x14ac:dyDescent="0.25">
      <c r="CG747" s="2" t="s">
        <v>3167</v>
      </c>
      <c r="CH747" s="2" t="s">
        <v>3335</v>
      </c>
      <c r="CI747" s="2" t="s">
        <v>1188</v>
      </c>
      <c r="CJ747" s="2" t="s">
        <v>3350</v>
      </c>
      <c r="CK747" s="2" t="s">
        <v>536</v>
      </c>
      <c r="CL747" s="2" t="s">
        <v>536</v>
      </c>
      <c r="CM747" s="39">
        <v>3</v>
      </c>
      <c r="CN747" s="2" t="str">
        <f t="shared" si="68"/>
        <v>TADigital NA Digital - Technical Lead</v>
      </c>
      <c r="CO747" s="2" t="str">
        <f t="shared" si="70"/>
        <v>TADigital India Consulting | Cloud &amp; Engineering - L2 / B1-B3 | Associate Engineer</v>
      </c>
      <c r="CP747" s="1579">
        <v>185</v>
      </c>
      <c r="CQ747" s="1579">
        <v>90</v>
      </c>
      <c r="CR747" s="1579">
        <v>85</v>
      </c>
      <c r="CS747" s="1579">
        <f t="shared" si="71"/>
        <v>24.6</v>
      </c>
      <c r="CT747" s="1580">
        <v>30</v>
      </c>
      <c r="CU747" s="2">
        <f t="shared" si="69"/>
        <v>13</v>
      </c>
      <c r="CV747" s="2" t="str">
        <f t="shared" si="67"/>
        <v>Technical Lead</v>
      </c>
      <c r="CW747" s="2" t="str">
        <f>_xlfn.XLOOKUP(CL747,'[1]Rates &amp; Drop Downs INT'!D$373:D$430,'[1]Rates &amp; Drop Downs INT'!C$373:C$430,"X",1)</f>
        <v>Cloud &amp; Engineering - 2 | Associate Engineer</v>
      </c>
    </row>
    <row r="748" spans="85:101" ht="13.05" customHeight="1" x14ac:dyDescent="0.25">
      <c r="CP748" s="1580"/>
      <c r="CQ748" s="1580"/>
      <c r="CR748" s="1580"/>
      <c r="CS748" s="1580"/>
      <c r="CT748" s="1580"/>
    </row>
  </sheetData>
  <sheetProtection selectLockedCells="1" selectUnlockedCells="1"/>
  <autoFilter ref="CG5:CU747" xr:uid="{CAB12D5A-88D8-EF4C-8FCD-71BB842088D2}"/>
  <mergeCells count="1">
    <mergeCell ref="B1:F2"/>
  </mergeCells>
  <pageMargins left="0.7" right="0.7" top="0.75" bottom="0.75" header="0.3" footer="0.3"/>
  <pageSetup orientation="portrait" horizontalDpi="300" verticalDpi="300" r:id="rId1"/>
  <headerFooter>
    <oddFooter>&amp;C_x000D_&amp;1#&amp;"Calibri"&amp;10&amp;K000000 Confidential - Not for Public Consumption or Distribution</oddFooter>
  </headerFooter>
  <legacyDrawing r:id="rId2"/>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C9B9B-5E27-EE41-B3D4-50D29F115AAF}">
  <sheetPr codeName="Sheet5">
    <tabColor theme="3" tint="0.89999084444715716"/>
    <pageSetUpPr autoPageBreaks="0"/>
  </sheetPr>
  <dimension ref="A1:EV421"/>
  <sheetViews>
    <sheetView showGridLines="0" topLeftCell="D1" zoomScale="85" zoomScaleNormal="85" workbookViewId="0">
      <pane ySplit="4" topLeftCell="A286" activePane="bottomLeft" state="frozen"/>
      <selection activeCell="G20" sqref="G20"/>
      <selection pane="bottomLeft" activeCell="AB171" sqref="Y171:AB171"/>
    </sheetView>
  </sheetViews>
  <sheetFormatPr defaultColWidth="11.44140625" defaultRowHeight="13.8" outlineLevelRow="3" outlineLevelCol="1" x14ac:dyDescent="0.25"/>
  <cols>
    <col min="1" max="1" width="2.44140625" style="395" customWidth="1"/>
    <col min="2" max="2" width="7.21875" style="395" customWidth="1"/>
    <col min="3" max="3" width="26.6640625" style="395" customWidth="1"/>
    <col min="4" max="4" width="37.21875" style="395" customWidth="1"/>
    <col min="5" max="5" width="21.77734375" style="395" hidden="1" customWidth="1"/>
    <col min="6" max="6" width="19.44140625" style="395" bestFit="1" customWidth="1"/>
    <col min="7" max="8" width="32.21875" style="395" hidden="1" customWidth="1"/>
    <col min="9" max="9" width="18.44140625" style="395" bestFit="1" customWidth="1"/>
    <col min="10" max="10" width="32.21875" style="395" hidden="1" customWidth="1"/>
    <col min="11" max="11" width="20.33203125" style="395" customWidth="1"/>
    <col min="12" max="12" width="20.44140625" style="395" bestFit="1" customWidth="1"/>
    <col min="13" max="13" width="19.21875" style="395" customWidth="1"/>
    <col min="14" max="14" width="21.33203125" style="395" customWidth="1"/>
    <col min="15" max="21" width="13.44140625" style="395" customWidth="1"/>
    <col min="22" max="22" width="13.44140625" style="395" hidden="1" customWidth="1"/>
    <col min="23" max="24" width="17.77734375" style="395" hidden="1" customWidth="1"/>
    <col min="25" max="27" width="13.44140625" style="395" customWidth="1"/>
    <col min="28" max="28" width="26.109375" style="395" bestFit="1" customWidth="1"/>
    <col min="29" max="29" width="15.44140625" style="395" customWidth="1" outlineLevel="1"/>
    <col min="30" max="30" width="19.33203125" style="395" bestFit="1" customWidth="1" outlineLevel="1"/>
    <col min="31" max="32" width="19.77734375" style="395" bestFit="1" customWidth="1" outlineLevel="1"/>
    <col min="33" max="68" width="13.44140625" style="395" customWidth="1"/>
    <col min="69" max="69" width="9.21875" style="395" bestFit="1" customWidth="1"/>
    <col min="70" max="70" width="12.77734375" style="395" customWidth="1"/>
    <col min="71" max="71" width="11.44140625" style="395" customWidth="1"/>
    <col min="72" max="73" width="12.77734375" style="395" bestFit="1" customWidth="1"/>
    <col min="74" max="74" width="10.44140625" style="395" customWidth="1"/>
    <col min="75" max="77" width="11.44140625" style="395" customWidth="1"/>
    <col min="78" max="78" width="10.44140625" style="395" customWidth="1"/>
    <col min="79" max="82" width="11.44140625" style="395" customWidth="1"/>
    <col min="83" max="83" width="10.44140625" style="395" customWidth="1"/>
    <col min="84" max="86" width="11.44140625" style="395" customWidth="1"/>
    <col min="87" max="87" width="10.44140625" style="395" customWidth="1"/>
    <col min="88" max="91" width="11.44140625" style="395" customWidth="1"/>
    <col min="92" max="92" width="18.44140625" style="395" customWidth="1"/>
    <col min="93" max="93" width="14.77734375" style="395" customWidth="1"/>
    <col min="94" max="94" width="18.77734375" style="395" customWidth="1"/>
    <col min="95" max="95" width="11.44140625" style="395"/>
    <col min="96" max="96" width="15" style="395" customWidth="1"/>
    <col min="97" max="16384" width="11.44140625" style="395"/>
  </cols>
  <sheetData>
    <row r="1" spans="1:152" s="469" customFormat="1" ht="7.5" customHeight="1" x14ac:dyDescent="0.25">
      <c r="AH1" s="1704"/>
      <c r="AI1" s="1704"/>
      <c r="AJ1" s="1704"/>
    </row>
    <row r="2" spans="1:152" s="469" customFormat="1" ht="25.8" x14ac:dyDescent="0.25">
      <c r="C2" s="855" t="s">
        <v>2376</v>
      </c>
      <c r="F2" s="1693" t="s">
        <v>0</v>
      </c>
      <c r="G2" s="1693"/>
      <c r="H2" s="1693"/>
      <c r="I2" s="1693"/>
      <c r="J2" s="1693"/>
      <c r="K2" s="1693"/>
      <c r="L2" s="1697" t="s">
        <v>2241</v>
      </c>
      <c r="M2" s="1697"/>
      <c r="Q2" s="1700" t="s">
        <v>1677</v>
      </c>
      <c r="R2" s="1700"/>
      <c r="S2" s="1700"/>
      <c r="T2" s="1700"/>
      <c r="U2" s="1700"/>
      <c r="V2" s="1700"/>
      <c r="W2" s="1700"/>
      <c r="X2" s="1700"/>
      <c r="Y2" s="1700"/>
      <c r="AH2" s="470"/>
      <c r="AI2" s="471"/>
      <c r="AJ2" s="471"/>
    </row>
    <row r="3" spans="1:152" s="472" customFormat="1" ht="28.05" customHeight="1" x14ac:dyDescent="0.3">
      <c r="C3" s="1706" t="s">
        <v>2403</v>
      </c>
      <c r="D3" s="1706"/>
      <c r="F3" s="832" t="s">
        <v>2159</v>
      </c>
      <c r="G3" s="743"/>
      <c r="H3" s="743"/>
      <c r="I3" s="742" t="s">
        <v>2260</v>
      </c>
      <c r="J3" s="836" t="s">
        <v>2239</v>
      </c>
      <c r="K3" s="836" t="s">
        <v>2239</v>
      </c>
      <c r="L3" s="1698" t="str">
        <f>IF('5. Import Checklist'!C14="ROPE Ready for Upload",'5. Import Checklist'!C14,"ROPE INCOMPLETE -- WILL NOT UPLOAD")</f>
        <v>ROPE Ready for Upload</v>
      </c>
      <c r="M3" s="1699"/>
      <c r="AH3" s="470"/>
      <c r="AI3" s="471"/>
      <c r="AJ3" s="471"/>
    </row>
    <row r="4" spans="1:152" s="472" customFormat="1" ht="8.5500000000000007" customHeight="1" x14ac:dyDescent="0.3">
      <c r="F4" s="733"/>
      <c r="G4" s="697"/>
      <c r="H4" s="697"/>
      <c r="I4" s="733"/>
      <c r="J4" s="697"/>
      <c r="K4" s="734"/>
      <c r="L4" s="734"/>
      <c r="M4" s="734"/>
      <c r="N4" s="733"/>
      <c r="AH4" s="470"/>
      <c r="AI4" s="471"/>
      <c r="AJ4" s="471"/>
    </row>
    <row r="5" spans="1:152" ht="6" customHeight="1" x14ac:dyDescent="0.25">
      <c r="C5" s="556"/>
      <c r="D5" s="398"/>
      <c r="E5" s="556"/>
      <c r="F5" s="399"/>
      <c r="G5" s="556"/>
      <c r="H5" s="556"/>
      <c r="I5" s="557"/>
      <c r="J5" s="398"/>
      <c r="K5" s="556"/>
      <c r="L5" s="556"/>
      <c r="M5" s="556"/>
      <c r="N5" s="556"/>
      <c r="AH5" s="476"/>
      <c r="AI5" s="477"/>
      <c r="AJ5" s="477"/>
    </row>
    <row r="6" spans="1:152" ht="16.05" customHeight="1" x14ac:dyDescent="0.25">
      <c r="C6" s="740" t="s">
        <v>2</v>
      </c>
      <c r="D6" s="427"/>
      <c r="E6" s="558"/>
      <c r="F6" s="559"/>
      <c r="G6" s="558"/>
      <c r="H6" s="558"/>
      <c r="I6" s="560"/>
      <c r="J6" s="427"/>
      <c r="K6" s="558"/>
      <c r="L6" s="558"/>
      <c r="M6" s="558"/>
      <c r="N6" s="558"/>
      <c r="O6" s="403"/>
      <c r="P6" s="403"/>
      <c r="Q6" s="403"/>
      <c r="R6" s="403"/>
      <c r="S6" s="403"/>
      <c r="T6" s="403"/>
      <c r="AH6" s="476"/>
      <c r="AI6" s="477"/>
      <c r="AJ6" s="477"/>
    </row>
    <row r="7" spans="1:152" s="624" customFormat="1" x14ac:dyDescent="0.3">
      <c r="C7" s="1694" t="s">
        <v>2315</v>
      </c>
      <c r="D7" s="1694"/>
      <c r="E7" s="1694"/>
      <c r="F7" s="1694"/>
      <c r="G7" s="1694"/>
      <c r="H7" s="1695"/>
      <c r="I7" s="1694"/>
      <c r="J7" s="837"/>
      <c r="K7" s="1635" t="s">
        <v>13</v>
      </c>
      <c r="L7" s="1635"/>
      <c r="M7" s="1635"/>
      <c r="N7" s="1635"/>
      <c r="O7" s="1635"/>
      <c r="P7" s="1635"/>
      <c r="Q7" s="1635"/>
      <c r="R7" s="779"/>
      <c r="S7" s="1210"/>
      <c r="AH7" s="787"/>
      <c r="AI7" s="846"/>
      <c r="AJ7" s="846"/>
    </row>
    <row r="8" spans="1:152" s="624" customFormat="1" x14ac:dyDescent="0.3">
      <c r="C8" s="1702" t="s">
        <v>3242</v>
      </c>
      <c r="D8" s="1702"/>
      <c r="E8" s="1702"/>
      <c r="F8" s="1702"/>
      <c r="G8" s="1702"/>
      <c r="H8" s="1702"/>
      <c r="I8" s="1702"/>
      <c r="J8" s="1702"/>
      <c r="K8" s="1702"/>
      <c r="L8" s="1702"/>
      <c r="M8" s="1702"/>
      <c r="N8" s="1702"/>
      <c r="O8" s="779"/>
      <c r="P8" s="779"/>
      <c r="Q8" s="779"/>
      <c r="R8" s="779"/>
      <c r="S8" s="1210"/>
      <c r="AH8" s="787"/>
      <c r="AI8" s="846"/>
      <c r="AJ8" s="846"/>
    </row>
    <row r="9" spans="1:152" s="624" customFormat="1" x14ac:dyDescent="0.3">
      <c r="C9" s="1702" t="s">
        <v>3201</v>
      </c>
      <c r="D9" s="1702"/>
      <c r="E9" s="1702"/>
      <c r="F9" s="1702"/>
      <c r="G9" s="1702"/>
      <c r="H9" s="1702"/>
      <c r="I9" s="1702"/>
      <c r="J9" s="1702"/>
      <c r="K9" s="1702"/>
      <c r="L9" s="1702"/>
      <c r="M9" s="1702"/>
      <c r="N9" s="1702"/>
      <c r="O9" s="791"/>
      <c r="P9" s="791"/>
      <c r="Q9" s="405"/>
      <c r="R9" s="405"/>
      <c r="S9" s="1217"/>
      <c r="AH9" s="787"/>
      <c r="AI9" s="846"/>
      <c r="AJ9" s="846"/>
    </row>
    <row r="10" spans="1:152" s="624" customFormat="1" ht="13.95" customHeight="1" x14ac:dyDescent="0.3">
      <c r="C10" s="1702" t="s">
        <v>3243</v>
      </c>
      <c r="D10" s="1702"/>
      <c r="E10" s="1702"/>
      <c r="F10" s="1702"/>
      <c r="G10" s="1702"/>
      <c r="H10" s="1702"/>
      <c r="I10" s="1702"/>
      <c r="J10" s="1702"/>
      <c r="K10" s="1702"/>
      <c r="L10" s="1702"/>
      <c r="M10" s="1702"/>
      <c r="N10" s="1702"/>
      <c r="O10" s="779"/>
      <c r="P10" s="779"/>
      <c r="Q10" s="405"/>
      <c r="R10" s="405"/>
      <c r="S10" s="1217"/>
      <c r="AH10" s="787"/>
      <c r="AI10" s="846"/>
      <c r="AJ10" s="846"/>
    </row>
    <row r="11" spans="1:152" s="624" customFormat="1" x14ac:dyDescent="0.3">
      <c r="C11" s="1702" t="s">
        <v>3244</v>
      </c>
      <c r="D11" s="1702"/>
      <c r="E11" s="1702"/>
      <c r="F11" s="1702"/>
      <c r="G11" s="1702"/>
      <c r="H11" s="1702"/>
      <c r="I11" s="1702"/>
      <c r="J11" s="1702"/>
      <c r="K11" s="1702"/>
      <c r="L11" s="1702"/>
      <c r="M11" s="1702"/>
      <c r="N11" s="1702"/>
      <c r="O11" s="1468"/>
      <c r="P11" s="1468"/>
      <c r="Q11" s="405"/>
      <c r="R11" s="405"/>
      <c r="S11" s="1217"/>
      <c r="AH11" s="787"/>
      <c r="AI11" s="846"/>
      <c r="AJ11" s="846"/>
    </row>
    <row r="12" spans="1:152" s="624" customFormat="1" x14ac:dyDescent="0.3">
      <c r="C12" s="1701" t="s">
        <v>3245</v>
      </c>
      <c r="D12" s="1701"/>
      <c r="E12" s="1701"/>
      <c r="F12" s="1701"/>
      <c r="G12" s="1701"/>
      <c r="H12" s="1701"/>
      <c r="I12" s="1701"/>
      <c r="J12" s="1701"/>
      <c r="K12" s="1701"/>
      <c r="L12" s="1701"/>
      <c r="M12" s="1701"/>
      <c r="N12" s="1701"/>
      <c r="O12" s="1701"/>
      <c r="P12" s="1701"/>
      <c r="Q12" s="1701"/>
      <c r="R12" s="1701"/>
      <c r="S12" s="1217"/>
      <c r="AH12" s="787"/>
      <c r="AI12" s="846"/>
      <c r="AJ12" s="846"/>
    </row>
    <row r="13" spans="1:152" x14ac:dyDescent="0.25">
      <c r="AH13" s="476"/>
      <c r="AI13" s="477"/>
      <c r="AJ13" s="477"/>
    </row>
    <row r="14" spans="1:152" s="478" customFormat="1" ht="27" customHeight="1" thickBot="1" x14ac:dyDescent="0.3">
      <c r="A14" s="395"/>
      <c r="B14" s="395"/>
      <c r="C14" s="1161" t="s">
        <v>2312</v>
      </c>
      <c r="D14" s="475"/>
      <c r="E14" s="475"/>
      <c r="F14" s="475"/>
      <c r="G14" s="475"/>
      <c r="H14" s="475"/>
      <c r="I14" s="475"/>
      <c r="J14" s="475"/>
      <c r="K14" s="475"/>
      <c r="L14" s="475"/>
      <c r="M14" s="475"/>
      <c r="N14" s="475"/>
      <c r="O14" s="475"/>
      <c r="P14" s="475"/>
      <c r="Q14" s="475"/>
      <c r="R14" s="475"/>
      <c r="S14" s="475"/>
      <c r="T14" s="475"/>
      <c r="U14" s="475"/>
      <c r="V14" s="475"/>
      <c r="W14" s="475"/>
      <c r="X14" s="475"/>
      <c r="Y14" s="475"/>
      <c r="Z14" s="475"/>
      <c r="AA14" s="475"/>
      <c r="AB14" s="475"/>
      <c r="AC14" s="475"/>
      <c r="AD14" s="475"/>
      <c r="AE14" s="475"/>
      <c r="AF14" s="475"/>
      <c r="AG14" s="403"/>
      <c r="AH14" s="476"/>
      <c r="AI14" s="477"/>
      <c r="AJ14" s="477"/>
      <c r="AK14" s="395"/>
      <c r="AL14" s="475"/>
      <c r="AM14" s="475"/>
      <c r="AN14" s="475"/>
      <c r="AO14" s="475"/>
      <c r="AP14" s="475"/>
      <c r="AQ14" s="475"/>
      <c r="AR14" s="475"/>
      <c r="AS14" s="475"/>
      <c r="AT14" s="475"/>
      <c r="AU14" s="475"/>
      <c r="AV14" s="475"/>
      <c r="AW14" s="475"/>
      <c r="AX14" s="475"/>
      <c r="AY14" s="475"/>
      <c r="AZ14" s="475"/>
      <c r="BA14" s="475"/>
      <c r="BB14" s="475"/>
      <c r="BC14" s="475"/>
      <c r="BD14" s="475"/>
      <c r="BE14" s="475"/>
      <c r="BF14" s="475"/>
      <c r="BG14" s="475"/>
      <c r="BH14" s="475"/>
      <c r="BI14" s="475"/>
      <c r="BJ14" s="475"/>
      <c r="BK14" s="475"/>
      <c r="BL14" s="475"/>
      <c r="BM14" s="475"/>
      <c r="BN14" s="475"/>
      <c r="BO14" s="475"/>
      <c r="BP14" s="475"/>
      <c r="BQ14" s="475"/>
      <c r="BR14" s="475"/>
      <c r="BS14" s="475"/>
      <c r="BT14" s="475"/>
      <c r="BU14" s="475"/>
      <c r="BV14" s="475"/>
      <c r="BW14" s="475"/>
      <c r="BX14" s="475"/>
      <c r="BY14" s="475"/>
      <c r="BZ14" s="475"/>
      <c r="CA14" s="475"/>
      <c r="CB14" s="475"/>
      <c r="CC14" s="475"/>
      <c r="CD14" s="475"/>
      <c r="CE14" s="475"/>
      <c r="CF14" s="475"/>
      <c r="CG14" s="475"/>
      <c r="CH14" s="475"/>
      <c r="CI14" s="475"/>
      <c r="CJ14" s="475"/>
      <c r="CK14" s="475"/>
      <c r="CL14" s="475"/>
      <c r="CM14" s="475"/>
      <c r="CN14" s="475"/>
      <c r="CO14" s="475"/>
      <c r="CP14" s="475"/>
      <c r="CQ14" s="475"/>
      <c r="CR14" s="475"/>
      <c r="CS14" s="475"/>
      <c r="CT14" s="475"/>
      <c r="CU14" s="475"/>
      <c r="CV14" s="475"/>
      <c r="CW14" s="475"/>
      <c r="CX14" s="475"/>
      <c r="CY14" s="475"/>
      <c r="CZ14" s="475"/>
      <c r="DA14" s="475"/>
      <c r="DB14" s="475"/>
      <c r="DC14" s="475"/>
      <c r="DD14" s="475"/>
      <c r="DE14" s="475"/>
      <c r="DF14" s="475"/>
      <c r="DG14" s="475"/>
      <c r="DH14" s="475"/>
      <c r="DI14" s="475"/>
      <c r="DJ14" s="475"/>
      <c r="DK14" s="475"/>
      <c r="DL14" s="475"/>
      <c r="DM14" s="475"/>
      <c r="DN14" s="475"/>
      <c r="DO14" s="475"/>
      <c r="DP14" s="475"/>
      <c r="DQ14" s="475"/>
      <c r="DR14" s="475"/>
      <c r="DS14" s="475"/>
      <c r="DT14" s="475"/>
      <c r="DU14" s="475"/>
      <c r="DV14" s="475"/>
      <c r="DW14" s="475"/>
      <c r="DX14" s="475"/>
      <c r="DY14" s="475"/>
      <c r="DZ14" s="475"/>
      <c r="EA14" s="475"/>
      <c r="EB14" s="475"/>
      <c r="EC14" s="475"/>
      <c r="ED14" s="475"/>
      <c r="EE14" s="475"/>
      <c r="EF14" s="475"/>
      <c r="EG14" s="475"/>
      <c r="EH14" s="475"/>
      <c r="EI14" s="475"/>
      <c r="EJ14" s="475"/>
      <c r="EK14" s="475"/>
      <c r="EL14" s="475"/>
      <c r="EM14" s="475"/>
      <c r="EN14" s="475"/>
      <c r="EO14" s="475"/>
      <c r="EP14" s="475"/>
      <c r="EQ14" s="475"/>
      <c r="ER14" s="475"/>
      <c r="ES14" s="475"/>
      <c r="ET14" s="475"/>
      <c r="EU14" s="475"/>
      <c r="EV14" s="475"/>
    </row>
    <row r="15" spans="1:152" s="624" customFormat="1" x14ac:dyDescent="0.3">
      <c r="C15" s="1696" t="s">
        <v>3246</v>
      </c>
      <c r="D15" s="1696"/>
      <c r="E15" s="1696"/>
      <c r="F15" s="1696"/>
      <c r="G15" s="1696"/>
      <c r="H15" s="1696"/>
      <c r="I15" s="1696"/>
      <c r="AH15" s="845"/>
      <c r="AI15" s="846"/>
      <c r="AJ15" s="846"/>
    </row>
    <row r="16" spans="1:152" x14ac:dyDescent="0.25">
      <c r="AH16" s="404"/>
      <c r="AI16" s="477"/>
      <c r="AJ16" s="477"/>
    </row>
    <row r="17" spans="3:97" ht="23.55" customHeight="1" x14ac:dyDescent="0.25">
      <c r="C17" s="1716" t="s">
        <v>2199</v>
      </c>
      <c r="D17" s="1717"/>
      <c r="E17" s="1717"/>
      <c r="F17" s="1718"/>
      <c r="G17" s="479"/>
      <c r="H17" s="479"/>
      <c r="J17" s="479"/>
      <c r="K17" s="480"/>
      <c r="L17" s="480"/>
      <c r="M17" s="480"/>
      <c r="N17" s="480"/>
      <c r="O17" s="1707"/>
      <c r="P17" s="1707"/>
      <c r="Q17" s="1707"/>
      <c r="R17" s="1707"/>
      <c r="S17" s="1707"/>
      <c r="T17" s="1707"/>
      <c r="U17" s="481"/>
      <c r="V17" s="482"/>
      <c r="W17" s="482"/>
      <c r="X17" s="482"/>
      <c r="Y17" s="482"/>
      <c r="AC17" s="483"/>
      <c r="AD17" s="483"/>
      <c r="AE17" s="483"/>
      <c r="AO17" s="413"/>
      <c r="AP17" s="413"/>
      <c r="AQ17" s="413"/>
      <c r="AR17" s="413"/>
      <c r="AS17" s="484"/>
      <c r="AT17" s="413"/>
      <c r="AU17" s="413"/>
      <c r="AV17" s="413"/>
      <c r="AW17" s="413"/>
      <c r="AX17" s="413"/>
      <c r="AY17" s="485"/>
      <c r="AZ17" s="485"/>
      <c r="BA17" s="485"/>
      <c r="BB17" s="485"/>
      <c r="BC17" s="485"/>
      <c r="BD17" s="485"/>
      <c r="BE17" s="485"/>
      <c r="BF17" s="485"/>
      <c r="BG17" s="485"/>
      <c r="BH17" s="485"/>
      <c r="BI17" s="485"/>
      <c r="BJ17" s="485"/>
      <c r="BK17" s="485"/>
      <c r="BL17" s="485"/>
      <c r="BM17" s="485"/>
      <c r="BN17" s="485"/>
      <c r="BO17" s="485"/>
      <c r="BP17" s="485"/>
      <c r="BQ17" s="485"/>
      <c r="BR17" s="485"/>
      <c r="BS17" s="485"/>
      <c r="BT17" s="485"/>
      <c r="BU17" s="485"/>
      <c r="BV17" s="485"/>
      <c r="BW17" s="485"/>
      <c r="BX17" s="485"/>
      <c r="BY17" s="485"/>
      <c r="BZ17" s="485"/>
      <c r="CA17" s="485"/>
      <c r="CB17" s="485"/>
      <c r="CC17" s="485"/>
      <c r="CD17" s="485"/>
      <c r="CE17" s="485"/>
      <c r="CF17" s="485"/>
      <c r="CG17" s="485"/>
      <c r="CH17" s="485"/>
      <c r="CI17" s="486"/>
      <c r="CJ17" s="486"/>
      <c r="CK17" s="486"/>
      <c r="CL17" s="486"/>
      <c r="CM17" s="486"/>
      <c r="CN17" s="486"/>
      <c r="CO17" s="487"/>
      <c r="CP17" s="486"/>
      <c r="CQ17" s="486"/>
      <c r="CR17" s="486"/>
      <c r="CS17" s="486"/>
    </row>
    <row r="18" spans="3:97" ht="19.95" customHeight="1" x14ac:dyDescent="0.25">
      <c r="C18" s="1664" t="s">
        <v>15</v>
      </c>
      <c r="D18" s="1664"/>
      <c r="E18" s="1736" t="str">
        <f>'1. Project Inputs'!C17</f>
        <v>Dallas</v>
      </c>
      <c r="F18" s="1737"/>
      <c r="G18" s="488"/>
      <c r="H18" s="488"/>
      <c r="I18" s="488"/>
      <c r="J18" s="488"/>
      <c r="K18" s="484"/>
      <c r="L18" s="484"/>
      <c r="M18" s="484"/>
      <c r="N18" s="484"/>
      <c r="O18" s="572"/>
      <c r="P18" s="572"/>
      <c r="Q18" s="572"/>
      <c r="R18" s="572"/>
      <c r="S18" s="572"/>
      <c r="T18" s="413"/>
      <c r="U18" s="413"/>
      <c r="V18" s="413"/>
      <c r="W18" s="413"/>
      <c r="X18" s="413"/>
      <c r="Y18" s="413"/>
      <c r="Z18" s="413"/>
      <c r="AO18" s="413"/>
      <c r="AP18" s="413"/>
      <c r="AQ18" s="413"/>
      <c r="AR18" s="413"/>
      <c r="AS18" s="413"/>
      <c r="AT18" s="413"/>
      <c r="AU18" s="413"/>
      <c r="AV18" s="413"/>
      <c r="AW18" s="413"/>
      <c r="AX18" s="413"/>
      <c r="AY18" s="489"/>
      <c r="AZ18" s="489"/>
      <c r="BA18" s="489"/>
      <c r="BB18" s="489"/>
      <c r="BC18" s="489"/>
      <c r="BD18" s="489"/>
      <c r="BE18" s="489"/>
      <c r="BF18" s="489"/>
      <c r="BG18" s="489"/>
      <c r="BH18" s="489"/>
      <c r="BI18" s="489"/>
      <c r="BJ18" s="489"/>
      <c r="BK18" s="489"/>
      <c r="BL18" s="489"/>
      <c r="BM18" s="489"/>
      <c r="BN18" s="489"/>
      <c r="BO18" s="489"/>
      <c r="BP18" s="489"/>
      <c r="BQ18" s="489"/>
      <c r="BR18" s="489"/>
      <c r="BS18" s="489"/>
      <c r="BT18" s="489"/>
      <c r="BU18" s="489"/>
      <c r="BV18" s="489"/>
      <c r="BW18" s="489"/>
      <c r="BX18" s="489"/>
      <c r="BY18" s="489"/>
      <c r="BZ18" s="489"/>
      <c r="CA18" s="489"/>
      <c r="CB18" s="489"/>
      <c r="CC18" s="489"/>
      <c r="CD18" s="489"/>
      <c r="CE18" s="489"/>
      <c r="CF18" s="489"/>
      <c r="CG18" s="489"/>
      <c r="CH18" s="489"/>
      <c r="CI18" s="490"/>
      <c r="CJ18" s="486"/>
      <c r="CK18" s="486"/>
      <c r="CL18" s="486"/>
      <c r="CM18" s="486"/>
      <c r="CN18" s="486"/>
      <c r="CO18" s="487"/>
      <c r="CP18" s="486"/>
      <c r="CQ18" s="486"/>
      <c r="CR18" s="486"/>
      <c r="CS18" s="486"/>
    </row>
    <row r="19" spans="3:97" ht="19.95" customHeight="1" x14ac:dyDescent="0.25">
      <c r="C19" s="1665" t="s">
        <v>1304</v>
      </c>
      <c r="D19" s="1665"/>
      <c r="E19" s="1738" t="str">
        <f>'1. Project Inputs'!C18</f>
        <v>C Spire</v>
      </c>
      <c r="F19" s="1739"/>
      <c r="G19" s="491"/>
      <c r="H19" s="491"/>
      <c r="I19" s="491"/>
      <c r="J19" s="491"/>
      <c r="K19" s="413"/>
      <c r="L19" s="1607" t="s">
        <v>2021</v>
      </c>
      <c r="M19" s="1608">
        <f>'3. Financial Inputs'!C67</f>
        <v>61280</v>
      </c>
      <c r="N19" s="413"/>
      <c r="O19" s="492"/>
      <c r="P19" s="492"/>
      <c r="Q19" s="492"/>
      <c r="R19" s="492"/>
      <c r="S19" s="492"/>
      <c r="T19" s="795"/>
      <c r="U19" s="795"/>
      <c r="V19" s="795"/>
      <c r="W19" s="398"/>
      <c r="X19" s="398"/>
      <c r="Y19" s="493"/>
      <c r="Z19" s="493"/>
      <c r="AH19" s="492"/>
      <c r="AI19" s="1705"/>
      <c r="AJ19" s="1705"/>
      <c r="AK19" s="492"/>
      <c r="AL19" s="492"/>
      <c r="AM19" s="492"/>
      <c r="AN19" s="493"/>
      <c r="AO19" s="413"/>
      <c r="AP19" s="413"/>
      <c r="AQ19" s="413"/>
      <c r="AR19" s="413"/>
      <c r="AS19" s="413"/>
      <c r="AT19" s="413"/>
      <c r="AU19" s="413"/>
      <c r="AV19" s="413"/>
      <c r="AW19" s="413"/>
      <c r="AX19" s="413"/>
      <c r="AY19" s="489"/>
      <c r="AZ19" s="489"/>
      <c r="BA19" s="489"/>
      <c r="BB19" s="489"/>
      <c r="BC19" s="489"/>
      <c r="BD19" s="489"/>
      <c r="BE19" s="489"/>
      <c r="BF19" s="489"/>
      <c r="BG19" s="489"/>
      <c r="BH19" s="489"/>
      <c r="BI19" s="489"/>
      <c r="BJ19" s="489"/>
      <c r="BK19" s="489"/>
      <c r="BL19" s="489"/>
      <c r="BM19" s="489"/>
      <c r="BN19" s="489"/>
      <c r="BO19" s="489"/>
      <c r="BP19" s="489"/>
      <c r="BQ19" s="489"/>
      <c r="BR19" s="489"/>
      <c r="BS19" s="489"/>
      <c r="BT19" s="489"/>
      <c r="BU19" s="489"/>
      <c r="BV19" s="489"/>
      <c r="BW19" s="489"/>
      <c r="BX19" s="489"/>
      <c r="BY19" s="489"/>
      <c r="BZ19" s="489"/>
      <c r="CA19" s="489"/>
      <c r="CB19" s="489"/>
      <c r="CC19" s="489"/>
      <c r="CD19" s="489"/>
      <c r="CE19" s="489"/>
      <c r="CF19" s="489"/>
      <c r="CG19" s="489"/>
      <c r="CH19" s="489"/>
      <c r="CI19" s="487"/>
      <c r="CJ19" s="487"/>
      <c r="CK19" s="487"/>
      <c r="CL19" s="487"/>
      <c r="CM19" s="487"/>
      <c r="CN19" s="487"/>
      <c r="CO19" s="487"/>
      <c r="CP19" s="487"/>
      <c r="CQ19" s="487"/>
      <c r="CR19" s="487"/>
      <c r="CS19" s="487"/>
    </row>
    <row r="20" spans="3:97" ht="19.95" customHeight="1" x14ac:dyDescent="0.25">
      <c r="C20" s="1665" t="s">
        <v>3573</v>
      </c>
      <c r="D20" s="1665"/>
      <c r="E20" s="1738" t="str">
        <f>'1. Project Inputs'!C19</f>
        <v>TA Digital</v>
      </c>
      <c r="F20" s="1739"/>
      <c r="G20" s="488"/>
      <c r="H20" s="488"/>
      <c r="I20" s="488"/>
      <c r="J20" s="488"/>
      <c r="K20" s="494"/>
      <c r="L20" s="1607"/>
      <c r="M20" s="1609"/>
      <c r="N20" s="494"/>
      <c r="O20" s="804"/>
      <c r="P20" s="804"/>
      <c r="Q20" s="804"/>
      <c r="R20" s="804"/>
      <c r="S20" s="804"/>
      <c r="T20" s="496"/>
      <c r="U20" s="496"/>
      <c r="V20" s="399"/>
      <c r="W20" s="399"/>
      <c r="X20" s="399"/>
      <c r="Y20" s="399"/>
      <c r="Z20" s="496"/>
      <c r="AH20" s="495"/>
      <c r="AI20" s="1703"/>
      <c r="AJ20" s="1703"/>
      <c r="AK20" s="496"/>
      <c r="AL20" s="496"/>
      <c r="AM20" s="497"/>
      <c r="AN20" s="497"/>
      <c r="AO20" s="413"/>
      <c r="AP20" s="413"/>
      <c r="AQ20" s="413"/>
      <c r="AR20" s="413"/>
      <c r="AS20" s="413"/>
      <c r="AT20" s="413"/>
      <c r="AU20" s="413"/>
      <c r="AV20" s="413"/>
      <c r="AW20" s="413"/>
      <c r="AX20" s="413"/>
      <c r="AY20" s="489"/>
      <c r="AZ20" s="489"/>
      <c r="BA20" s="489"/>
      <c r="BB20" s="489"/>
      <c r="BC20" s="489"/>
      <c r="BD20" s="489"/>
      <c r="BE20" s="489"/>
      <c r="BF20" s="489"/>
      <c r="BG20" s="489"/>
      <c r="BH20" s="489"/>
      <c r="BI20" s="489"/>
      <c r="BJ20" s="489"/>
      <c r="BK20" s="489"/>
      <c r="BL20" s="489"/>
      <c r="BM20" s="489"/>
      <c r="BN20" s="489"/>
      <c r="BO20" s="489"/>
      <c r="BP20" s="489"/>
      <c r="BQ20" s="489"/>
      <c r="BR20" s="489"/>
      <c r="BS20" s="489"/>
      <c r="BT20" s="489"/>
      <c r="BU20" s="489"/>
      <c r="BV20" s="489"/>
      <c r="BW20" s="489"/>
      <c r="BX20" s="489"/>
      <c r="BY20" s="489"/>
      <c r="BZ20" s="489"/>
      <c r="CA20" s="489"/>
      <c r="CB20" s="489"/>
      <c r="CC20" s="489"/>
      <c r="CD20" s="489"/>
      <c r="CE20" s="489"/>
      <c r="CF20" s="489"/>
      <c r="CG20" s="489"/>
      <c r="CH20" s="489"/>
      <c r="CI20" s="487"/>
      <c r="CJ20" s="487"/>
      <c r="CK20" s="487"/>
      <c r="CL20" s="487"/>
      <c r="CM20" s="487"/>
      <c r="CN20" s="487"/>
      <c r="CO20" s="487"/>
      <c r="CP20" s="487"/>
      <c r="CQ20" s="487"/>
      <c r="CR20" s="487"/>
      <c r="CS20" s="487"/>
    </row>
    <row r="21" spans="3:97" ht="19.95" customHeight="1" x14ac:dyDescent="0.25">
      <c r="C21" s="1665" t="s">
        <v>19</v>
      </c>
      <c r="D21" s="1665"/>
      <c r="E21" s="1738" t="str">
        <f>'1. Project Inputs'!C19</f>
        <v>TA Digital</v>
      </c>
      <c r="F21" s="1739"/>
      <c r="G21" s="488"/>
      <c r="H21" s="488"/>
      <c r="I21" s="488"/>
      <c r="J21" s="488"/>
      <c r="K21" s="494"/>
      <c r="L21" s="1607" t="s">
        <v>3299</v>
      </c>
      <c r="M21" s="1610">
        <f>'4. Summary &amp; Totals'!C45</f>
        <v>787521</v>
      </c>
      <c r="N21" s="494"/>
      <c r="O21" s="804"/>
      <c r="P21" s="804"/>
      <c r="Q21" s="804"/>
      <c r="R21" s="804"/>
      <c r="S21" s="804"/>
      <c r="T21" s="496"/>
      <c r="U21" s="496"/>
      <c r="V21" s="399"/>
      <c r="W21" s="399"/>
      <c r="X21" s="399"/>
      <c r="Y21" s="399"/>
      <c r="Z21" s="496"/>
      <c r="AH21" s="495"/>
      <c r="AI21" s="1703"/>
      <c r="AJ21" s="1703"/>
      <c r="AK21" s="496"/>
      <c r="AL21" s="496"/>
      <c r="AM21" s="497"/>
      <c r="AN21" s="497"/>
      <c r="AO21" s="413"/>
      <c r="AP21" s="413"/>
      <c r="AQ21" s="413"/>
      <c r="AR21" s="413"/>
      <c r="AS21" s="413"/>
      <c r="AT21" s="413"/>
      <c r="AU21" s="413"/>
      <c r="AV21" s="413"/>
      <c r="AW21" s="413"/>
      <c r="AX21" s="413"/>
      <c r="AY21" s="489"/>
      <c r="AZ21" s="489"/>
      <c r="BA21" s="489"/>
      <c r="BB21" s="489"/>
      <c r="BC21" s="489"/>
      <c r="BD21" s="489"/>
      <c r="BE21" s="489"/>
      <c r="BF21" s="489"/>
      <c r="BG21" s="489"/>
      <c r="BH21" s="489"/>
      <c r="BI21" s="489"/>
      <c r="BJ21" s="489"/>
      <c r="BK21" s="489"/>
      <c r="BL21" s="489"/>
      <c r="BM21" s="489"/>
      <c r="BN21" s="489"/>
      <c r="BO21" s="489"/>
      <c r="BP21" s="489"/>
      <c r="BQ21" s="489"/>
      <c r="BR21" s="489"/>
      <c r="BS21" s="489"/>
      <c r="BT21" s="489"/>
      <c r="BU21" s="489"/>
      <c r="BV21" s="489"/>
      <c r="BW21" s="489"/>
      <c r="BX21" s="489"/>
      <c r="BY21" s="489"/>
      <c r="BZ21" s="489"/>
      <c r="CA21" s="489"/>
      <c r="CB21" s="489"/>
      <c r="CC21" s="489"/>
      <c r="CD21" s="489"/>
      <c r="CE21" s="489"/>
      <c r="CF21" s="489"/>
      <c r="CG21" s="489"/>
      <c r="CH21" s="489"/>
      <c r="CI21" s="487"/>
      <c r="CJ21" s="487"/>
      <c r="CK21" s="487"/>
      <c r="CL21" s="487"/>
      <c r="CM21" s="487"/>
      <c r="CN21" s="487"/>
      <c r="CO21" s="487"/>
      <c r="CP21" s="487"/>
      <c r="CQ21" s="487"/>
      <c r="CR21" s="487"/>
      <c r="CS21" s="487"/>
    </row>
    <row r="22" spans="3:97" ht="19.95" customHeight="1" x14ac:dyDescent="0.25">
      <c r="C22" s="1665" t="s">
        <v>3212</v>
      </c>
      <c r="D22" s="1665"/>
      <c r="E22" s="1738" t="str">
        <f>'1. Project Inputs'!C20</f>
        <v>No</v>
      </c>
      <c r="F22" s="1739"/>
      <c r="G22" s="488"/>
      <c r="H22" s="488"/>
      <c r="I22" s="488"/>
      <c r="J22" s="488"/>
      <c r="K22" s="494"/>
      <c r="L22" s="1607" t="s">
        <v>1673</v>
      </c>
      <c r="M22" s="1609">
        <f>'4. Summary &amp; Totals'!C37</f>
        <v>0.53970619544390042</v>
      </c>
      <c r="N22" s="494"/>
      <c r="O22" s="804"/>
      <c r="P22" s="804"/>
      <c r="Q22" s="804"/>
      <c r="R22" s="804"/>
      <c r="S22" s="804"/>
      <c r="T22" s="496"/>
      <c r="U22" s="496"/>
      <c r="V22" s="399"/>
      <c r="W22" s="399"/>
      <c r="X22" s="399"/>
      <c r="Y22" s="399"/>
      <c r="Z22" s="496"/>
      <c r="AH22" s="495"/>
      <c r="AI22" s="1703"/>
      <c r="AJ22" s="1703"/>
      <c r="AK22" s="496"/>
      <c r="AL22" s="496"/>
      <c r="AM22" s="497"/>
      <c r="AN22" s="497"/>
      <c r="AO22" s="413"/>
      <c r="AP22" s="413"/>
      <c r="AQ22" s="413"/>
      <c r="AR22" s="413"/>
      <c r="AS22" s="413"/>
      <c r="AT22" s="413"/>
      <c r="AU22" s="413"/>
      <c r="AV22" s="413"/>
      <c r="AW22" s="413"/>
      <c r="AX22" s="413"/>
      <c r="AY22" s="489"/>
      <c r="AZ22" s="489"/>
      <c r="BA22" s="489"/>
      <c r="BB22" s="489"/>
      <c r="BC22" s="489"/>
      <c r="BD22" s="489"/>
      <c r="BE22" s="489"/>
      <c r="BF22" s="489"/>
      <c r="BG22" s="489"/>
      <c r="BH22" s="489"/>
      <c r="BI22" s="489"/>
      <c r="BJ22" s="489"/>
      <c r="BK22" s="489"/>
      <c r="BL22" s="489"/>
      <c r="BM22" s="489"/>
      <c r="BN22" s="489"/>
      <c r="BO22" s="489"/>
      <c r="BP22" s="489"/>
      <c r="BQ22" s="489"/>
      <c r="BR22" s="489"/>
      <c r="BS22" s="489"/>
      <c r="BT22" s="489"/>
      <c r="BU22" s="489"/>
      <c r="BV22" s="489"/>
      <c r="BW22" s="489"/>
      <c r="BX22" s="489"/>
      <c r="BY22" s="489"/>
      <c r="BZ22" s="489"/>
      <c r="CA22" s="489"/>
      <c r="CB22" s="489"/>
      <c r="CC22" s="489"/>
      <c r="CD22" s="489"/>
      <c r="CE22" s="489"/>
      <c r="CF22" s="489"/>
      <c r="CG22" s="489"/>
      <c r="CH22" s="489"/>
      <c r="CI22" s="487"/>
      <c r="CJ22" s="487"/>
      <c r="CK22" s="487"/>
      <c r="CL22" s="487"/>
      <c r="CM22" s="487"/>
      <c r="CN22" s="487"/>
      <c r="CO22" s="487"/>
      <c r="CP22" s="487"/>
      <c r="CQ22" s="487"/>
      <c r="CR22" s="487"/>
      <c r="CS22" s="487"/>
    </row>
    <row r="23" spans="3:97" ht="19.95" customHeight="1" x14ac:dyDescent="0.25">
      <c r="C23" s="1666" t="s">
        <v>2064</v>
      </c>
      <c r="D23" s="1666"/>
      <c r="E23" s="1738">
        <f>'1. Project Inputs'!C22</f>
        <v>1324</v>
      </c>
      <c r="F23" s="1739"/>
      <c r="G23" s="488"/>
      <c r="H23" s="488"/>
      <c r="I23" s="488"/>
      <c r="J23" s="488"/>
      <c r="K23" s="494"/>
      <c r="L23" s="1607" t="s">
        <v>3683</v>
      </c>
      <c r="M23" s="1607" t="str">
        <f>'6. Commercial Review'!B68</f>
        <v>Missing Information</v>
      </c>
      <c r="N23" s="494"/>
      <c r="O23" s="804"/>
      <c r="P23" s="804"/>
      <c r="Q23" s="804"/>
      <c r="R23" s="804"/>
      <c r="S23" s="804"/>
      <c r="T23" s="496"/>
      <c r="U23" s="496"/>
      <c r="V23" s="399"/>
      <c r="W23" s="399"/>
      <c r="X23" s="399"/>
      <c r="Y23" s="399"/>
      <c r="Z23" s="496"/>
      <c r="AH23" s="495"/>
      <c r="AI23" s="1703"/>
      <c r="AJ23" s="1703"/>
      <c r="AK23" s="496"/>
      <c r="AL23" s="496"/>
      <c r="AM23" s="497"/>
      <c r="AN23" s="497"/>
      <c r="AO23" s="413"/>
      <c r="AP23" s="413"/>
      <c r="AQ23" s="413"/>
      <c r="AR23" s="413"/>
      <c r="AS23" s="413"/>
      <c r="AT23" s="413"/>
      <c r="AU23" s="413"/>
      <c r="AV23" s="413"/>
      <c r="AW23" s="413"/>
      <c r="AX23" s="413"/>
      <c r="AY23" s="489"/>
      <c r="AZ23" s="489"/>
      <c r="BA23" s="489"/>
      <c r="BB23" s="489"/>
      <c r="BC23" s="489"/>
      <c r="BD23" s="489"/>
      <c r="BE23" s="489"/>
      <c r="BF23" s="489"/>
      <c r="BG23" s="489"/>
      <c r="BH23" s="489"/>
      <c r="BI23" s="489"/>
      <c r="BJ23" s="489"/>
      <c r="BK23" s="489"/>
      <c r="BL23" s="489"/>
      <c r="BM23" s="489"/>
      <c r="BN23" s="489"/>
      <c r="BO23" s="489"/>
      <c r="BP23" s="489"/>
      <c r="BQ23" s="489"/>
      <c r="BR23" s="489"/>
      <c r="BS23" s="489"/>
      <c r="BT23" s="489"/>
      <c r="BU23" s="489"/>
      <c r="BV23" s="489"/>
      <c r="BW23" s="489"/>
      <c r="BX23" s="489"/>
      <c r="BY23" s="489"/>
      <c r="BZ23" s="489"/>
      <c r="CA23" s="489"/>
      <c r="CB23" s="489"/>
      <c r="CC23" s="489"/>
      <c r="CD23" s="489"/>
      <c r="CE23" s="489"/>
      <c r="CF23" s="489"/>
      <c r="CG23" s="489"/>
      <c r="CH23" s="489"/>
      <c r="CI23" s="487"/>
      <c r="CJ23" s="487"/>
      <c r="CK23" s="487"/>
      <c r="CL23" s="487"/>
      <c r="CM23" s="487"/>
      <c r="CN23" s="487"/>
      <c r="CO23" s="487"/>
      <c r="CP23" s="487"/>
      <c r="CQ23" s="487"/>
      <c r="CR23" s="487"/>
      <c r="CS23" s="487"/>
    </row>
    <row r="24" spans="3:97" ht="19.95" customHeight="1" x14ac:dyDescent="0.25">
      <c r="C24" s="1666" t="s">
        <v>22</v>
      </c>
      <c r="D24" s="1666"/>
      <c r="E24" s="1738" t="str">
        <f>'1. Project Inputs'!C23</f>
        <v>Test Digital Project</v>
      </c>
      <c r="F24" s="1739"/>
      <c r="G24" s="488"/>
      <c r="H24" s="488"/>
      <c r="I24" s="488"/>
      <c r="J24" s="488"/>
      <c r="K24" s="484"/>
      <c r="L24" s="1607"/>
      <c r="M24" s="1607"/>
      <c r="N24" s="484"/>
      <c r="O24" s="804"/>
      <c r="P24" s="804"/>
      <c r="Q24" s="804"/>
      <c r="R24" s="804"/>
      <c r="S24" s="804"/>
      <c r="T24" s="496"/>
      <c r="U24" s="496"/>
      <c r="V24" s="399"/>
      <c r="W24" s="399"/>
      <c r="X24" s="399"/>
      <c r="Y24" s="399"/>
      <c r="Z24" s="496"/>
      <c r="AC24" s="1686" t="s">
        <v>100</v>
      </c>
      <c r="AD24" s="1686"/>
      <c r="AE24" s="1686"/>
      <c r="AF24" s="1686"/>
      <c r="AH24" s="495"/>
      <c r="AI24" s="1703"/>
      <c r="AJ24" s="1703"/>
      <c r="AK24" s="496"/>
      <c r="AL24" s="496"/>
      <c r="AM24" s="497"/>
      <c r="AN24" s="497"/>
      <c r="AO24" s="413"/>
      <c r="AP24" s="413"/>
      <c r="AQ24" s="413"/>
      <c r="AR24" s="413"/>
      <c r="AS24" s="413"/>
      <c r="AT24" s="413"/>
      <c r="AU24" s="413"/>
      <c r="AV24" s="413"/>
      <c r="AW24" s="413"/>
      <c r="AX24" s="413"/>
      <c r="AY24" s="489"/>
      <c r="AZ24" s="489"/>
      <c r="BA24" s="489"/>
      <c r="BB24" s="489"/>
      <c r="BC24" s="489"/>
      <c r="BD24" s="489"/>
      <c r="BE24" s="489"/>
      <c r="BF24" s="489"/>
      <c r="BG24" s="489"/>
      <c r="BH24" s="489"/>
      <c r="BI24" s="489"/>
      <c r="BJ24" s="489"/>
      <c r="BK24" s="489"/>
      <c r="BL24" s="489"/>
      <c r="BM24" s="489"/>
      <c r="BN24" s="489"/>
      <c r="BO24" s="489"/>
      <c r="BP24" s="489"/>
      <c r="BQ24" s="489"/>
      <c r="BR24" s="489"/>
      <c r="BS24" s="489"/>
      <c r="BT24" s="489"/>
      <c r="BU24" s="489"/>
      <c r="BV24" s="489"/>
      <c r="BW24" s="489"/>
      <c r="BX24" s="489"/>
      <c r="BY24" s="489"/>
      <c r="BZ24" s="489"/>
      <c r="CA24" s="489"/>
      <c r="CB24" s="489"/>
      <c r="CC24" s="489"/>
      <c r="CD24" s="489"/>
      <c r="CE24" s="489"/>
      <c r="CF24" s="489"/>
      <c r="CG24" s="489"/>
      <c r="CH24" s="489"/>
      <c r="CI24" s="487"/>
      <c r="CJ24" s="487"/>
      <c r="CK24" s="487"/>
      <c r="CL24" s="487"/>
      <c r="CM24" s="487"/>
      <c r="CN24" s="487"/>
      <c r="CO24" s="487"/>
      <c r="CP24" s="487"/>
      <c r="CQ24" s="487"/>
      <c r="CR24" s="487"/>
      <c r="CS24" s="487"/>
    </row>
    <row r="25" spans="3:97" ht="19.95" customHeight="1" x14ac:dyDescent="0.25">
      <c r="C25" s="1666" t="s">
        <v>23</v>
      </c>
      <c r="D25" s="1666"/>
      <c r="E25" s="1736" t="str">
        <f>'1. Project Inputs'!C24</f>
        <v>Digital - Systems Implementation</v>
      </c>
      <c r="F25" s="1737"/>
      <c r="G25" s="488"/>
      <c r="H25" s="488"/>
      <c r="I25" s="488"/>
      <c r="J25" s="488"/>
      <c r="K25" s="413"/>
      <c r="L25" s="413"/>
      <c r="M25" s="413"/>
      <c r="N25" s="413"/>
      <c r="O25" s="804"/>
      <c r="P25" s="804"/>
      <c r="Q25" s="804"/>
      <c r="R25" s="804"/>
      <c r="S25" s="804"/>
      <c r="T25" s="496"/>
      <c r="U25" s="496"/>
      <c r="V25" s="399"/>
      <c r="W25" s="399"/>
      <c r="X25" s="399"/>
      <c r="Y25" s="399"/>
      <c r="Z25" s="496"/>
      <c r="AB25" s="466"/>
      <c r="AC25" s="1686"/>
      <c r="AD25" s="1686"/>
      <c r="AE25" s="1686"/>
      <c r="AF25" s="1686"/>
      <c r="AH25" s="495"/>
      <c r="AI25" s="1703"/>
      <c r="AJ25" s="1703"/>
      <c r="AK25" s="496"/>
      <c r="AL25" s="496"/>
      <c r="AM25" s="497"/>
      <c r="AN25" s="497"/>
      <c r="AO25" s="413"/>
      <c r="AP25" s="413"/>
      <c r="AQ25" s="413"/>
      <c r="AR25" s="413"/>
      <c r="AS25" s="413"/>
      <c r="AT25" s="413"/>
      <c r="AU25" s="413"/>
      <c r="AV25" s="413"/>
      <c r="AW25" s="413"/>
      <c r="AX25" s="413"/>
      <c r="AY25" s="489"/>
      <c r="AZ25" s="489"/>
      <c r="BA25" s="489"/>
      <c r="BB25" s="489"/>
      <c r="BC25" s="489"/>
      <c r="BD25" s="489"/>
      <c r="BE25" s="489"/>
      <c r="BF25" s="489"/>
      <c r="BG25" s="489"/>
      <c r="BH25" s="489"/>
      <c r="BI25" s="489"/>
      <c r="BJ25" s="489"/>
      <c r="BK25" s="489"/>
      <c r="BL25" s="489"/>
      <c r="BM25" s="489"/>
      <c r="BN25" s="489"/>
      <c r="BO25" s="489"/>
      <c r="BP25" s="489"/>
      <c r="BQ25" s="489"/>
      <c r="BR25" s="489"/>
      <c r="BS25" s="489"/>
      <c r="BT25" s="489"/>
      <c r="BU25" s="489"/>
      <c r="BV25" s="489"/>
      <c r="BW25" s="489"/>
      <c r="BX25" s="489"/>
      <c r="BY25" s="489"/>
      <c r="BZ25" s="489"/>
      <c r="CA25" s="489"/>
      <c r="CB25" s="489"/>
      <c r="CC25" s="489"/>
      <c r="CD25" s="489"/>
      <c r="CE25" s="489"/>
      <c r="CF25" s="489"/>
      <c r="CG25" s="489"/>
      <c r="CH25" s="489"/>
      <c r="CI25" s="487"/>
      <c r="CJ25" s="487"/>
      <c r="CK25" s="487"/>
      <c r="CL25" s="487"/>
      <c r="CM25" s="487"/>
      <c r="CN25" s="487"/>
      <c r="CO25" s="487"/>
      <c r="CP25" s="487"/>
      <c r="CQ25" s="487"/>
      <c r="CR25" s="487"/>
      <c r="CS25" s="487"/>
    </row>
    <row r="26" spans="3:97" ht="19.95" customHeight="1" thickBot="1" x14ac:dyDescent="0.3">
      <c r="C26" s="1666" t="s">
        <v>24</v>
      </c>
      <c r="D26" s="1666"/>
      <c r="E26" s="1736" t="str">
        <f>'1. Project Inputs'!C25</f>
        <v>Standard Rates</v>
      </c>
      <c r="F26" s="1737"/>
      <c r="G26" s="498"/>
      <c r="H26" s="498"/>
      <c r="I26" s="498"/>
      <c r="J26" s="498"/>
      <c r="K26" s="499"/>
      <c r="L26" s="499"/>
      <c r="M26" s="499"/>
      <c r="N26" s="499"/>
      <c r="O26" s="804"/>
      <c r="P26" s="804"/>
      <c r="Q26" s="804"/>
      <c r="R26" s="804"/>
      <c r="S26" s="804"/>
      <c r="T26" s="496"/>
      <c r="U26" s="496"/>
      <c r="V26" s="399"/>
      <c r="W26" s="399"/>
      <c r="X26" s="399"/>
      <c r="Y26" s="399"/>
      <c r="Z26" s="496"/>
      <c r="AC26" s="483"/>
      <c r="AD26" s="483"/>
      <c r="AE26" s="483"/>
      <c r="AF26" s="483"/>
      <c r="AH26" s="495"/>
      <c r="AI26" s="1703"/>
      <c r="AJ26" s="1703"/>
      <c r="AK26" s="496"/>
      <c r="AL26" s="496"/>
      <c r="AM26" s="497"/>
      <c r="AN26" s="497"/>
      <c r="AO26" s="413"/>
      <c r="AP26" s="413"/>
      <c r="AQ26" s="413"/>
      <c r="AR26" s="413"/>
      <c r="AS26" s="413"/>
      <c r="AT26" s="413"/>
      <c r="AU26" s="413"/>
      <c r="AV26" s="413"/>
      <c r="AW26" s="413"/>
      <c r="AX26" s="413"/>
      <c r="AY26" s="489"/>
      <c r="AZ26" s="489"/>
      <c r="BA26" s="489"/>
      <c r="BB26" s="489"/>
      <c r="BC26" s="489"/>
      <c r="BD26" s="489"/>
      <c r="BE26" s="489"/>
      <c r="BF26" s="489"/>
      <c r="BG26" s="489"/>
      <c r="BH26" s="489"/>
      <c r="BI26" s="489"/>
      <c r="BJ26" s="489"/>
      <c r="BK26" s="489"/>
      <c r="BL26" s="489"/>
      <c r="BM26" s="489"/>
      <c r="BN26" s="489"/>
      <c r="BO26" s="489"/>
      <c r="BP26" s="489"/>
      <c r="BQ26" s="489"/>
      <c r="BR26" s="489"/>
      <c r="BS26" s="489"/>
      <c r="BT26" s="489"/>
      <c r="BU26" s="489"/>
      <c r="BV26" s="489"/>
      <c r="BW26" s="489"/>
      <c r="BX26" s="489"/>
      <c r="BY26" s="489"/>
      <c r="BZ26" s="489"/>
      <c r="CA26" s="489"/>
      <c r="CB26" s="489"/>
      <c r="CC26" s="489"/>
      <c r="CD26" s="489"/>
      <c r="CE26" s="489"/>
      <c r="CF26" s="489"/>
      <c r="CG26" s="489"/>
      <c r="CH26" s="489"/>
      <c r="CI26" s="487"/>
      <c r="CJ26" s="487"/>
      <c r="CK26" s="487"/>
      <c r="CL26" s="487"/>
      <c r="CM26" s="487"/>
      <c r="CN26" s="487"/>
      <c r="CO26" s="487"/>
      <c r="CP26" s="487"/>
      <c r="CQ26" s="487"/>
      <c r="CR26" s="487"/>
      <c r="CS26" s="487"/>
    </row>
    <row r="27" spans="3:97" ht="30" customHeight="1" thickBot="1" x14ac:dyDescent="0.3">
      <c r="C27" s="1667" t="s">
        <v>2311</v>
      </c>
      <c r="D27" s="1667"/>
      <c r="E27" s="1738" t="str">
        <f>IF(ISBLANK('1. Project Inputs'!C26)," ",'1. Project Inputs'!C26)</f>
        <v xml:space="preserve"> </v>
      </c>
      <c r="F27" s="1739"/>
      <c r="G27" s="488"/>
      <c r="H27" s="488"/>
      <c r="I27" s="1583"/>
      <c r="J27" s="1583"/>
      <c r="K27" s="1583"/>
      <c r="L27" s="1583"/>
      <c r="M27" s="1583"/>
      <c r="N27" s="1583"/>
      <c r="O27" s="804"/>
      <c r="P27" s="804"/>
      <c r="Q27" s="804"/>
      <c r="R27" s="804"/>
      <c r="S27" s="804"/>
      <c r="T27" s="496"/>
      <c r="U27" s="496"/>
      <c r="V27" s="399"/>
      <c r="W27" s="399"/>
      <c r="X27" s="399"/>
      <c r="Y27" s="399"/>
      <c r="Z27" s="496"/>
      <c r="AC27" s="510"/>
      <c r="AD27" s="511" t="s">
        <v>104</v>
      </c>
      <c r="AE27" s="512" t="s">
        <v>105</v>
      </c>
      <c r="AF27" s="513" t="s">
        <v>106</v>
      </c>
      <c r="AH27" s="495"/>
      <c r="AI27" s="1703"/>
      <c r="AJ27" s="1703"/>
      <c r="AK27" s="496"/>
      <c r="AL27" s="496"/>
      <c r="AM27" s="497"/>
      <c r="AN27" s="497"/>
      <c r="AO27" s="413"/>
      <c r="AP27" s="413"/>
      <c r="AQ27" s="413"/>
      <c r="AR27" s="413"/>
      <c r="AS27" s="413"/>
      <c r="AT27" s="413"/>
      <c r="AU27" s="413"/>
      <c r="AV27" s="413"/>
      <c r="AW27" s="413"/>
      <c r="AX27" s="413"/>
      <c r="AY27" s="489"/>
      <c r="AZ27" s="489"/>
      <c r="BA27" s="489"/>
      <c r="BB27" s="489"/>
      <c r="BC27" s="489"/>
      <c r="BD27" s="489"/>
      <c r="BE27" s="489"/>
      <c r="BF27" s="489"/>
      <c r="BG27" s="489"/>
      <c r="BH27" s="489"/>
      <c r="BI27" s="489"/>
      <c r="BJ27" s="489"/>
      <c r="BK27" s="489"/>
      <c r="BL27" s="489"/>
      <c r="BM27" s="489"/>
      <c r="BN27" s="489"/>
      <c r="BO27" s="489"/>
      <c r="BP27" s="489"/>
      <c r="BQ27" s="489"/>
      <c r="BR27" s="489"/>
      <c r="BS27" s="489"/>
      <c r="BT27" s="489"/>
      <c r="BU27" s="489"/>
      <c r="BV27" s="489"/>
      <c r="BW27" s="489"/>
      <c r="BX27" s="489"/>
      <c r="BY27" s="489"/>
      <c r="BZ27" s="489"/>
      <c r="CA27" s="489"/>
      <c r="CB27" s="489"/>
      <c r="CC27" s="489"/>
      <c r="CD27" s="489"/>
      <c r="CE27" s="489"/>
      <c r="CF27" s="489"/>
      <c r="CG27" s="489"/>
      <c r="CH27" s="489"/>
      <c r="CI27" s="487"/>
      <c r="CJ27" s="487"/>
      <c r="CK27" s="487"/>
      <c r="CL27" s="487"/>
      <c r="CM27" s="487"/>
      <c r="CN27" s="487"/>
      <c r="CO27" s="487"/>
      <c r="CP27" s="487"/>
      <c r="CQ27" s="487"/>
      <c r="CR27" s="487"/>
      <c r="CS27" s="487"/>
    </row>
    <row r="28" spans="3:97" ht="19.95" customHeight="1" x14ac:dyDescent="0.25">
      <c r="C28" s="1665" t="s">
        <v>1890</v>
      </c>
      <c r="D28" s="1665"/>
      <c r="E28" s="1740">
        <f>'1. Project Inputs'!C27</f>
        <v>45916</v>
      </c>
      <c r="F28" s="1741"/>
      <c r="G28" s="500"/>
      <c r="H28" s="500"/>
      <c r="I28" s="500"/>
      <c r="J28" s="500"/>
      <c r="K28" s="499"/>
      <c r="L28" s="499"/>
      <c r="M28" s="499"/>
      <c r="N28" s="499"/>
      <c r="O28" s="804"/>
      <c r="P28" s="804"/>
      <c r="Q28" s="804"/>
      <c r="R28" s="804"/>
      <c r="S28" s="804"/>
      <c r="T28" s="496"/>
      <c r="U28" s="496"/>
      <c r="V28" s="399"/>
      <c r="W28" s="399"/>
      <c r="X28" s="399"/>
      <c r="Y28" s="399"/>
      <c r="Z28" s="496"/>
      <c r="AC28" s="514" t="s">
        <v>109</v>
      </c>
      <c r="AD28" s="517">
        <f>IF(AC48="","",SUMIFS($D$291:$D$390,$AC$48:$AC$147,"Yes"))</f>
        <v>732400</v>
      </c>
      <c r="AE28" s="517">
        <f>IF(AE48="","",SUMIFS($D$291:$D$390,$AE$48:$AE$147,"Yes"))</f>
        <v>252400</v>
      </c>
      <c r="AF28" s="1457">
        <f>IF(AF48="","",SUMIFS($D$291:$D$390,$AF$48:$AF$147,"Yes"))</f>
        <v>306400</v>
      </c>
      <c r="AH28" s="495"/>
      <c r="AI28" s="1703"/>
      <c r="AJ28" s="1703"/>
      <c r="AK28" s="496"/>
      <c r="AL28" s="496"/>
      <c r="AM28" s="497"/>
      <c r="AN28" s="497"/>
      <c r="AO28" s="413"/>
      <c r="AP28" s="413"/>
      <c r="AQ28" s="413"/>
      <c r="AR28" s="413"/>
      <c r="AS28" s="413"/>
      <c r="AT28" s="413"/>
      <c r="AU28" s="413"/>
      <c r="AV28" s="413"/>
      <c r="AW28" s="413"/>
      <c r="AX28" s="413"/>
      <c r="AY28" s="489"/>
      <c r="AZ28" s="489"/>
      <c r="BA28" s="489"/>
      <c r="BB28" s="489"/>
      <c r="BC28" s="489"/>
      <c r="BD28" s="489"/>
      <c r="BE28" s="489"/>
      <c r="BF28" s="489"/>
      <c r="BG28" s="489"/>
      <c r="BH28" s="489"/>
      <c r="BI28" s="489"/>
      <c r="BJ28" s="489"/>
      <c r="BK28" s="489"/>
      <c r="BL28" s="489"/>
      <c r="BM28" s="489"/>
      <c r="BN28" s="489"/>
      <c r="BO28" s="489"/>
      <c r="BP28" s="489"/>
      <c r="BQ28" s="489"/>
      <c r="BR28" s="489"/>
      <c r="BS28" s="489"/>
      <c r="BT28" s="489"/>
      <c r="BU28" s="489"/>
      <c r="BV28" s="489"/>
      <c r="BW28" s="489"/>
      <c r="BX28" s="489"/>
      <c r="BY28" s="489"/>
      <c r="BZ28" s="489"/>
      <c r="CA28" s="489"/>
      <c r="CB28" s="489"/>
      <c r="CC28" s="489"/>
      <c r="CD28" s="489"/>
      <c r="CE28" s="489"/>
      <c r="CF28" s="489"/>
      <c r="CG28" s="489"/>
      <c r="CH28" s="489"/>
      <c r="CI28" s="487"/>
      <c r="CJ28" s="487"/>
      <c r="CK28" s="487"/>
      <c r="CL28" s="487"/>
      <c r="CM28" s="487"/>
      <c r="CN28" s="487"/>
      <c r="CO28" s="487"/>
      <c r="CP28" s="487"/>
      <c r="CQ28" s="487"/>
      <c r="CR28" s="487"/>
      <c r="CS28" s="487"/>
    </row>
    <row r="29" spans="3:97" ht="19.95" customHeight="1" x14ac:dyDescent="0.25">
      <c r="C29" s="1665" t="s">
        <v>27</v>
      </c>
      <c r="D29" s="1665"/>
      <c r="E29" s="1740" t="str">
        <f>'1. Project Inputs'!C28</f>
        <v>T&amp;M</v>
      </c>
      <c r="F29" s="1741"/>
      <c r="G29" s="488"/>
      <c r="H29" s="488"/>
      <c r="I29" s="488"/>
      <c r="J29" s="488"/>
      <c r="K29" s="499"/>
      <c r="L29" s="499"/>
      <c r="M29" s="499"/>
      <c r="N29" s="499"/>
      <c r="O29" s="804"/>
      <c r="P29" s="804"/>
      <c r="Q29" s="804"/>
      <c r="R29" s="804"/>
      <c r="S29" s="804"/>
      <c r="T29" s="496"/>
      <c r="U29" s="496"/>
      <c r="V29" s="399"/>
      <c r="W29" s="399"/>
      <c r="X29" s="399"/>
      <c r="Y29" s="399"/>
      <c r="Z29" s="496"/>
      <c r="AC29" s="516" t="s">
        <v>110</v>
      </c>
      <c r="AD29" s="517">
        <f>IF(AC48="","",SUMIFS($F$291:$F$390,$AC$48:$AC$147,"Yes"))</f>
        <v>331440</v>
      </c>
      <c r="AE29" s="517">
        <f>IF(AE48="","",SUMIFS($F$291:$F$390,$AE$48:$AE$147,"Yes"))</f>
        <v>99840</v>
      </c>
      <c r="AF29" s="1457">
        <f>IF(AF48="","",SUMIFS($F$291:$F$390,$AF$48:$AF$147,"Yes"))</f>
        <v>139440</v>
      </c>
      <c r="AH29" s="495"/>
      <c r="AI29" s="1703"/>
      <c r="AJ29" s="1703"/>
      <c r="AK29" s="496"/>
      <c r="AL29" s="496"/>
      <c r="AM29" s="497"/>
      <c r="AN29" s="497"/>
      <c r="AO29" s="413"/>
      <c r="AP29" s="413"/>
      <c r="AQ29" s="413"/>
      <c r="AR29" s="413"/>
      <c r="AS29" s="413"/>
      <c r="AT29" s="413"/>
      <c r="AU29" s="413"/>
      <c r="AV29" s="413"/>
      <c r="AW29" s="413"/>
      <c r="AX29" s="413"/>
      <c r="AY29" s="489"/>
      <c r="AZ29" s="489"/>
      <c r="BA29" s="489"/>
      <c r="BB29" s="489"/>
      <c r="BC29" s="489"/>
      <c r="BD29" s="489"/>
      <c r="BE29" s="489"/>
      <c r="BF29" s="489"/>
      <c r="BG29" s="489"/>
      <c r="BH29" s="489"/>
      <c r="BI29" s="489"/>
      <c r="BJ29" s="489"/>
      <c r="BK29" s="489"/>
      <c r="BL29" s="489"/>
      <c r="BM29" s="489"/>
      <c r="BN29" s="489"/>
      <c r="BO29" s="489"/>
      <c r="BP29" s="489"/>
      <c r="BQ29" s="489"/>
      <c r="BR29" s="489"/>
      <c r="BS29" s="489"/>
      <c r="BT29" s="489"/>
      <c r="BU29" s="489"/>
      <c r="BV29" s="489"/>
      <c r="BW29" s="489"/>
      <c r="BX29" s="489"/>
      <c r="BY29" s="489"/>
      <c r="BZ29" s="489"/>
      <c r="CA29" s="489"/>
      <c r="CB29" s="489"/>
      <c r="CC29" s="489"/>
      <c r="CD29" s="489"/>
      <c r="CE29" s="489"/>
      <c r="CF29" s="489"/>
      <c r="CG29" s="489"/>
      <c r="CH29" s="489"/>
      <c r="CI29" s="487"/>
      <c r="CJ29" s="487"/>
      <c r="CK29" s="487"/>
      <c r="CL29" s="487"/>
      <c r="CM29" s="487"/>
      <c r="CN29" s="487"/>
      <c r="CO29" s="487"/>
      <c r="CP29" s="487"/>
      <c r="CQ29" s="487"/>
      <c r="CR29" s="487"/>
      <c r="CS29" s="487"/>
    </row>
    <row r="30" spans="3:97" ht="19.95" customHeight="1" thickBot="1" x14ac:dyDescent="0.3">
      <c r="C30" s="1668" t="s">
        <v>2286</v>
      </c>
      <c r="D30" s="1668"/>
      <c r="E30" s="1742">
        <f>'1. Project Inputs'!C29</f>
        <v>30</v>
      </c>
      <c r="F30" s="1743"/>
      <c r="G30" s="413"/>
      <c r="H30" s="413"/>
      <c r="I30" s="413"/>
      <c r="J30" s="413"/>
      <c r="K30" s="484"/>
      <c r="L30" s="484"/>
      <c r="M30" s="484"/>
      <c r="N30" s="484"/>
      <c r="O30" s="804"/>
      <c r="P30" s="804"/>
      <c r="Q30" s="804"/>
      <c r="R30" s="804"/>
      <c r="S30" s="804"/>
      <c r="T30" s="496"/>
      <c r="U30" s="496"/>
      <c r="V30" s="399"/>
      <c r="W30" s="399"/>
      <c r="X30" s="399"/>
      <c r="Y30" s="399"/>
      <c r="Z30" s="496"/>
      <c r="AC30" s="1458" t="s">
        <v>111</v>
      </c>
      <c r="AD30" s="1459">
        <f>IFERROR(AD29/SUMIFS($M$291:$M$390,AC48:AC147,"Yes"),"")</f>
        <v>58.352112676056336</v>
      </c>
      <c r="AE30" s="1459">
        <f>IFERROR(AE29/SUMIFS($M$291:$M$390,AE48:AE147,"Yes"),"")</f>
        <v>48</v>
      </c>
      <c r="AF30" s="1460">
        <f>IFERROR(AF29/SUMIFS($M$291:$M$390,AF48:AF147,"Yes"),"")</f>
        <v>42.512195121951223</v>
      </c>
      <c r="AH30" s="441"/>
      <c r="AI30" s="1703"/>
      <c r="AJ30" s="1703"/>
      <c r="AK30" s="501"/>
      <c r="AL30" s="501"/>
      <c r="AM30" s="501"/>
      <c r="AN30" s="502"/>
      <c r="AO30" s="413"/>
      <c r="AP30" s="413"/>
      <c r="AQ30" s="413"/>
      <c r="AR30" s="413"/>
      <c r="AS30" s="413"/>
      <c r="AT30" s="413"/>
      <c r="AU30" s="413"/>
      <c r="AV30" s="413"/>
      <c r="AW30" s="413"/>
      <c r="AX30" s="413"/>
      <c r="AY30" s="489"/>
      <c r="AZ30" s="489"/>
      <c r="BA30" s="489"/>
      <c r="BB30" s="489"/>
      <c r="BC30" s="489"/>
      <c r="BD30" s="489"/>
      <c r="BE30" s="489"/>
      <c r="BF30" s="489"/>
      <c r="BG30" s="489"/>
      <c r="BH30" s="489"/>
      <c r="BI30" s="489"/>
      <c r="BJ30" s="489"/>
      <c r="BK30" s="489"/>
      <c r="BL30" s="489"/>
      <c r="BM30" s="489"/>
      <c r="BN30" s="489"/>
      <c r="BO30" s="489"/>
      <c r="BP30" s="489"/>
      <c r="BQ30" s="489"/>
      <c r="BR30" s="489"/>
      <c r="BS30" s="489"/>
      <c r="BT30" s="489"/>
      <c r="BU30" s="489"/>
      <c r="BV30" s="489"/>
      <c r="BW30" s="489"/>
      <c r="BX30" s="489"/>
      <c r="BY30" s="489"/>
      <c r="BZ30" s="489"/>
      <c r="CA30" s="489"/>
      <c r="CB30" s="489"/>
      <c r="CC30" s="489"/>
      <c r="CD30" s="489"/>
      <c r="CE30" s="489"/>
      <c r="CF30" s="489"/>
      <c r="CG30" s="489"/>
      <c r="CH30" s="489"/>
      <c r="CI30" s="487"/>
      <c r="CJ30" s="487"/>
      <c r="CK30" s="487"/>
      <c r="CL30" s="487"/>
      <c r="CM30" s="487"/>
      <c r="CN30" s="487"/>
      <c r="CO30" s="487"/>
      <c r="CP30" s="487"/>
      <c r="CQ30" s="487"/>
      <c r="CR30" s="487"/>
      <c r="CS30" s="487"/>
    </row>
    <row r="31" spans="3:97" ht="19.95" hidden="1" customHeight="1" x14ac:dyDescent="0.25">
      <c r="C31" s="878" t="s">
        <v>2276</v>
      </c>
      <c r="D31" s="879" t="str">
        <f>'1. Project Inputs'!C30</f>
        <v>Select Currency</v>
      </c>
      <c r="E31" s="413"/>
      <c r="F31" s="413"/>
      <c r="G31" s="413"/>
      <c r="H31" s="413"/>
      <c r="I31" s="413"/>
      <c r="J31" s="413"/>
      <c r="K31" s="484"/>
      <c r="L31" s="484"/>
      <c r="M31" s="484"/>
      <c r="N31" s="484"/>
      <c r="O31" s="804"/>
      <c r="P31" s="804"/>
      <c r="Q31" s="804"/>
      <c r="R31" s="804"/>
      <c r="S31" s="804"/>
      <c r="T31" s="496"/>
      <c r="U31" s="496"/>
      <c r="V31" s="399"/>
      <c r="W31" s="399"/>
      <c r="X31" s="399"/>
      <c r="Y31" s="399"/>
      <c r="Z31" s="496"/>
      <c r="AB31" s="556"/>
      <c r="AC31" s="417"/>
      <c r="AD31" s="417"/>
      <c r="AH31" s="441"/>
      <c r="AI31" s="793"/>
      <c r="AJ31" s="793"/>
      <c r="AK31" s="501"/>
      <c r="AL31" s="501"/>
      <c r="AM31" s="501"/>
      <c r="AN31" s="502"/>
      <c r="AO31" s="413"/>
      <c r="AP31" s="413"/>
      <c r="AQ31" s="413"/>
      <c r="AR31" s="413"/>
      <c r="AS31" s="413"/>
      <c r="AT31" s="413"/>
      <c r="AU31" s="413"/>
      <c r="AV31" s="413"/>
      <c r="AW31" s="413"/>
      <c r="AX31" s="413"/>
      <c r="AY31" s="489"/>
      <c r="AZ31" s="489"/>
      <c r="BA31" s="489"/>
      <c r="BB31" s="489"/>
      <c r="BC31" s="489"/>
      <c r="BD31" s="489"/>
      <c r="BE31" s="489"/>
      <c r="BF31" s="489"/>
      <c r="BG31" s="489"/>
      <c r="BH31" s="489"/>
      <c r="BI31" s="489"/>
      <c r="BJ31" s="489"/>
      <c r="BK31" s="489"/>
      <c r="BL31" s="489"/>
      <c r="BM31" s="489"/>
      <c r="BN31" s="489"/>
      <c r="BO31" s="489"/>
      <c r="BP31" s="489"/>
      <c r="BQ31" s="489"/>
      <c r="BR31" s="489"/>
      <c r="BS31" s="489"/>
      <c r="BT31" s="489"/>
      <c r="BU31" s="489"/>
      <c r="BV31" s="489"/>
      <c r="BW31" s="489"/>
      <c r="BX31" s="489"/>
      <c r="BY31" s="489"/>
      <c r="BZ31" s="489"/>
      <c r="CA31" s="489"/>
      <c r="CB31" s="489"/>
      <c r="CC31" s="489"/>
      <c r="CD31" s="489"/>
      <c r="CE31" s="489"/>
      <c r="CF31" s="489"/>
      <c r="CG31" s="489"/>
      <c r="CH31" s="489"/>
      <c r="CI31" s="487"/>
      <c r="CJ31" s="487"/>
      <c r="CK31" s="487"/>
      <c r="CL31" s="487"/>
      <c r="CM31" s="487"/>
      <c r="CN31" s="487"/>
      <c r="CO31" s="487"/>
      <c r="CP31" s="487"/>
      <c r="CQ31" s="487"/>
      <c r="CR31" s="487"/>
      <c r="CS31" s="487"/>
    </row>
    <row r="32" spans="3:97" ht="17.25" hidden="1" customHeight="1" x14ac:dyDescent="0.25">
      <c r="C32" s="796" t="s">
        <v>2291</v>
      </c>
      <c r="D32" s="413" t="str">
        <f>'6. Commercial Review'!B68</f>
        <v>Missing Information</v>
      </c>
      <c r="E32" s="413"/>
      <c r="F32" s="1713" t="s">
        <v>2292</v>
      </c>
      <c r="G32" s="1713"/>
      <c r="H32" s="1713"/>
      <c r="I32" s="1713"/>
      <c r="J32" s="413"/>
      <c r="K32" s="503"/>
      <c r="L32" s="503"/>
      <c r="M32" s="503"/>
      <c r="N32" s="503"/>
      <c r="O32" s="804"/>
      <c r="P32" s="804"/>
      <c r="Q32" s="804"/>
      <c r="R32" s="804"/>
      <c r="S32" s="804"/>
      <c r="T32" s="496"/>
      <c r="U32" s="496"/>
      <c r="V32" s="399"/>
      <c r="W32" s="399"/>
      <c r="X32" s="399"/>
      <c r="Y32" s="399"/>
      <c r="Z32" s="496"/>
      <c r="AB32" s="459"/>
      <c r="AC32" s="509"/>
      <c r="AD32" s="509"/>
      <c r="AE32" s="509"/>
      <c r="AO32" s="413"/>
      <c r="AP32" s="413"/>
      <c r="AQ32" s="413"/>
      <c r="AR32" s="413"/>
      <c r="AS32" s="413"/>
      <c r="AT32" s="413"/>
      <c r="AU32" s="413"/>
      <c r="AV32" s="413"/>
      <c r="AW32" s="413"/>
      <c r="AX32" s="413"/>
      <c r="AY32" s="489"/>
      <c r="AZ32" s="489"/>
      <c r="BA32" s="489"/>
      <c r="BB32" s="489"/>
      <c r="BC32" s="489"/>
      <c r="BD32" s="489"/>
      <c r="BE32" s="489"/>
      <c r="BF32" s="489"/>
      <c r="BG32" s="489"/>
      <c r="BH32" s="489"/>
      <c r="BI32" s="489"/>
      <c r="BJ32" s="489"/>
      <c r="BK32" s="489"/>
      <c r="BL32" s="489"/>
      <c r="BM32" s="489"/>
      <c r="BN32" s="489"/>
      <c r="BO32" s="489"/>
      <c r="BP32" s="489"/>
      <c r="BQ32" s="489"/>
      <c r="BR32" s="489"/>
      <c r="BS32" s="489"/>
      <c r="BT32" s="489"/>
      <c r="BU32" s="489"/>
      <c r="BV32" s="489"/>
      <c r="BW32" s="489"/>
      <c r="BX32" s="489"/>
      <c r="BY32" s="489"/>
      <c r="BZ32" s="489"/>
      <c r="CA32" s="489"/>
      <c r="CB32" s="489"/>
      <c r="CC32" s="489"/>
      <c r="CD32" s="489"/>
      <c r="CE32" s="489"/>
      <c r="CF32" s="489"/>
      <c r="CG32" s="489"/>
      <c r="CH32" s="489"/>
      <c r="CI32" s="487"/>
      <c r="CJ32" s="487"/>
      <c r="CK32" s="487"/>
      <c r="CL32" s="487"/>
      <c r="CM32" s="487"/>
      <c r="CN32" s="487"/>
      <c r="CO32" s="487"/>
      <c r="CP32" s="487"/>
      <c r="CQ32" s="487"/>
      <c r="CR32" s="487"/>
      <c r="CS32" s="487"/>
    </row>
    <row r="33" spans="1:97" ht="10.050000000000001" customHeight="1" x14ac:dyDescent="0.25">
      <c r="C33" s="413"/>
      <c r="D33" s="413"/>
      <c r="E33" s="413"/>
      <c r="F33" s="413"/>
      <c r="G33" s="413"/>
      <c r="H33" s="413"/>
      <c r="I33" s="413"/>
      <c r="J33" s="413"/>
      <c r="K33" s="503"/>
      <c r="L33" s="503"/>
      <c r="M33" s="503"/>
      <c r="N33" s="503"/>
      <c r="O33" s="804"/>
      <c r="P33" s="804"/>
      <c r="Q33" s="804"/>
      <c r="R33" s="804"/>
      <c r="S33" s="804"/>
      <c r="T33" s="496"/>
      <c r="U33" s="496"/>
      <c r="V33" s="399"/>
      <c r="W33" s="399"/>
      <c r="X33" s="399"/>
      <c r="Y33" s="399"/>
      <c r="Z33" s="496"/>
      <c r="AB33" s="459"/>
      <c r="AC33" s="509"/>
      <c r="AD33" s="509"/>
      <c r="AE33" s="509"/>
      <c r="AO33" s="413"/>
      <c r="AP33" s="413"/>
      <c r="AQ33" s="413"/>
      <c r="AR33" s="413"/>
      <c r="AS33" s="413"/>
      <c r="AT33" s="413"/>
      <c r="AU33" s="413"/>
      <c r="AV33" s="413"/>
      <c r="AW33" s="413"/>
      <c r="AX33" s="413"/>
      <c r="AY33" s="489"/>
      <c r="AZ33" s="489"/>
      <c r="BA33" s="489"/>
      <c r="BB33" s="489"/>
      <c r="BC33" s="489"/>
      <c r="BD33" s="489"/>
      <c r="BE33" s="489"/>
      <c r="BF33" s="489"/>
      <c r="BG33" s="489"/>
      <c r="BH33" s="489"/>
      <c r="BI33" s="489"/>
      <c r="BJ33" s="489"/>
      <c r="BK33" s="489"/>
      <c r="BL33" s="489"/>
      <c r="BM33" s="489"/>
      <c r="BN33" s="489"/>
      <c r="BO33" s="489"/>
      <c r="BP33" s="489"/>
      <c r="BQ33" s="489"/>
      <c r="BR33" s="489"/>
      <c r="BS33" s="489"/>
      <c r="BT33" s="489"/>
      <c r="BU33" s="489"/>
      <c r="BV33" s="489"/>
      <c r="BW33" s="489"/>
      <c r="BX33" s="489"/>
      <c r="BY33" s="489"/>
      <c r="BZ33" s="489"/>
      <c r="CA33" s="489"/>
      <c r="CB33" s="489"/>
      <c r="CC33" s="489"/>
      <c r="CD33" s="489"/>
      <c r="CE33" s="489"/>
      <c r="CF33" s="489"/>
      <c r="CG33" s="489"/>
      <c r="CH33" s="489"/>
      <c r="CI33" s="487"/>
      <c r="CJ33" s="487"/>
      <c r="CK33" s="487"/>
      <c r="CL33" s="487"/>
      <c r="CM33" s="487"/>
      <c r="CN33" s="487"/>
      <c r="CO33" s="487"/>
      <c r="CP33" s="487"/>
      <c r="CQ33" s="487"/>
      <c r="CR33" s="487"/>
      <c r="CS33" s="487"/>
    </row>
    <row r="34" spans="1:97" s="403" customFormat="1" ht="22.95" customHeight="1" x14ac:dyDescent="0.25">
      <c r="A34" s="395"/>
      <c r="B34" s="395"/>
      <c r="C34" s="1223" t="s">
        <v>2316</v>
      </c>
      <c r="D34" s="788"/>
      <c r="E34" s="788"/>
      <c r="F34" s="788"/>
      <c r="G34" s="788"/>
      <c r="H34" s="788"/>
      <c r="I34" s="788"/>
      <c r="J34" s="788"/>
      <c r="K34" s="788"/>
      <c r="L34" s="788"/>
      <c r="M34" s="788"/>
      <c r="N34" s="788"/>
      <c r="O34" s="788"/>
      <c r="P34" s="788"/>
      <c r="Q34" s="788"/>
      <c r="R34" s="788"/>
      <c r="S34" s="788"/>
      <c r="T34" s="788"/>
      <c r="U34" s="788"/>
      <c r="V34" s="788"/>
      <c r="W34" s="788"/>
      <c r="X34" s="788"/>
      <c r="AI34" s="788"/>
      <c r="AJ34" s="788"/>
      <c r="AK34" s="788"/>
      <c r="AL34" s="788"/>
      <c r="AM34" s="788"/>
      <c r="CM34" s="789"/>
      <c r="CN34" s="789"/>
      <c r="CO34" s="789"/>
      <c r="CP34" s="789"/>
      <c r="CQ34" s="789"/>
      <c r="CR34" s="789"/>
      <c r="CS34" s="789"/>
    </row>
    <row r="35" spans="1:97" s="624" customFormat="1" ht="13.95" customHeight="1" x14ac:dyDescent="0.3">
      <c r="B35" s="841"/>
      <c r="C35" s="1719" t="s">
        <v>3202</v>
      </c>
      <c r="D35" s="1719"/>
      <c r="E35" s="1719"/>
      <c r="F35" s="1719"/>
      <c r="G35" s="1719"/>
      <c r="H35" s="1719"/>
      <c r="I35" s="1719"/>
      <c r="J35" s="1719"/>
      <c r="K35" s="1719"/>
      <c r="L35" s="1719"/>
      <c r="M35" s="1719"/>
      <c r="N35" s="1719"/>
      <c r="O35" s="1719"/>
      <c r="P35" s="842"/>
      <c r="Q35" s="842"/>
      <c r="R35" s="842"/>
      <c r="S35" s="842"/>
      <c r="T35" s="841"/>
      <c r="U35" s="841"/>
      <c r="V35" s="841"/>
      <c r="W35" s="841"/>
      <c r="X35" s="841"/>
      <c r="Y35" s="841"/>
      <c r="AA35" s="841"/>
      <c r="AB35" s="841"/>
      <c r="AC35" s="841"/>
      <c r="AD35" s="841"/>
      <c r="AE35" s="841"/>
      <c r="AF35" s="518"/>
      <c r="AG35" s="843"/>
      <c r="AH35" s="844"/>
      <c r="AI35" s="844"/>
      <c r="AJ35" s="843"/>
      <c r="AK35" s="843"/>
      <c r="AL35" s="843"/>
      <c r="AM35" s="843"/>
      <c r="CM35" s="838"/>
    </row>
    <row r="36" spans="1:97" s="624" customFormat="1" x14ac:dyDescent="0.3">
      <c r="B36" s="841"/>
      <c r="C36" s="1674" t="s">
        <v>2315</v>
      </c>
      <c r="D36" s="1674"/>
      <c r="E36" s="1674"/>
      <c r="F36" s="1674"/>
      <c r="G36" s="1674"/>
      <c r="H36" s="1674"/>
      <c r="I36" s="1674"/>
      <c r="J36" s="1674"/>
      <c r="K36" s="1674"/>
      <c r="L36" s="1674"/>
      <c r="M36" s="1674"/>
      <c r="N36" s="1674"/>
      <c r="O36" s="842"/>
      <c r="P36" s="842"/>
      <c r="Q36" s="842"/>
      <c r="R36" s="842"/>
      <c r="S36" s="842"/>
      <c r="T36" s="841"/>
      <c r="U36" s="841"/>
      <c r="V36" s="841"/>
      <c r="W36" s="841"/>
      <c r="X36" s="841"/>
      <c r="Y36" s="841"/>
      <c r="AA36" s="841"/>
      <c r="AB36" s="841"/>
      <c r="AC36" s="841"/>
      <c r="AD36" s="841"/>
      <c r="AE36" s="841"/>
      <c r="AF36" s="518"/>
      <c r="AG36" s="843"/>
      <c r="AH36" s="844"/>
      <c r="AI36" s="844"/>
      <c r="AJ36" s="843"/>
      <c r="AK36" s="843"/>
      <c r="AL36" s="843"/>
      <c r="AM36" s="843"/>
      <c r="CM36" s="838"/>
    </row>
    <row r="37" spans="1:97" s="624" customFormat="1" x14ac:dyDescent="0.3">
      <c r="B37" s="841"/>
      <c r="C37" s="1675" t="s">
        <v>3235</v>
      </c>
      <c r="D37" s="1675"/>
      <c r="E37" s="1675"/>
      <c r="F37" s="1675"/>
      <c r="G37" s="1675"/>
      <c r="H37" s="1675"/>
      <c r="I37" s="1675"/>
      <c r="J37" s="1675"/>
      <c r="K37" s="1675"/>
      <c r="L37" s="1675"/>
      <c r="M37" s="1675"/>
      <c r="N37" s="1675"/>
      <c r="O37" s="842"/>
      <c r="P37" s="842"/>
      <c r="Q37" s="842"/>
      <c r="R37" s="842"/>
      <c r="S37" s="842"/>
      <c r="T37" s="841"/>
      <c r="U37" s="841"/>
      <c r="V37" s="841"/>
      <c r="W37" s="841"/>
      <c r="X37" s="841"/>
      <c r="Y37" s="841"/>
      <c r="AA37" s="841"/>
      <c r="AB37" s="841"/>
      <c r="AC37" s="841"/>
      <c r="AD37" s="841"/>
      <c r="AE37" s="841"/>
      <c r="AF37" s="518"/>
      <c r="AG37" s="843"/>
      <c r="AH37" s="844"/>
      <c r="AI37" s="844"/>
      <c r="AJ37" s="843"/>
      <c r="AK37" s="843"/>
      <c r="AL37" s="843"/>
      <c r="AM37" s="843"/>
      <c r="CM37" s="838"/>
    </row>
    <row r="38" spans="1:97" s="624" customFormat="1" x14ac:dyDescent="0.3">
      <c r="B38" s="841"/>
      <c r="C38" s="1675" t="s">
        <v>3236</v>
      </c>
      <c r="D38" s="1675"/>
      <c r="E38" s="1675"/>
      <c r="F38" s="1675"/>
      <c r="G38" s="1675"/>
      <c r="H38" s="1675"/>
      <c r="I38" s="1675"/>
      <c r="J38" s="1675"/>
      <c r="K38" s="1675"/>
      <c r="L38" s="1675"/>
      <c r="M38" s="1675"/>
      <c r="N38" s="1675"/>
      <c r="O38" s="842"/>
      <c r="P38" s="842"/>
      <c r="Q38" s="842"/>
      <c r="R38" s="842"/>
      <c r="S38" s="842"/>
      <c r="T38" s="841"/>
      <c r="U38" s="841"/>
      <c r="V38" s="841"/>
      <c r="W38" s="841"/>
      <c r="X38" s="841"/>
      <c r="Y38" s="841"/>
      <c r="AA38" s="841"/>
      <c r="AB38" s="841"/>
      <c r="AC38" s="841"/>
      <c r="AD38" s="841"/>
      <c r="AE38" s="841"/>
      <c r="AF38" s="518"/>
      <c r="AG38" s="843"/>
      <c r="AH38" s="844"/>
      <c r="AI38" s="844"/>
      <c r="AJ38" s="843"/>
      <c r="AK38" s="843"/>
      <c r="AL38" s="843"/>
      <c r="AM38" s="843"/>
      <c r="CM38" s="838"/>
    </row>
    <row r="39" spans="1:97" s="624" customFormat="1" x14ac:dyDescent="0.3">
      <c r="B39" s="841"/>
      <c r="C39" s="1670" t="s">
        <v>3237</v>
      </c>
      <c r="D39" s="1670"/>
      <c r="E39" s="1670"/>
      <c r="F39" s="1670"/>
      <c r="G39" s="1670"/>
      <c r="H39" s="1670"/>
      <c r="I39" s="1670"/>
      <c r="J39" s="1670"/>
      <c r="K39" s="1670"/>
      <c r="L39" s="1670"/>
      <c r="M39" s="1670"/>
      <c r="N39" s="1670"/>
      <c r="O39" s="1209"/>
      <c r="P39" s="1209"/>
      <c r="Q39" s="1209"/>
      <c r="R39" s="1219"/>
      <c r="S39" s="1219"/>
      <c r="T39" s="841"/>
      <c r="U39" s="841"/>
      <c r="V39" s="841"/>
      <c r="W39" s="841"/>
      <c r="X39" s="841"/>
      <c r="Y39" s="841"/>
      <c r="AA39" s="841"/>
      <c r="AB39" s="841"/>
      <c r="AC39" s="841"/>
      <c r="AD39" s="841"/>
      <c r="AE39" s="841"/>
      <c r="AF39" s="518"/>
      <c r="AG39" s="843"/>
      <c r="AH39" s="844"/>
      <c r="AI39" s="844"/>
      <c r="AJ39" s="843"/>
      <c r="AK39" s="843"/>
      <c r="AL39" s="843"/>
      <c r="AM39" s="843"/>
      <c r="CM39" s="838"/>
    </row>
    <row r="40" spans="1:97" s="624" customFormat="1" x14ac:dyDescent="0.3">
      <c r="B40" s="841"/>
      <c r="C40" s="1675" t="s">
        <v>3238</v>
      </c>
      <c r="D40" s="1675"/>
      <c r="E40" s="1675"/>
      <c r="F40" s="1675"/>
      <c r="G40" s="1675"/>
      <c r="H40" s="1675"/>
      <c r="I40" s="1675"/>
      <c r="J40" s="1675"/>
      <c r="K40" s="1675"/>
      <c r="L40" s="1675"/>
      <c r="M40" s="1675"/>
      <c r="N40" s="1675"/>
      <c r="O40" s="842"/>
      <c r="P40" s="842"/>
      <c r="Q40" s="842"/>
      <c r="R40" s="842"/>
      <c r="S40" s="842"/>
      <c r="T40" s="841"/>
      <c r="U40" s="841"/>
      <c r="V40" s="841"/>
      <c r="W40" s="841"/>
      <c r="X40" s="841"/>
      <c r="Y40" s="841"/>
      <c r="AA40" s="841"/>
      <c r="AB40" s="841"/>
      <c r="AC40" s="841"/>
      <c r="AD40" s="841"/>
      <c r="AE40" s="841"/>
      <c r="AF40" s="518"/>
      <c r="AG40" s="843"/>
      <c r="AH40" s="844"/>
      <c r="AI40" s="844"/>
      <c r="AJ40" s="843"/>
      <c r="AK40" s="843"/>
      <c r="AL40" s="843"/>
      <c r="AM40" s="843"/>
      <c r="CM40" s="838"/>
    </row>
    <row r="41" spans="1:97" s="624" customFormat="1" x14ac:dyDescent="0.3">
      <c r="B41" s="841"/>
      <c r="C41" s="1671" t="s">
        <v>3203</v>
      </c>
      <c r="D41" s="1671"/>
      <c r="E41" s="1671"/>
      <c r="F41" s="1671"/>
      <c r="G41" s="1671"/>
      <c r="H41" s="1671"/>
      <c r="I41" s="1671"/>
      <c r="J41" s="1671"/>
      <c r="K41" s="1671"/>
      <c r="L41" s="1671"/>
      <c r="M41" s="1671"/>
      <c r="N41" s="1671"/>
      <c r="O41" s="1209"/>
      <c r="P41" s="1209"/>
      <c r="Q41" s="1209"/>
      <c r="R41" s="1220"/>
      <c r="S41" s="1220"/>
      <c r="T41" s="841"/>
      <c r="U41" s="841"/>
      <c r="V41" s="841"/>
      <c r="W41" s="841"/>
      <c r="X41" s="841"/>
      <c r="Y41" s="841"/>
      <c r="AA41" s="841"/>
      <c r="AB41" s="841"/>
      <c r="AC41" s="841"/>
      <c r="AD41" s="841"/>
      <c r="AE41" s="841"/>
      <c r="AF41" s="518"/>
      <c r="AG41" s="843"/>
      <c r="AH41" s="844"/>
      <c r="AI41" s="844"/>
      <c r="AJ41" s="843"/>
      <c r="AK41" s="843"/>
      <c r="AL41" s="843"/>
      <c r="AM41" s="843"/>
      <c r="CM41" s="838"/>
    </row>
    <row r="42" spans="1:97" s="624" customFormat="1" ht="13.95" customHeight="1" x14ac:dyDescent="0.3">
      <c r="B42" s="841"/>
      <c r="C42" s="1675" t="s">
        <v>3239</v>
      </c>
      <c r="D42" s="1675"/>
      <c r="E42" s="1675"/>
      <c r="F42" s="1675"/>
      <c r="G42" s="1675"/>
      <c r="H42" s="1675"/>
      <c r="I42" s="1675"/>
      <c r="J42" s="1675"/>
      <c r="K42" s="1675"/>
      <c r="L42" s="1675"/>
      <c r="M42" s="1675"/>
      <c r="N42" s="1675"/>
      <c r="O42" s="842"/>
      <c r="P42" s="842"/>
      <c r="Q42" s="842"/>
      <c r="R42" s="842"/>
      <c r="S42" s="842"/>
      <c r="T42" s="841"/>
      <c r="U42" s="841"/>
      <c r="V42" s="841"/>
      <c r="W42" s="841"/>
      <c r="X42" s="841"/>
      <c r="Y42" s="841"/>
      <c r="AA42" s="841"/>
      <c r="AB42" s="841"/>
      <c r="AC42" s="841"/>
      <c r="AD42" s="841"/>
      <c r="AE42" s="841"/>
      <c r="AF42" s="518"/>
      <c r="AG42" s="843"/>
      <c r="AH42" s="844"/>
      <c r="AI42" s="844"/>
      <c r="AJ42" s="843"/>
      <c r="AK42" s="843"/>
      <c r="AL42" s="843"/>
      <c r="AM42" s="843"/>
      <c r="CM42" s="838"/>
    </row>
    <row r="43" spans="1:97" s="624" customFormat="1" ht="13.95" customHeight="1" x14ac:dyDescent="0.3">
      <c r="B43" s="841"/>
      <c r="C43" s="1720" t="s">
        <v>3240</v>
      </c>
      <c r="D43" s="1720"/>
      <c r="E43" s="1720"/>
      <c r="F43" s="1720"/>
      <c r="G43" s="1720"/>
      <c r="H43" s="1720"/>
      <c r="I43" s="1720"/>
      <c r="J43" s="1720"/>
      <c r="K43" s="1720"/>
      <c r="L43" s="1720"/>
      <c r="M43" s="1720"/>
      <c r="N43" s="1720"/>
      <c r="O43" s="842"/>
      <c r="P43" s="842"/>
      <c r="Q43" s="842"/>
      <c r="R43" s="842"/>
      <c r="S43" s="842"/>
      <c r="T43" s="841"/>
      <c r="U43" s="841"/>
      <c r="V43" s="841"/>
      <c r="W43" s="841"/>
      <c r="X43" s="841"/>
      <c r="Y43" s="1733" t="str">
        <f>IF(COUNTIFS(Y48:Y147,"&gt;40")&gt;0,"You have one or more resource staffed over 40 hours a week. If this was intentional, please ignore this message. If this was in error, please check your scheduled weekly hours.","")</f>
        <v/>
      </c>
      <c r="Z43" s="1733"/>
      <c r="AA43" s="1733"/>
      <c r="AB43" s="1733"/>
      <c r="AC43" s="841"/>
      <c r="AD43" s="841"/>
      <c r="AE43" s="841"/>
      <c r="AF43" s="518"/>
      <c r="AG43" s="843"/>
      <c r="AH43" s="844"/>
      <c r="AI43" s="844"/>
      <c r="AJ43" s="843"/>
      <c r="AK43" s="843"/>
      <c r="AL43" s="843"/>
      <c r="AM43" s="843"/>
      <c r="CM43" s="838"/>
    </row>
    <row r="44" spans="1:97" s="624" customFormat="1" ht="13.95" customHeight="1" x14ac:dyDescent="0.3">
      <c r="B44" s="841"/>
      <c r="C44" s="1721" t="s">
        <v>3241</v>
      </c>
      <c r="D44" s="1721"/>
      <c r="E44" s="1721"/>
      <c r="F44" s="1721"/>
      <c r="G44" s="1721"/>
      <c r="H44" s="1721"/>
      <c r="I44" s="1721"/>
      <c r="J44" s="1721"/>
      <c r="K44" s="1721"/>
      <c r="L44" s="1721"/>
      <c r="M44" s="1721"/>
      <c r="N44" s="1721"/>
      <c r="O44" s="842"/>
      <c r="P44" s="842"/>
      <c r="Q44" s="842"/>
      <c r="R44" s="842"/>
      <c r="S44" s="842"/>
      <c r="T44" s="841"/>
      <c r="U44" s="841"/>
      <c r="V44" s="841"/>
      <c r="W44" s="841"/>
      <c r="X44" s="841"/>
      <c r="Y44" s="1733"/>
      <c r="Z44" s="1733"/>
      <c r="AA44" s="1733"/>
      <c r="AB44" s="1733"/>
      <c r="AC44" s="841"/>
      <c r="AD44" s="841"/>
      <c r="AE44" s="841"/>
      <c r="AF44" s="518"/>
      <c r="AG44" s="843"/>
      <c r="AH44" s="844"/>
      <c r="AI44" s="844"/>
      <c r="AJ44" s="843"/>
      <c r="AK44" s="843"/>
      <c r="AL44" s="843"/>
      <c r="AM44" s="843"/>
      <c r="CM44" s="838"/>
    </row>
    <row r="45" spans="1:97" x14ac:dyDescent="0.25">
      <c r="Y45" s="1733"/>
      <c r="Z45" s="1733"/>
      <c r="AA45" s="1733"/>
      <c r="AB45" s="1733"/>
    </row>
    <row r="46" spans="1:97" s="624" customFormat="1" ht="13.95" customHeight="1" x14ac:dyDescent="0.3">
      <c r="B46" s="841"/>
      <c r="C46" s="1687"/>
      <c r="D46" s="1687"/>
      <c r="E46" s="1687"/>
      <c r="F46" s="1687"/>
      <c r="G46" s="1687"/>
      <c r="H46" s="1687"/>
      <c r="I46" s="1687"/>
      <c r="J46" s="841"/>
      <c r="O46" s="842"/>
      <c r="P46" s="842"/>
      <c r="Q46" s="842"/>
      <c r="R46" s="842"/>
      <c r="S46" s="842"/>
      <c r="T46" s="841"/>
      <c r="U46" s="841"/>
      <c r="V46" s="841"/>
      <c r="W46" s="841"/>
      <c r="X46" s="841"/>
      <c r="Y46" s="841"/>
      <c r="AA46" s="841"/>
      <c r="AB46" s="841"/>
      <c r="AC46" s="841"/>
      <c r="AD46" s="841"/>
      <c r="AE46" s="841"/>
      <c r="AF46" s="518"/>
      <c r="AG46" s="843"/>
      <c r="AH46" s="844"/>
      <c r="AI46" s="844"/>
      <c r="AJ46" s="843"/>
      <c r="AK46" s="843"/>
      <c r="AL46" s="843"/>
      <c r="AM46" s="843"/>
      <c r="CM46" s="838"/>
    </row>
    <row r="47" spans="1:97" s="1277" customFormat="1" ht="46.95" customHeight="1" x14ac:dyDescent="0.3">
      <c r="B47" s="1278"/>
      <c r="C47" s="1279" t="s">
        <v>1159</v>
      </c>
      <c r="D47" s="1279" t="s">
        <v>2257</v>
      </c>
      <c r="E47" s="1280"/>
      <c r="F47" s="1279" t="s">
        <v>2351</v>
      </c>
      <c r="G47" s="1280"/>
      <c r="H47" s="1280" t="s">
        <v>3420</v>
      </c>
      <c r="I47" s="1279" t="s">
        <v>3208</v>
      </c>
      <c r="J47" s="1280" t="s">
        <v>2368</v>
      </c>
      <c r="K47" s="1714" t="s">
        <v>237</v>
      </c>
      <c r="L47" s="1714"/>
      <c r="M47" s="1714"/>
      <c r="N47" s="1279" t="s">
        <v>2406</v>
      </c>
      <c r="O47" s="1714" t="s">
        <v>238</v>
      </c>
      <c r="P47" s="1714"/>
      <c r="Q47" s="1714"/>
      <c r="R47" s="1714"/>
      <c r="S47" s="1714"/>
      <c r="T47" s="1709" t="str">
        <f>IF('1. Project Inputs'!C25="Client Custom Rates","Custom Client Rate Card Title","Custom Client Rate Title Do Not Use")</f>
        <v>Custom Client Rate Title Do Not Use</v>
      </c>
      <c r="U47" s="1709"/>
      <c r="V47" s="1281" t="s">
        <v>2369</v>
      </c>
      <c r="W47" s="1281" t="s">
        <v>2314</v>
      </c>
      <c r="X47" s="1594" t="s">
        <v>2096</v>
      </c>
      <c r="Y47" s="1280" t="s">
        <v>2259</v>
      </c>
      <c r="Z47" s="1279" t="s">
        <v>2096</v>
      </c>
      <c r="AA47" s="1279" t="s">
        <v>2258</v>
      </c>
      <c r="AB47" s="1279" t="s">
        <v>64</v>
      </c>
      <c r="AC47" s="1714" t="s">
        <v>104</v>
      </c>
      <c r="AD47" s="1730"/>
      <c r="AE47" s="1282" t="s">
        <v>105</v>
      </c>
      <c r="AF47" s="1279" t="s">
        <v>106</v>
      </c>
      <c r="AH47" s="1689"/>
      <c r="AI47" s="1689"/>
      <c r="AJ47" s="1283"/>
      <c r="AK47" s="1283"/>
      <c r="AL47" s="1283"/>
      <c r="AM47" s="1283"/>
      <c r="CM47" s="1284"/>
    </row>
    <row r="48" spans="1:97" ht="14.55" customHeight="1" x14ac:dyDescent="0.25">
      <c r="C48" s="1182" t="s">
        <v>430</v>
      </c>
      <c r="D48" s="1183" t="s">
        <v>255</v>
      </c>
      <c r="E48" s="1183" t="str">
        <f>IFERROR(_xlfn.XLOOKUP(D48,TADIndia,'Rates &amp; Drop Downs INT'!$CH$6:$CH$747),"")</f>
        <v>Acquia</v>
      </c>
      <c r="F48" s="1183" t="s">
        <v>1218</v>
      </c>
      <c r="G48" s="1187" t="str">
        <f>IFERROR(_xlfn.XLOOKUP(F48,'Rates &amp; Drop Downs INT'!$CI$6:$CI$747,'Rates &amp; Drop Downs INT'!$CJ$6:$CJ$747),"")</f>
        <v>Acquia_CDP</v>
      </c>
      <c r="H48" s="1187" t="str">
        <f>_xlfn.XLOOKUP(F48,'Rates &amp; Drop Downs INT'!$DF$6:$DF$173,'Rates &amp; Drop Downs INT'!$DG$6:$DG$173,"")</f>
        <v>ACQUIACDPSP</v>
      </c>
      <c r="I48" s="1183" t="s">
        <v>1798</v>
      </c>
      <c r="J48" s="1184" t="str">
        <f>C48</f>
        <v>TADNorthAmerica</v>
      </c>
      <c r="K48" s="1682" t="s">
        <v>367</v>
      </c>
      <c r="L48" s="1683"/>
      <c r="M48" s="1684"/>
      <c r="N48" s="1190" cm="1">
        <f t="array" ref="N48">IF($E$20="Credera US",V48,SUMPRODUCT(('Rates &amp; Drop Downs INT'!$CG$6:$CG$747=$D48)*('Rates &amp; Drop Downs INT'!$CI$6:$CI$747=$F48)*('Rates &amp; Drop Downs INT'!$CK$6:$CK$747=$K48)*('Rates &amp; Drop Downs INT'!$CM$6:$CM$747)))</f>
        <v>2</v>
      </c>
      <c r="O48" s="1715" t="str" cm="1">
        <f t="array" ref="O48">IFERROR(IF(ISBLANK(C48),"",IF($E$20="Credera US",IF(C48&lt;&gt;"CrederaUS",INDEX('Rates &amp; Drop Downs INT'!$F$7:$F$431,MATCH(1,('Rates &amp; Drop Downs INT'!$B$7:$B$431='2. Roles &amp; Pricing'!C48)*('Rates &amp; Drop Downs INT'!$C$7:$C$431='2. Roles &amp; Pricing'!K48),0)),INDEX('Rates &amp; Drop Downs INT'!$F$7:$F$431,MATCH(1,('Rates &amp; Drop Downs INT'!$B$7:$B$431='2. Roles &amp; Pricing'!C48)*('Rates &amp; Drop Downs INT'!$J$7:$J$431=N48),0))),"")),"")</f>
        <v/>
      </c>
      <c r="P48" s="1715"/>
      <c r="Q48" s="1715"/>
      <c r="R48" s="1715"/>
      <c r="S48" s="1715"/>
      <c r="T48" s="1710"/>
      <c r="U48" s="1710"/>
      <c r="V48" s="1221">
        <f>IFERROR(IF(ISBLANK(K48)," ",_xlfn.XLOOKUP(K48,'Rates &amp; Drop Downs INT'!C:C,'Rates &amp; Drop Downs INT'!J:J)),N48)</f>
        <v>2</v>
      </c>
      <c r="W48" s="1202" t="str">
        <f>IF(ISBLANK($K48)," ",IF(OR($C48="Credera US",$C48="TADNorthAmerica"),"Onshore","Offshore"))</f>
        <v>Onshore</v>
      </c>
      <c r="X48" s="1202"/>
      <c r="Y48" s="890">
        <v>40</v>
      </c>
      <c r="Z48" s="1183" t="s">
        <v>295</v>
      </c>
      <c r="AA48" s="1185"/>
      <c r="AB48" s="1273"/>
      <c r="AC48" s="1731" t="s">
        <v>78</v>
      </c>
      <c r="AD48" s="1732"/>
      <c r="AE48" s="1596" t="s">
        <v>275</v>
      </c>
      <c r="AF48" s="891" t="s">
        <v>78</v>
      </c>
      <c r="AH48" s="1685"/>
      <c r="AI48" s="1685"/>
      <c r="CM48" s="425"/>
    </row>
    <row r="49" spans="3:91" ht="16.05" customHeight="1" x14ac:dyDescent="0.25">
      <c r="C49" s="1186" t="s">
        <v>269</v>
      </c>
      <c r="D49" s="1187" t="s">
        <v>255</v>
      </c>
      <c r="E49" s="1187" t="str">
        <f>IFERROR(_xlfn.XLOOKUP(D49,TADIndia,'Rates &amp; Drop Downs INT'!$CH$6:$CH$747),"")</f>
        <v>Acquia</v>
      </c>
      <c r="F49" s="1187" t="s">
        <v>1218</v>
      </c>
      <c r="G49" s="1187" t="str">
        <f>IFERROR(_xlfn.XLOOKUP(F49,'Rates &amp; Drop Downs INT'!$CI$6:$CI$747,'Rates &amp; Drop Downs INT'!$CJ$6:$CJ$747),"")</f>
        <v>Acquia_CDP</v>
      </c>
      <c r="H49" s="1187" t="str">
        <f>_xlfn.XLOOKUP(F49,'Rates &amp; Drop Downs INT'!$DF$6:$DF$173,'Rates &amp; Drop Downs INT'!$DG$6:$DG$173,"")</f>
        <v>ACQUIACDPSP</v>
      </c>
      <c r="I49" s="1187" t="s">
        <v>1798</v>
      </c>
      <c r="J49" s="1188" t="str">
        <f>C49</f>
        <v>TADIndia</v>
      </c>
      <c r="K49" s="1682" t="s">
        <v>367</v>
      </c>
      <c r="L49" s="1683"/>
      <c r="M49" s="1684"/>
      <c r="N49" s="1190" cm="1">
        <f t="array" ref="N49">IF($E$20="Credera US",V49,SUMPRODUCT(('Rates &amp; Drop Downs INT'!$CG$6:$CG$747=$D49)*('Rates &amp; Drop Downs INT'!$CI$6:$CI$747=$F49)*('Rates &amp; Drop Downs INT'!$CK$6:$CK$747=$K49)*('Rates &amp; Drop Downs INT'!$CM$6:$CM$747)))</f>
        <v>2</v>
      </c>
      <c r="O49" s="1676" t="str" cm="1">
        <f t="array" ref="O49">IFERROR(IF(ISBLANK(C49),"",IF($E$20="Credera US",IF(C49&lt;&gt;"CrederaUS",INDEX('Rates &amp; Drop Downs INT'!$F$7:$F$431,MATCH(1,('Rates &amp; Drop Downs INT'!$B$7:$B$431='2. Roles &amp; Pricing'!C49)*('Rates &amp; Drop Downs INT'!$C$7:$C$431='2. Roles &amp; Pricing'!K49),0)),INDEX('Rates &amp; Drop Downs INT'!$F$7:$F$431,MATCH(1,('Rates &amp; Drop Downs INT'!$B$7:$B$431='2. Roles &amp; Pricing'!C49)*('Rates &amp; Drop Downs INT'!$J$7:$J$431=N49),0))),"")),"")</f>
        <v/>
      </c>
      <c r="P49" s="1677"/>
      <c r="Q49" s="1677"/>
      <c r="R49" s="1677"/>
      <c r="S49" s="1678"/>
      <c r="T49" s="1711"/>
      <c r="U49" s="1712"/>
      <c r="V49" s="1222">
        <f>IFERROR(IF(ISBLANK(K49)," ",_xlfn.XLOOKUP(K49,'Rates &amp; Drop Downs INT'!C:C,'Rates &amp; Drop Downs INT'!J:J)),N49)</f>
        <v>2</v>
      </c>
      <c r="W49" s="1203" t="str">
        <f t="shared" ref="W49:W112" si="0">IF(ISBLANK($K49)," ",IF(OR($C49="Credera US",$C49="TADNorthAmerica"),"Onshore","Offshore"))</f>
        <v>Offshore</v>
      </c>
      <c r="X49" s="1203"/>
      <c r="Y49" s="880">
        <v>40</v>
      </c>
      <c r="Z49" s="1187"/>
      <c r="AA49" s="1190"/>
      <c r="AB49" s="1274"/>
      <c r="AC49" s="1690" t="s">
        <v>78</v>
      </c>
      <c r="AD49" s="1691"/>
      <c r="AE49" s="881" t="s">
        <v>78</v>
      </c>
      <c r="AF49" s="892" t="s">
        <v>78</v>
      </c>
      <c r="AH49" s="1685"/>
      <c r="AI49" s="1685"/>
      <c r="CM49" s="425"/>
    </row>
    <row r="50" spans="3:91" ht="16.05" customHeight="1" x14ac:dyDescent="0.25">
      <c r="C50" s="1186" t="s">
        <v>430</v>
      </c>
      <c r="D50" s="1187" t="s">
        <v>325</v>
      </c>
      <c r="E50" s="1187" t="str">
        <f>IFERROR(_xlfn.XLOOKUP(D50,TADIndia,'Rates &amp; Drop Downs INT'!$CH$6:$CH$747),"")</f>
        <v>Experience_Design</v>
      </c>
      <c r="F50" s="1187" t="s">
        <v>1174</v>
      </c>
      <c r="G50" s="1187" t="str">
        <f>IFERROR(_xlfn.XLOOKUP(F50,'Rates &amp; Drop Downs INT'!$CI$6:$CI$747,'Rates &amp; Drop Downs INT'!$CJ$6:$CJ$747),"")</f>
        <v>Design</v>
      </c>
      <c r="H50" s="1187" t="str">
        <f>_xlfn.XLOOKUP(F50,'Rates &amp; Drop Downs INT'!$DF$6:$DF$173,'Rates &amp; Drop Downs INT'!$DG$6:$DG$173,"")</f>
        <v>DESIGNDESIGNSP</v>
      </c>
      <c r="I50" s="1187"/>
      <c r="J50" s="1188" t="str">
        <f>C50</f>
        <v>TADNorthAmerica</v>
      </c>
      <c r="K50" s="1682" t="s">
        <v>749</v>
      </c>
      <c r="L50" s="1683"/>
      <c r="M50" s="1684"/>
      <c r="N50" s="1190" cm="1">
        <f t="array" ref="N50">IF($E$20="Credera US",V50,SUMPRODUCT(('Rates &amp; Drop Downs INT'!$CG$6:$CG$747=$D50)*('Rates &amp; Drop Downs INT'!$CI$6:$CI$747=$F50)*('Rates &amp; Drop Downs INT'!$CK$6:$CK$747=$K50)*('Rates &amp; Drop Downs INT'!$CM$6:$CM$747)))</f>
        <v>2</v>
      </c>
      <c r="O50" s="1676" t="str" cm="1">
        <f t="array" ref="O50">IFERROR(IF(ISBLANK(C50),"",IF($E$20="Credera US",IF(C50&lt;&gt;"CrederaUS",INDEX('Rates &amp; Drop Downs INT'!$F$7:$F$431,MATCH(1,('Rates &amp; Drop Downs INT'!$B$7:$B$431='2. Roles &amp; Pricing'!C50)*('Rates &amp; Drop Downs INT'!$C$7:$C$431='2. Roles &amp; Pricing'!K50),0)),INDEX('Rates &amp; Drop Downs INT'!$F$7:$F$431,MATCH(1,('Rates &amp; Drop Downs INT'!$B$7:$B$431='2. Roles &amp; Pricing'!C50)*('Rates &amp; Drop Downs INT'!$J$7:$J$431=N50),0))),"")),"")</f>
        <v/>
      </c>
      <c r="P50" s="1677"/>
      <c r="Q50" s="1677"/>
      <c r="R50" s="1677"/>
      <c r="S50" s="1678"/>
      <c r="T50" s="1711"/>
      <c r="U50" s="1712"/>
      <c r="V50" s="1222">
        <f>IFERROR(IF(ISBLANK(K50)," ",_xlfn.XLOOKUP(K50,'Rates &amp; Drop Downs INT'!C:C,'Rates &amp; Drop Downs INT'!J:J)),N50)</f>
        <v>2</v>
      </c>
      <c r="W50" s="1203" t="str">
        <f t="shared" si="0"/>
        <v>Onshore</v>
      </c>
      <c r="X50" s="1203"/>
      <c r="Y50" s="880">
        <v>40</v>
      </c>
      <c r="Z50" s="1187"/>
      <c r="AA50" s="1190"/>
      <c r="AB50" s="1274"/>
      <c r="AC50" s="1690" t="s">
        <v>78</v>
      </c>
      <c r="AD50" s="1691"/>
      <c r="AE50" s="881" t="s">
        <v>78</v>
      </c>
      <c r="AF50" s="892"/>
      <c r="AH50" s="1685"/>
      <c r="AI50" s="1685"/>
      <c r="CM50" s="425"/>
    </row>
    <row r="51" spans="3:91" ht="16.05" customHeight="1" x14ac:dyDescent="0.25">
      <c r="C51" s="1186" t="s">
        <v>269</v>
      </c>
      <c r="D51" s="1187" t="s">
        <v>325</v>
      </c>
      <c r="E51" s="1187" t="str">
        <f>IFERROR(_xlfn.XLOOKUP(D51,TADIndia,'Rates &amp; Drop Downs INT'!$CH$6:$CH$747),"")</f>
        <v>Experience_Design</v>
      </c>
      <c r="F51" s="1187" t="s">
        <v>1174</v>
      </c>
      <c r="G51" s="1187" t="str">
        <f>IFERROR(_xlfn.XLOOKUP(F51,'Rates &amp; Drop Downs INT'!$CI$6:$CI$747,'Rates &amp; Drop Downs INT'!$CJ$6:$CJ$747),"")</f>
        <v>Design</v>
      </c>
      <c r="H51" s="1187" t="str">
        <f>_xlfn.XLOOKUP(F51,'Rates &amp; Drop Downs INT'!$DF$6:$DF$173,'Rates &amp; Drop Downs INT'!$DG$6:$DG$173,"")</f>
        <v>DESIGNDESIGNSP</v>
      </c>
      <c r="I51" s="1187"/>
      <c r="J51" s="1188" t="str">
        <f t="shared" ref="J51:J112" si="1">C51</f>
        <v>TADIndia</v>
      </c>
      <c r="K51" s="1682" t="s">
        <v>749</v>
      </c>
      <c r="L51" s="1683"/>
      <c r="M51" s="1684"/>
      <c r="N51" s="1190" cm="1">
        <f t="array" ref="N51">IF($E$20="Credera US",V51,SUMPRODUCT(('Rates &amp; Drop Downs INT'!$CG$6:$CG$747=$D51)*('Rates &amp; Drop Downs INT'!$CI$6:$CI$747=$F51)*('Rates &amp; Drop Downs INT'!$CK$6:$CK$747=$K51)*('Rates &amp; Drop Downs INT'!$CM$6:$CM$747)))</f>
        <v>2</v>
      </c>
      <c r="O51" s="1676" t="str" cm="1">
        <f t="array" ref="O51">IFERROR(IF(ISBLANK(C51),"",IF($E$20="Credera US",IF(C51&lt;&gt;"CrederaUS",INDEX('Rates &amp; Drop Downs INT'!$F$7:$F$431,MATCH(1,('Rates &amp; Drop Downs INT'!$B$7:$B$431='2. Roles &amp; Pricing'!C51)*('Rates &amp; Drop Downs INT'!$C$7:$C$431='2. Roles &amp; Pricing'!K51),0)),INDEX('Rates &amp; Drop Downs INT'!$F$7:$F$431,MATCH(1,('Rates &amp; Drop Downs INT'!$B$7:$B$431='2. Roles &amp; Pricing'!C51)*('Rates &amp; Drop Downs INT'!$J$7:$J$431=N51),0))),"")),"")</f>
        <v/>
      </c>
      <c r="P51" s="1677"/>
      <c r="Q51" s="1677"/>
      <c r="R51" s="1677"/>
      <c r="S51" s="1678"/>
      <c r="T51" s="1711"/>
      <c r="U51" s="1712"/>
      <c r="V51" s="1222">
        <f>IFERROR(IF(ISBLANK(K51)," ",_xlfn.XLOOKUP(K51,'Rates &amp; Drop Downs INT'!C:C,'Rates &amp; Drop Downs INT'!J:J)),N51)</f>
        <v>2</v>
      </c>
      <c r="W51" s="1203" t="str">
        <f t="shared" si="0"/>
        <v>Offshore</v>
      </c>
      <c r="X51" s="1203"/>
      <c r="Y51" s="880">
        <v>40</v>
      </c>
      <c r="Z51" s="1187"/>
      <c r="AA51" s="1190"/>
      <c r="AB51" s="1274"/>
      <c r="AC51" s="1690" t="s">
        <v>78</v>
      </c>
      <c r="AD51" s="1691"/>
      <c r="AE51" s="881"/>
      <c r="AF51" s="892" t="s">
        <v>78</v>
      </c>
      <c r="AH51" s="1685"/>
      <c r="AI51" s="1685"/>
      <c r="CM51" s="425"/>
    </row>
    <row r="52" spans="3:91" ht="16.05" customHeight="1" x14ac:dyDescent="0.25">
      <c r="C52" s="1186" t="s">
        <v>430</v>
      </c>
      <c r="D52" s="1187" t="s">
        <v>262</v>
      </c>
      <c r="E52" s="1187" t="str">
        <f>IFERROR(_xlfn.XLOOKUP(D52,TADIndia,'Rates &amp; Drop Downs INT'!$CH$6:$CH$747),"")</f>
        <v>Adobe</v>
      </c>
      <c r="F52" s="1187" t="s">
        <v>1209</v>
      </c>
      <c r="G52" s="1187" t="str">
        <f>IFERROR(_xlfn.XLOOKUP(F52,'Rates &amp; Drop Downs INT'!$CI$6:$CI$747,'Rates &amp; Drop Downs INT'!$CJ$6:$CJ$747),"")</f>
        <v>Adobe_UI</v>
      </c>
      <c r="H52" s="1187" t="str">
        <f>_xlfn.XLOOKUP(F52,'Rates &amp; Drop Downs INT'!$DF$6:$DF$173,'Rates &amp; Drop Downs INT'!$DG$6:$DG$173,"")</f>
        <v>ADOBEUISP</v>
      </c>
      <c r="I52" s="1187"/>
      <c r="J52" s="1188" t="str">
        <f t="shared" si="1"/>
        <v>TADNorthAmerica</v>
      </c>
      <c r="K52" s="1682" t="s">
        <v>536</v>
      </c>
      <c r="L52" s="1683"/>
      <c r="M52" s="1684"/>
      <c r="N52" s="1190" cm="1">
        <f t="array" ref="N52">IF($E$20="Credera US",V52,SUMPRODUCT(('Rates &amp; Drop Downs INT'!$CG$6:$CG$747=$D52)*('Rates &amp; Drop Downs INT'!$CI$6:$CI$747=$F52)*('Rates &amp; Drop Downs INT'!$CK$6:$CK$747=$K52)*('Rates &amp; Drop Downs INT'!$CM$6:$CM$747)))</f>
        <v>3</v>
      </c>
      <c r="O52" s="1676" t="str" cm="1">
        <f t="array" ref="O52">IFERROR(IF(ISBLANK(C52),"",IF($E$20="Credera US",IF(C52&lt;&gt;"CrederaUS",INDEX('Rates &amp; Drop Downs INT'!$F$7:$F$431,MATCH(1,('Rates &amp; Drop Downs INT'!$B$7:$B$431='2. Roles &amp; Pricing'!C52)*('Rates &amp; Drop Downs INT'!$C$7:$C$431='2. Roles &amp; Pricing'!K52),0)),INDEX('Rates &amp; Drop Downs INT'!$F$7:$F$431,MATCH(1,('Rates &amp; Drop Downs INT'!$B$7:$B$431='2. Roles &amp; Pricing'!C52)*('Rates &amp; Drop Downs INT'!$J$7:$J$431=N52),0))),"")),"")</f>
        <v/>
      </c>
      <c r="P52" s="1677"/>
      <c r="Q52" s="1677"/>
      <c r="R52" s="1677"/>
      <c r="S52" s="1678"/>
      <c r="T52" s="1711"/>
      <c r="U52" s="1712"/>
      <c r="V52" s="1222">
        <f>IFERROR(IF(ISBLANK(K52)," ",_xlfn.XLOOKUP(K52,'Rates &amp; Drop Downs INT'!C:C,'Rates &amp; Drop Downs INT'!J:J)),N52)</f>
        <v>0</v>
      </c>
      <c r="W52" s="1203" t="str">
        <f t="shared" si="0"/>
        <v>Onshore</v>
      </c>
      <c r="X52" s="1203"/>
      <c r="Y52" s="880">
        <v>40</v>
      </c>
      <c r="Z52" s="1187"/>
      <c r="AA52" s="1190"/>
      <c r="AB52" s="1274"/>
      <c r="AC52" s="1690" t="s">
        <v>78</v>
      </c>
      <c r="AD52" s="1691"/>
      <c r="AE52" s="881"/>
      <c r="AF52" s="892"/>
      <c r="AH52" s="1685"/>
      <c r="AI52" s="1685"/>
      <c r="CM52" s="425"/>
    </row>
    <row r="53" spans="3:91" ht="16.05" customHeight="1" x14ac:dyDescent="0.25">
      <c r="C53" s="1186" t="s">
        <v>269</v>
      </c>
      <c r="D53" s="1187" t="s">
        <v>288</v>
      </c>
      <c r="E53" s="1187" t="str">
        <f>IFERROR(_xlfn.XLOOKUP(D53,TADIndia,'Rates &amp; Drop Downs INT'!$CH$6:$CH$747),"")</f>
        <v>MACH</v>
      </c>
      <c r="F53" s="1187" t="s">
        <v>1225</v>
      </c>
      <c r="G53" s="1187" t="str">
        <f>IFERROR(_xlfn.XLOOKUP(F53,'Rates &amp; Drop Downs INT'!$CI$6:$CI$747,'Rates &amp; Drop Downs INT'!$CJ$6:$CJ$747),"")</f>
        <v>MACH_DevOps</v>
      </c>
      <c r="H53" s="1187" t="str">
        <f>_xlfn.XLOOKUP(F53,'Rates &amp; Drop Downs INT'!$DF$6:$DF$173,'Rates &amp; Drop Downs INT'!$DG$6:$DG$173,"")</f>
        <v>MACHDEVOPSSP</v>
      </c>
      <c r="I53" s="1187"/>
      <c r="J53" s="1188" t="str">
        <f t="shared" si="1"/>
        <v>TADIndia</v>
      </c>
      <c r="K53" s="1682" t="s">
        <v>3363</v>
      </c>
      <c r="L53" s="1683"/>
      <c r="M53" s="1684"/>
      <c r="N53" s="1190" cm="1">
        <f t="array" ref="N53">IF($E$20="Credera US",V53,SUMPRODUCT(('Rates &amp; Drop Downs INT'!$CG$6:$CG$747=$D53)*('Rates &amp; Drop Downs INT'!$CI$6:$CI$747=$F53)*('Rates &amp; Drop Downs INT'!$CK$6:$CK$747=$K53)*('Rates &amp; Drop Downs INT'!$CM$6:$CM$747)))</f>
        <v>2</v>
      </c>
      <c r="O53" s="1676" t="str" cm="1">
        <f t="array" ref="O53">IFERROR(IF(ISBLANK(C53),"",IF($E$20="Credera US",IF(C53&lt;&gt;"CrederaUS",INDEX('Rates &amp; Drop Downs INT'!$F$7:$F$431,MATCH(1,('Rates &amp; Drop Downs INT'!$B$7:$B$431='2. Roles &amp; Pricing'!C53)*('Rates &amp; Drop Downs INT'!$C$7:$C$431='2. Roles &amp; Pricing'!K53),0)),INDEX('Rates &amp; Drop Downs INT'!$F$7:$F$431,MATCH(1,('Rates &amp; Drop Downs INT'!$B$7:$B$431='2. Roles &amp; Pricing'!C53)*('Rates &amp; Drop Downs INT'!$J$7:$J$431=N53),0))),"")),"")</f>
        <v/>
      </c>
      <c r="P53" s="1677"/>
      <c r="Q53" s="1677"/>
      <c r="R53" s="1677"/>
      <c r="S53" s="1678"/>
      <c r="T53" s="1711"/>
      <c r="U53" s="1712"/>
      <c r="V53" s="1222">
        <f>IFERROR(IF(ISBLANK(K53)," ",_xlfn.XLOOKUP(K53,'Rates &amp; Drop Downs INT'!C:C,'Rates &amp; Drop Downs INT'!J:J)),N53)</f>
        <v>2</v>
      </c>
      <c r="W53" s="1203" t="str">
        <f t="shared" si="0"/>
        <v>Offshore</v>
      </c>
      <c r="X53" s="1203"/>
      <c r="Y53" s="880">
        <v>32</v>
      </c>
      <c r="Z53" s="1187"/>
      <c r="AA53" s="1190"/>
      <c r="AB53" s="1274"/>
      <c r="AC53" s="1690"/>
      <c r="AD53" s="1691"/>
      <c r="AE53" s="881"/>
      <c r="AF53" s="892"/>
      <c r="AH53" s="1685"/>
      <c r="AI53" s="1685"/>
      <c r="CM53" s="425"/>
    </row>
    <row r="54" spans="3:91" ht="16.05" customHeight="1" x14ac:dyDescent="0.25">
      <c r="C54" s="1186"/>
      <c r="D54" s="1187"/>
      <c r="E54" s="1187" t="str">
        <f>IFERROR(_xlfn.XLOOKUP(D54,TADIndia,'Rates &amp; Drop Downs INT'!$CH$6:$CH$747),"")</f>
        <v/>
      </c>
      <c r="F54" s="1187"/>
      <c r="G54" s="1187" t="str">
        <f>IFERROR(_xlfn.XLOOKUP(F54,'Rates &amp; Drop Downs INT'!$CI$6:$CI$747,'Rates &amp; Drop Downs INT'!$CJ$6:$CJ$747),"")</f>
        <v/>
      </c>
      <c r="H54" s="1187" t="str">
        <f>_xlfn.XLOOKUP(F54,'Rates &amp; Drop Downs INT'!$DF$6:$DF$173,'Rates &amp; Drop Downs INT'!$DG$6:$DG$173,"")</f>
        <v/>
      </c>
      <c r="I54" s="1187"/>
      <c r="J54" s="1188"/>
      <c r="K54" s="1682"/>
      <c r="L54" s="1683"/>
      <c r="M54" s="1684"/>
      <c r="N54" s="1190" cm="1">
        <f t="array" ref="N54">IF($E$20="Credera US",V54,SUMPRODUCT(('Rates &amp; Drop Downs INT'!$CG$6:$CG$747=$D54)*('Rates &amp; Drop Downs INT'!$CI$6:$CI$747=$F54)*('Rates &amp; Drop Downs INT'!$CK$6:$CK$747=$K54)*('Rates &amp; Drop Downs INT'!$CM$6:$CM$747)))</f>
        <v>0</v>
      </c>
      <c r="O54" s="1676" t="str" cm="1">
        <f t="array" ref="O54">IFERROR(IF(ISBLANK(C54),"",IF($E$20="Credera US",IF(C54&lt;&gt;"CrederaUS",INDEX('Rates &amp; Drop Downs INT'!$F$7:$F$431,MATCH(1,('Rates &amp; Drop Downs INT'!$B$7:$B$431='2. Roles &amp; Pricing'!C54)*('Rates &amp; Drop Downs INT'!$C$7:$C$431='2. Roles &amp; Pricing'!K54),0)),INDEX('Rates &amp; Drop Downs INT'!$F$7:$F$431,MATCH(1,('Rates &amp; Drop Downs INT'!$B$7:$B$431='2. Roles &amp; Pricing'!C54)*('Rates &amp; Drop Downs INT'!$J$7:$J$431=N54),0))),"")),"")</f>
        <v/>
      </c>
      <c r="P54" s="1677"/>
      <c r="Q54" s="1677"/>
      <c r="R54" s="1677"/>
      <c r="S54" s="1678"/>
      <c r="T54" s="1711"/>
      <c r="U54" s="1712"/>
      <c r="V54" s="1222" t="str">
        <f>IFERROR(IF(ISBLANK(K54)," ",_xlfn.XLOOKUP(K54,'Rates &amp; Drop Downs INT'!C:C,'Rates &amp; Drop Downs INT'!J:J)),N54)</f>
        <v xml:space="preserve"> </v>
      </c>
      <c r="W54" s="1203" t="str">
        <f t="shared" si="0"/>
        <v xml:space="preserve"> </v>
      </c>
      <c r="X54" s="1203"/>
      <c r="Y54" s="880">
        <v>10</v>
      </c>
      <c r="Z54" s="1187"/>
      <c r="AA54" s="1190"/>
      <c r="AB54" s="1274"/>
      <c r="AC54" s="1690"/>
      <c r="AD54" s="1691"/>
      <c r="AE54" s="881"/>
      <c r="AF54" s="892"/>
      <c r="AH54" s="1685"/>
      <c r="AI54" s="1685"/>
      <c r="CM54" s="425"/>
    </row>
    <row r="55" spans="3:91" ht="16.05" customHeight="1" x14ac:dyDescent="0.25">
      <c r="C55" s="1186"/>
      <c r="D55" s="1187"/>
      <c r="E55" s="1187" t="str">
        <f>IFERROR(_xlfn.XLOOKUP(D55,TADIndia,'Rates &amp; Drop Downs INT'!$CH$6:$CH$747),"")</f>
        <v/>
      </c>
      <c r="F55" s="1187"/>
      <c r="G55" s="1187" t="str">
        <f>IFERROR(_xlfn.XLOOKUP(F55,'Rates &amp; Drop Downs INT'!$CI$6:$CI$747,'Rates &amp; Drop Downs INT'!$CJ$6:$CJ$747),"")</f>
        <v/>
      </c>
      <c r="H55" s="1187" t="str">
        <f>_xlfn.XLOOKUP(F55,'Rates &amp; Drop Downs INT'!$DF$6:$DF$173,'Rates &amp; Drop Downs INT'!$DG$6:$DG$173,"")</f>
        <v/>
      </c>
      <c r="I55" s="1187"/>
      <c r="J55" s="1188">
        <f t="shared" si="1"/>
        <v>0</v>
      </c>
      <c r="K55" s="1682"/>
      <c r="L55" s="1683"/>
      <c r="M55" s="1684"/>
      <c r="N55" s="1190" cm="1">
        <f t="array" ref="N55">IF($E$20="Credera US",V55,SUMPRODUCT(('Rates &amp; Drop Downs INT'!$CG$6:$CG$747=$D55)*('Rates &amp; Drop Downs INT'!$CI$6:$CI$747=$F55)*('Rates &amp; Drop Downs INT'!$CK$6:$CK$747=$K55)*('Rates &amp; Drop Downs INT'!$CM$6:$CM$747)))</f>
        <v>0</v>
      </c>
      <c r="O55" s="1676" t="str" cm="1">
        <f t="array" ref="O55">IFERROR(IF(ISBLANK(C55),"",IF($E$20="Credera US",IF(C55&lt;&gt;"CrederaUS",INDEX('Rates &amp; Drop Downs INT'!$F$7:$F$431,MATCH(1,('Rates &amp; Drop Downs INT'!$B$7:$B$431='2. Roles &amp; Pricing'!C55)*('Rates &amp; Drop Downs INT'!$C$7:$C$431='2. Roles &amp; Pricing'!K55),0)),INDEX('Rates &amp; Drop Downs INT'!$F$7:$F$431,MATCH(1,('Rates &amp; Drop Downs INT'!$B$7:$B$431='2. Roles &amp; Pricing'!C55)*('Rates &amp; Drop Downs INT'!$J$7:$J$431=N55),0))),"")),"")</f>
        <v/>
      </c>
      <c r="P55" s="1677"/>
      <c r="Q55" s="1677"/>
      <c r="R55" s="1677"/>
      <c r="S55" s="1678"/>
      <c r="T55" s="1711"/>
      <c r="U55" s="1712"/>
      <c r="V55" s="1222" t="str">
        <f>IFERROR(IF(ISBLANK(K55)," ",_xlfn.XLOOKUP(K55,'Rates &amp; Drop Downs INT'!C:C,'Rates &amp; Drop Downs INT'!J:J)),N55)</f>
        <v xml:space="preserve"> </v>
      </c>
      <c r="W55" s="1203" t="str">
        <f t="shared" si="0"/>
        <v xml:space="preserve"> </v>
      </c>
      <c r="X55" s="1203"/>
      <c r="Y55" s="880" t="s">
        <v>2271</v>
      </c>
      <c r="Z55" s="1187"/>
      <c r="AA55" s="1190"/>
      <c r="AB55" s="1274"/>
      <c r="AC55" s="1690"/>
      <c r="AD55" s="1691"/>
      <c r="AE55" s="881"/>
      <c r="AF55" s="892"/>
      <c r="AH55" s="1685"/>
      <c r="AI55" s="1685"/>
      <c r="CM55" s="425"/>
    </row>
    <row r="56" spans="3:91" ht="16.05" customHeight="1" x14ac:dyDescent="0.25">
      <c r="C56" s="1186"/>
      <c r="D56" s="1187"/>
      <c r="E56" s="1187" t="str">
        <f>IFERROR(_xlfn.XLOOKUP(D56,TADIndia,'Rates &amp; Drop Downs INT'!$CH$6:$CH$747),"")</f>
        <v/>
      </c>
      <c r="F56" s="1187"/>
      <c r="G56" s="1187" t="str">
        <f>IFERROR(_xlfn.XLOOKUP(F56,'Rates &amp; Drop Downs INT'!$CI$6:$CI$747,'Rates &amp; Drop Downs INT'!$CJ$6:$CJ$747),"")</f>
        <v/>
      </c>
      <c r="H56" s="1187" t="str">
        <f>_xlfn.XLOOKUP(F56,'Rates &amp; Drop Downs INT'!$DF$6:$DF$173,'Rates &amp; Drop Downs INT'!$DG$6:$DG$173,"")</f>
        <v/>
      </c>
      <c r="I56" s="1187"/>
      <c r="J56" s="1188">
        <f t="shared" si="1"/>
        <v>0</v>
      </c>
      <c r="K56" s="1682"/>
      <c r="L56" s="1683"/>
      <c r="M56" s="1684"/>
      <c r="N56" s="1190" cm="1">
        <f t="array" ref="N56">IF($E$20="Credera US",V56,SUMPRODUCT(('Rates &amp; Drop Downs INT'!$CG$6:$CG$747=$D56)*('Rates &amp; Drop Downs INT'!$CI$6:$CI$747=$F56)*('Rates &amp; Drop Downs INT'!$CK$6:$CK$747=$K56)*('Rates &amp; Drop Downs INT'!$CM$6:$CM$747)))</f>
        <v>0</v>
      </c>
      <c r="O56" s="1676" t="str" cm="1">
        <f t="array" ref="O56">IFERROR(IF(ISBLANK(C56),"",IF($E$20="Credera US",IF(C56&lt;&gt;"CrederaUS",INDEX('Rates &amp; Drop Downs INT'!$F$7:$F$431,MATCH(1,('Rates &amp; Drop Downs INT'!$B$7:$B$431='2. Roles &amp; Pricing'!C56)*('Rates &amp; Drop Downs INT'!$C$7:$C$431='2. Roles &amp; Pricing'!K56),0)),INDEX('Rates &amp; Drop Downs INT'!$F$7:$F$431,MATCH(1,('Rates &amp; Drop Downs INT'!$B$7:$B$431='2. Roles &amp; Pricing'!C56)*('Rates &amp; Drop Downs INT'!$J$7:$J$431=N56),0))),"")),"")</f>
        <v/>
      </c>
      <c r="P56" s="1677"/>
      <c r="Q56" s="1677"/>
      <c r="R56" s="1677"/>
      <c r="S56" s="1678"/>
      <c r="T56" s="1711"/>
      <c r="U56" s="1712"/>
      <c r="V56" s="1222" t="str">
        <f>IFERROR(IF(ISBLANK(K56)," ",_xlfn.XLOOKUP(K56,'Rates &amp; Drop Downs INT'!C:C,'Rates &amp; Drop Downs INT'!J:J)),N56)</f>
        <v xml:space="preserve"> </v>
      </c>
      <c r="W56" s="1203" t="str">
        <f t="shared" si="0"/>
        <v xml:space="preserve"> </v>
      </c>
      <c r="X56" s="1203"/>
      <c r="Y56" s="880" t="s">
        <v>2271</v>
      </c>
      <c r="Z56" s="1187"/>
      <c r="AA56" s="1190"/>
      <c r="AB56" s="1274"/>
      <c r="AC56" s="1690"/>
      <c r="AD56" s="1691"/>
      <c r="AE56" s="881"/>
      <c r="AF56" s="892"/>
      <c r="AH56" s="1685"/>
      <c r="AI56" s="1685"/>
      <c r="CM56" s="425"/>
    </row>
    <row r="57" spans="3:91" ht="16.05" hidden="1" customHeight="1" x14ac:dyDescent="0.25">
      <c r="C57" s="1186"/>
      <c r="D57" s="1187"/>
      <c r="E57" s="1187" t="str">
        <f>IFERROR(_xlfn.XLOOKUP(D57,TADIndia,'Rates &amp; Drop Downs INT'!$CH$6:$CH$747),"")</f>
        <v/>
      </c>
      <c r="F57" s="1187"/>
      <c r="G57" s="1187" t="str">
        <f>IFERROR(_xlfn.XLOOKUP(F57,'Rates &amp; Drop Downs INT'!$CI$6:$CI$747,'Rates &amp; Drop Downs INT'!$CJ$6:$CJ$747),"")</f>
        <v/>
      </c>
      <c r="H57" s="1187" t="str">
        <f>_xlfn.XLOOKUP(F57,'Rates &amp; Drop Downs INT'!$DF$6:$DF$173,'Rates &amp; Drop Downs INT'!$DG$6:$DG$173,"")</f>
        <v/>
      </c>
      <c r="I57" s="1187"/>
      <c r="J57" s="1188">
        <f t="shared" si="1"/>
        <v>0</v>
      </c>
      <c r="K57" s="1682"/>
      <c r="L57" s="1683"/>
      <c r="M57" s="1684"/>
      <c r="N57" s="1190" cm="1">
        <f t="array" ref="N57">IF($E$20="Credera US",V57,SUMPRODUCT(('Rates &amp; Drop Downs INT'!$CG$6:$CG$747=$D57)*('Rates &amp; Drop Downs INT'!$CI$6:$CI$747=$F57)*('Rates &amp; Drop Downs INT'!$CK$6:$CK$747=$K57)*('Rates &amp; Drop Downs INT'!$CM$6:$CM$747)))</f>
        <v>0</v>
      </c>
      <c r="O57" s="1676" t="str" cm="1">
        <f t="array" ref="O57">IFERROR(IF(ISBLANK(C57),"",IF($E$20="Credera US",IF(C57&lt;&gt;"CrederaUS",INDEX('Rates &amp; Drop Downs INT'!$F$7:$F$431,MATCH(1,('Rates &amp; Drop Downs INT'!$B$7:$B$431='2. Roles &amp; Pricing'!C57)*('Rates &amp; Drop Downs INT'!$C$7:$C$431='2. Roles &amp; Pricing'!K57),0)),INDEX('Rates &amp; Drop Downs INT'!$F$7:$F$431,MATCH(1,('Rates &amp; Drop Downs INT'!$B$7:$B$431='2. Roles &amp; Pricing'!C57)*('Rates &amp; Drop Downs INT'!$J$7:$J$431=N57),0))),"")),"")</f>
        <v/>
      </c>
      <c r="P57" s="1677"/>
      <c r="Q57" s="1677"/>
      <c r="R57" s="1677"/>
      <c r="S57" s="1678"/>
      <c r="T57" s="1711"/>
      <c r="U57" s="1712"/>
      <c r="V57" s="1222" t="str">
        <f>IFERROR(IF(ISBLANK(K57)," ",_xlfn.XLOOKUP(K57,'Rates &amp; Drop Downs INT'!C:C,'Rates &amp; Drop Downs INT'!J:J)),N57)</f>
        <v xml:space="preserve"> </v>
      </c>
      <c r="W57" s="1203" t="str">
        <f t="shared" si="0"/>
        <v xml:space="preserve"> </v>
      </c>
      <c r="X57" s="1203"/>
      <c r="Y57" s="880" t="s">
        <v>2271</v>
      </c>
      <c r="Z57" s="1187"/>
      <c r="AA57" s="1190"/>
      <c r="AB57" s="1274"/>
      <c r="AC57" s="1690"/>
      <c r="AD57" s="1691"/>
      <c r="AE57" s="881"/>
      <c r="AF57" s="892"/>
      <c r="AH57" s="1685"/>
      <c r="AI57" s="1685"/>
      <c r="CM57" s="425"/>
    </row>
    <row r="58" spans="3:91" ht="16.05" hidden="1" customHeight="1" x14ac:dyDescent="0.25">
      <c r="C58" s="1186"/>
      <c r="D58" s="1187"/>
      <c r="E58" s="1187" t="str">
        <f>IFERROR(_xlfn.XLOOKUP(D58,TADIndia,'Rates &amp; Drop Downs INT'!$CH$6:$CH$747),"")</f>
        <v/>
      </c>
      <c r="F58" s="1187"/>
      <c r="G58" s="1187" t="str">
        <f>IFERROR(_xlfn.XLOOKUP(F58,'Rates &amp; Drop Downs INT'!$CI$6:$CI$747,'Rates &amp; Drop Downs INT'!$CJ$6:$CJ$747),"")</f>
        <v/>
      </c>
      <c r="H58" s="1187" t="str">
        <f>_xlfn.XLOOKUP(F58,'Rates &amp; Drop Downs INT'!$DF$6:$DF$173,'Rates &amp; Drop Downs INT'!$DG$6:$DG$173,"")</f>
        <v/>
      </c>
      <c r="I58" s="1187"/>
      <c r="J58" s="1188">
        <f t="shared" si="1"/>
        <v>0</v>
      </c>
      <c r="K58" s="1682"/>
      <c r="L58" s="1683"/>
      <c r="M58" s="1684"/>
      <c r="N58" s="1190" cm="1">
        <f t="array" ref="N58">IF($E$20="Credera US",V58,SUMPRODUCT(('Rates &amp; Drop Downs INT'!$CG$6:$CG$747=$D58)*('Rates &amp; Drop Downs INT'!$CI$6:$CI$747=$F58)*('Rates &amp; Drop Downs INT'!$CK$6:$CK$747=$K58)*('Rates &amp; Drop Downs INT'!$CM$6:$CM$747)))</f>
        <v>0</v>
      </c>
      <c r="O58" s="1676" t="str" cm="1">
        <f t="array" ref="O58">IFERROR(IF(ISBLANK(C58),"",IF($E$20="Credera US",IF(C58&lt;&gt;"CrederaUS",INDEX('Rates &amp; Drop Downs INT'!$F$7:$F$431,MATCH(1,('Rates &amp; Drop Downs INT'!$B$7:$B$431='2. Roles &amp; Pricing'!C58)*('Rates &amp; Drop Downs INT'!$C$7:$C$431='2. Roles &amp; Pricing'!K58),0)),INDEX('Rates &amp; Drop Downs INT'!$F$7:$F$431,MATCH(1,('Rates &amp; Drop Downs INT'!$B$7:$B$431='2. Roles &amp; Pricing'!C58)*('Rates &amp; Drop Downs INT'!$J$7:$J$431=N58),0))),"")),"")</f>
        <v/>
      </c>
      <c r="P58" s="1677"/>
      <c r="Q58" s="1677"/>
      <c r="R58" s="1677"/>
      <c r="S58" s="1678"/>
      <c r="T58" s="1711"/>
      <c r="U58" s="1712"/>
      <c r="V58" s="1222" t="str">
        <f>IFERROR(IF(ISBLANK(K58)," ",_xlfn.XLOOKUP(K58,'Rates &amp; Drop Downs INT'!C:C,'Rates &amp; Drop Downs INT'!J:J)),N58)</f>
        <v xml:space="preserve"> </v>
      </c>
      <c r="W58" s="1203" t="str">
        <f t="shared" si="0"/>
        <v xml:space="preserve"> </v>
      </c>
      <c r="X58" s="1203"/>
      <c r="Y58" s="880" t="s">
        <v>2271</v>
      </c>
      <c r="Z58" s="1187"/>
      <c r="AA58" s="1190"/>
      <c r="AB58" s="1274"/>
      <c r="AC58" s="1690"/>
      <c r="AD58" s="1691"/>
      <c r="AE58" s="881"/>
      <c r="AF58" s="892"/>
      <c r="AH58" s="1685"/>
      <c r="AI58" s="1685"/>
      <c r="CM58" s="425"/>
    </row>
    <row r="59" spans="3:91" ht="16.05" hidden="1" customHeight="1" x14ac:dyDescent="0.25">
      <c r="C59" s="1186"/>
      <c r="D59" s="1187"/>
      <c r="E59" s="1187" t="str">
        <f>IFERROR(_xlfn.XLOOKUP(D59,TADIndia,'Rates &amp; Drop Downs INT'!$CH$6:$CH$747),"")</f>
        <v/>
      </c>
      <c r="F59" s="1187"/>
      <c r="G59" s="1187" t="str">
        <f>IFERROR(_xlfn.XLOOKUP(F59,'Rates &amp; Drop Downs INT'!$CI$6:$CI$747,'Rates &amp; Drop Downs INT'!$CJ$6:$CJ$747),"")</f>
        <v/>
      </c>
      <c r="H59" s="1187" t="str">
        <f>_xlfn.XLOOKUP(F59,'Rates &amp; Drop Downs INT'!$DF$6:$DF$173,'Rates &amp; Drop Downs INT'!$DG$6:$DG$173,"")</f>
        <v/>
      </c>
      <c r="I59" s="1187"/>
      <c r="J59" s="1188">
        <f t="shared" si="1"/>
        <v>0</v>
      </c>
      <c r="K59" s="1682"/>
      <c r="L59" s="1683"/>
      <c r="M59" s="1684"/>
      <c r="N59" s="1190" cm="1">
        <f t="array" ref="N59">IF($E$20="Credera US",V59,SUMPRODUCT(('Rates &amp; Drop Downs INT'!$CG$6:$CG$747=$D59)*('Rates &amp; Drop Downs INT'!$CI$6:$CI$747=$F59)*('Rates &amp; Drop Downs INT'!$CK$6:$CK$747=$K59)*('Rates &amp; Drop Downs INT'!$CM$6:$CM$747)))</f>
        <v>0</v>
      </c>
      <c r="O59" s="1676" t="str" cm="1">
        <f t="array" ref="O59">IFERROR(IF(ISBLANK(C59),"",IF($E$20="Credera US",IF(C59&lt;&gt;"CrederaUS",INDEX('Rates &amp; Drop Downs INT'!$F$7:$F$431,MATCH(1,('Rates &amp; Drop Downs INT'!$B$7:$B$431='2. Roles &amp; Pricing'!C59)*('Rates &amp; Drop Downs INT'!$C$7:$C$431='2. Roles &amp; Pricing'!K59),0)),INDEX('Rates &amp; Drop Downs INT'!$F$7:$F$431,MATCH(1,('Rates &amp; Drop Downs INT'!$B$7:$B$431='2. Roles &amp; Pricing'!C59)*('Rates &amp; Drop Downs INT'!$J$7:$J$431=N59),0))),"")),"")</f>
        <v/>
      </c>
      <c r="P59" s="1677"/>
      <c r="Q59" s="1677"/>
      <c r="R59" s="1677"/>
      <c r="S59" s="1678"/>
      <c r="T59" s="1711"/>
      <c r="U59" s="1712"/>
      <c r="V59" s="1222" t="str">
        <f>IFERROR(IF(ISBLANK(K59)," ",_xlfn.XLOOKUP(K59,'Rates &amp; Drop Downs INT'!C:C,'Rates &amp; Drop Downs INT'!J:J)),N59)</f>
        <v xml:space="preserve"> </v>
      </c>
      <c r="W59" s="1203" t="str">
        <f t="shared" si="0"/>
        <v xml:space="preserve"> </v>
      </c>
      <c r="X59" s="1203"/>
      <c r="Y59" s="880" t="s">
        <v>2271</v>
      </c>
      <c r="Z59" s="1187"/>
      <c r="AA59" s="1190"/>
      <c r="AB59" s="1274"/>
      <c r="AC59" s="1690"/>
      <c r="AD59" s="1691"/>
      <c r="AE59" s="881"/>
      <c r="AF59" s="892"/>
      <c r="AH59" s="1685"/>
      <c r="AI59" s="1685"/>
      <c r="CM59" s="425"/>
    </row>
    <row r="60" spans="3:91" ht="16.05" hidden="1" customHeight="1" x14ac:dyDescent="0.25">
      <c r="C60" s="1186"/>
      <c r="D60" s="1187"/>
      <c r="E60" s="1187" t="str">
        <f>IFERROR(_xlfn.XLOOKUP(D60,TADIndia,'Rates &amp; Drop Downs INT'!$CH$6:$CH$747),"")</f>
        <v/>
      </c>
      <c r="F60" s="1187"/>
      <c r="G60" s="1187" t="str">
        <f>IFERROR(_xlfn.XLOOKUP(F60,'Rates &amp; Drop Downs INT'!$CI$6:$CI$747,'Rates &amp; Drop Downs INT'!$CJ$6:$CJ$747),"")</f>
        <v/>
      </c>
      <c r="H60" s="1187" t="str">
        <f>_xlfn.XLOOKUP(F60,'Rates &amp; Drop Downs INT'!$DF$6:$DF$173,'Rates &amp; Drop Downs INT'!$DG$6:$DG$173,"")</f>
        <v/>
      </c>
      <c r="I60" s="1187"/>
      <c r="J60" s="1188">
        <f t="shared" si="1"/>
        <v>0</v>
      </c>
      <c r="K60" s="1682"/>
      <c r="L60" s="1683"/>
      <c r="M60" s="1684"/>
      <c r="N60" s="1190" cm="1">
        <f t="array" ref="N60">IF($E$20="Credera US",V60,SUMPRODUCT(('Rates &amp; Drop Downs INT'!$CG$6:$CG$747=$D60)*('Rates &amp; Drop Downs INT'!$CI$6:$CI$747=$F60)*('Rates &amp; Drop Downs INT'!$CK$6:$CK$747=$K60)*('Rates &amp; Drop Downs INT'!$CM$6:$CM$747)))</f>
        <v>0</v>
      </c>
      <c r="O60" s="1676" t="str" cm="1">
        <f t="array" ref="O60">IFERROR(IF(ISBLANK(C60),"",IF($E$20="Credera US",IF(C60&lt;&gt;"CrederaUS",INDEX('Rates &amp; Drop Downs INT'!$F$7:$F$431,MATCH(1,('Rates &amp; Drop Downs INT'!$B$7:$B$431='2. Roles &amp; Pricing'!C60)*('Rates &amp; Drop Downs INT'!$C$7:$C$431='2. Roles &amp; Pricing'!K60),0)),INDEX('Rates &amp; Drop Downs INT'!$F$7:$F$431,MATCH(1,('Rates &amp; Drop Downs INT'!$B$7:$B$431='2. Roles &amp; Pricing'!C60)*('Rates &amp; Drop Downs INT'!$J$7:$J$431=N60),0))),"")),"")</f>
        <v/>
      </c>
      <c r="P60" s="1677"/>
      <c r="Q60" s="1677"/>
      <c r="R60" s="1677"/>
      <c r="S60" s="1678"/>
      <c r="T60" s="1711"/>
      <c r="U60" s="1712"/>
      <c r="V60" s="1222" t="str">
        <f>IFERROR(IF(ISBLANK(K60)," ",_xlfn.XLOOKUP(K60,'Rates &amp; Drop Downs INT'!C:C,'Rates &amp; Drop Downs INT'!J:J)),N60)</f>
        <v xml:space="preserve"> </v>
      </c>
      <c r="W60" s="1203" t="str">
        <f t="shared" si="0"/>
        <v xml:space="preserve"> </v>
      </c>
      <c r="X60" s="1203"/>
      <c r="Y60" s="880" t="s">
        <v>2271</v>
      </c>
      <c r="Z60" s="1187"/>
      <c r="AA60" s="1190"/>
      <c r="AB60" s="1274"/>
      <c r="AC60" s="1690"/>
      <c r="AD60" s="1691"/>
      <c r="AE60" s="881"/>
      <c r="AF60" s="892"/>
      <c r="AH60" s="1685"/>
      <c r="AI60" s="1685"/>
      <c r="CM60" s="425"/>
    </row>
    <row r="61" spans="3:91" ht="16.05" hidden="1" customHeight="1" x14ac:dyDescent="0.25">
      <c r="C61" s="1186"/>
      <c r="D61" s="1187"/>
      <c r="E61" s="1187" t="str">
        <f>IFERROR(_xlfn.XLOOKUP(D61,TADIndia,'Rates &amp; Drop Downs INT'!$CH$6:$CH$747),"")</f>
        <v/>
      </c>
      <c r="F61" s="1187"/>
      <c r="G61" s="1187" t="str">
        <f>IFERROR(_xlfn.XLOOKUP(F61,'Rates &amp; Drop Downs INT'!$CI$6:$CI$747,'Rates &amp; Drop Downs INT'!$CJ$6:$CJ$747),"")</f>
        <v/>
      </c>
      <c r="H61" s="1187" t="str">
        <f>_xlfn.XLOOKUP(F61,'Rates &amp; Drop Downs INT'!$DF$6:$DF$173,'Rates &amp; Drop Downs INT'!$DG$6:$DG$173,"")</f>
        <v/>
      </c>
      <c r="I61" s="1187"/>
      <c r="J61" s="1188">
        <f t="shared" si="1"/>
        <v>0</v>
      </c>
      <c r="K61" s="1682"/>
      <c r="L61" s="1683"/>
      <c r="M61" s="1684"/>
      <c r="N61" s="1190" cm="1">
        <f t="array" ref="N61">IF($E$20="Credera US",V61,SUMPRODUCT(('Rates &amp; Drop Downs INT'!$CG$6:$CG$747=$D61)*('Rates &amp; Drop Downs INT'!$CI$6:$CI$747=$F61)*('Rates &amp; Drop Downs INT'!$CK$6:$CK$747=$K61)*('Rates &amp; Drop Downs INT'!$CM$6:$CM$747)))</f>
        <v>0</v>
      </c>
      <c r="O61" s="1676" t="str" cm="1">
        <f t="array" ref="O61">IFERROR(IF(ISBLANK(C61),"",IF($E$20="Credera US",IF(C61&lt;&gt;"CrederaUS",INDEX('Rates &amp; Drop Downs INT'!$F$7:$F$431,MATCH(1,('Rates &amp; Drop Downs INT'!$B$7:$B$431='2. Roles &amp; Pricing'!C61)*('Rates &amp; Drop Downs INT'!$C$7:$C$431='2. Roles &amp; Pricing'!K61),0)),INDEX('Rates &amp; Drop Downs INT'!$F$7:$F$431,MATCH(1,('Rates &amp; Drop Downs INT'!$B$7:$B$431='2. Roles &amp; Pricing'!C61)*('Rates &amp; Drop Downs INT'!$J$7:$J$431=N61),0))),"")),"")</f>
        <v/>
      </c>
      <c r="P61" s="1677"/>
      <c r="Q61" s="1677"/>
      <c r="R61" s="1677"/>
      <c r="S61" s="1678"/>
      <c r="T61" s="1711"/>
      <c r="U61" s="1712"/>
      <c r="V61" s="1222" t="str">
        <f>IFERROR(IF(ISBLANK(K61)," ",_xlfn.XLOOKUP(K61,'Rates &amp; Drop Downs INT'!C:C,'Rates &amp; Drop Downs INT'!J:J)),N61)</f>
        <v xml:space="preserve"> </v>
      </c>
      <c r="W61" s="1203" t="str">
        <f t="shared" si="0"/>
        <v xml:space="preserve"> </v>
      </c>
      <c r="X61" s="1203"/>
      <c r="Y61" s="880" t="s">
        <v>2271</v>
      </c>
      <c r="Z61" s="1187"/>
      <c r="AA61" s="1190"/>
      <c r="AB61" s="1274"/>
      <c r="AC61" s="1690"/>
      <c r="AD61" s="1691"/>
      <c r="AE61" s="881"/>
      <c r="AF61" s="892"/>
      <c r="AH61" s="1685"/>
      <c r="AI61" s="1685"/>
      <c r="CM61" s="425"/>
    </row>
    <row r="62" spans="3:91" ht="16.05" hidden="1" customHeight="1" x14ac:dyDescent="0.25">
      <c r="C62" s="1186"/>
      <c r="D62" s="1187"/>
      <c r="E62" s="1187" t="str">
        <f>IFERROR(_xlfn.XLOOKUP(D62,TADIndia,'Rates &amp; Drop Downs INT'!$CH$6:$CH$747),"")</f>
        <v/>
      </c>
      <c r="F62" s="1187"/>
      <c r="G62" s="1187" t="str">
        <f>IFERROR(_xlfn.XLOOKUP(F62,'Rates &amp; Drop Downs INT'!$CI$6:$CI$747,'Rates &amp; Drop Downs INT'!$CJ$6:$CJ$747),"")</f>
        <v/>
      </c>
      <c r="H62" s="1187" t="str">
        <f>_xlfn.XLOOKUP(F62,'Rates &amp; Drop Downs INT'!$DF$6:$DF$173,'Rates &amp; Drop Downs INT'!$DG$6:$DG$173,"")</f>
        <v/>
      </c>
      <c r="I62" s="1187"/>
      <c r="J62" s="1188">
        <f t="shared" si="1"/>
        <v>0</v>
      </c>
      <c r="K62" s="1682"/>
      <c r="L62" s="1683"/>
      <c r="M62" s="1684"/>
      <c r="N62" s="1190" cm="1">
        <f t="array" ref="N62">IF($E$20="Credera US",V62,SUMPRODUCT(('Rates &amp; Drop Downs INT'!$CG$6:$CG$747=$D62)*('Rates &amp; Drop Downs INT'!$CI$6:$CI$747=$F62)*('Rates &amp; Drop Downs INT'!$CK$6:$CK$747=$K62)*('Rates &amp; Drop Downs INT'!$CM$6:$CM$747)))</f>
        <v>0</v>
      </c>
      <c r="O62" s="1676" t="str" cm="1">
        <f t="array" ref="O62">IFERROR(IF(ISBLANK(C62),"",IF($E$20="Credera US",IF(C62&lt;&gt;"CrederaUS",INDEX('Rates &amp; Drop Downs INT'!$F$7:$F$431,MATCH(1,('Rates &amp; Drop Downs INT'!$B$7:$B$431='2. Roles &amp; Pricing'!C62)*('Rates &amp; Drop Downs INT'!$C$7:$C$431='2. Roles &amp; Pricing'!K62),0)),INDEX('Rates &amp; Drop Downs INT'!$F$7:$F$431,MATCH(1,('Rates &amp; Drop Downs INT'!$B$7:$B$431='2. Roles &amp; Pricing'!C62)*('Rates &amp; Drop Downs INT'!$J$7:$J$431=N62),0))),"")),"")</f>
        <v/>
      </c>
      <c r="P62" s="1677"/>
      <c r="Q62" s="1677"/>
      <c r="R62" s="1677"/>
      <c r="S62" s="1678"/>
      <c r="T62" s="1711"/>
      <c r="U62" s="1712"/>
      <c r="V62" s="1222" t="str">
        <f>IFERROR(IF(ISBLANK(K62)," ",_xlfn.XLOOKUP(K62,'Rates &amp; Drop Downs INT'!C:C,'Rates &amp; Drop Downs INT'!J:J)),N62)</f>
        <v xml:space="preserve"> </v>
      </c>
      <c r="W62" s="1203" t="str">
        <f t="shared" si="0"/>
        <v xml:space="preserve"> </v>
      </c>
      <c r="X62" s="1203"/>
      <c r="Y62" s="880" t="s">
        <v>2271</v>
      </c>
      <c r="Z62" s="1187"/>
      <c r="AA62" s="1190"/>
      <c r="AB62" s="1274"/>
      <c r="AC62" s="1690"/>
      <c r="AD62" s="1691"/>
      <c r="AE62" s="881"/>
      <c r="AF62" s="892"/>
      <c r="AH62" s="1685"/>
      <c r="AI62" s="1685"/>
      <c r="CM62" s="425"/>
    </row>
    <row r="63" spans="3:91" ht="16.05" hidden="1" customHeight="1" x14ac:dyDescent="0.25">
      <c r="C63" s="1186"/>
      <c r="D63" s="1187"/>
      <c r="E63" s="1187" t="str">
        <f>IFERROR(_xlfn.XLOOKUP(D63,TADIndia,'Rates &amp; Drop Downs INT'!$CH$6:$CH$747),"")</f>
        <v/>
      </c>
      <c r="F63" s="1187"/>
      <c r="G63" s="1187" t="str">
        <f>IFERROR(_xlfn.XLOOKUP(F63,'Rates &amp; Drop Downs INT'!$CI$6:$CI$747,'Rates &amp; Drop Downs INT'!$CJ$6:$CJ$747),"")</f>
        <v/>
      </c>
      <c r="H63" s="1187" t="str">
        <f>_xlfn.XLOOKUP(F63,'Rates &amp; Drop Downs INT'!$DF$6:$DF$173,'Rates &amp; Drop Downs INT'!$DG$6:$DG$173,"")</f>
        <v/>
      </c>
      <c r="I63" s="1187"/>
      <c r="J63" s="1188">
        <f t="shared" si="1"/>
        <v>0</v>
      </c>
      <c r="K63" s="1682"/>
      <c r="L63" s="1683"/>
      <c r="M63" s="1684"/>
      <c r="N63" s="1190" cm="1">
        <f t="array" ref="N63">IF($E$20="Credera US",V63,SUMPRODUCT(('Rates &amp; Drop Downs INT'!$CG$6:$CG$747=$D63)*('Rates &amp; Drop Downs INT'!$CI$6:$CI$747=$F63)*('Rates &amp; Drop Downs INT'!$CK$6:$CK$747=$K63)*('Rates &amp; Drop Downs INT'!$CM$6:$CM$747)))</f>
        <v>0</v>
      </c>
      <c r="O63" s="1676" t="str" cm="1">
        <f t="array" ref="O63">IFERROR(IF(ISBLANK(C63),"",IF($E$20="Credera US",IF(C63&lt;&gt;"CrederaUS",INDEX('Rates &amp; Drop Downs INT'!$F$7:$F$431,MATCH(1,('Rates &amp; Drop Downs INT'!$B$7:$B$431='2. Roles &amp; Pricing'!C63)*('Rates &amp; Drop Downs INT'!$C$7:$C$431='2. Roles &amp; Pricing'!K63),0)),INDEX('Rates &amp; Drop Downs INT'!$F$7:$F$431,MATCH(1,('Rates &amp; Drop Downs INT'!$B$7:$B$431='2. Roles &amp; Pricing'!C63)*('Rates &amp; Drop Downs INT'!$J$7:$J$431=N63),0))),"")),"")</f>
        <v/>
      </c>
      <c r="P63" s="1677"/>
      <c r="Q63" s="1677"/>
      <c r="R63" s="1677"/>
      <c r="S63" s="1678"/>
      <c r="T63" s="1711"/>
      <c r="U63" s="1712"/>
      <c r="V63" s="1222" t="str">
        <f>IFERROR(IF(ISBLANK(K63)," ",_xlfn.XLOOKUP(K63,'Rates &amp; Drop Downs INT'!C:C,'Rates &amp; Drop Downs INT'!J:J)),N63)</f>
        <v xml:space="preserve"> </v>
      </c>
      <c r="W63" s="1203" t="str">
        <f t="shared" si="0"/>
        <v xml:space="preserve"> </v>
      </c>
      <c r="X63" s="1203"/>
      <c r="Y63" s="880" t="s">
        <v>2271</v>
      </c>
      <c r="Z63" s="1187"/>
      <c r="AA63" s="1190"/>
      <c r="AB63" s="1274"/>
      <c r="AC63" s="1690"/>
      <c r="AD63" s="1691"/>
      <c r="AE63" s="881"/>
      <c r="AF63" s="892"/>
      <c r="AH63" s="1685"/>
      <c r="AI63" s="1685"/>
      <c r="CM63" s="425"/>
    </row>
    <row r="64" spans="3:91" ht="16.05" hidden="1" customHeight="1" x14ac:dyDescent="0.25">
      <c r="C64" s="1186"/>
      <c r="D64" s="1187"/>
      <c r="E64" s="1187" t="str">
        <f>IFERROR(_xlfn.XLOOKUP(D64,TADIndia,'Rates &amp; Drop Downs INT'!$CH$6:$CH$747),"")</f>
        <v/>
      </c>
      <c r="F64" s="1187"/>
      <c r="G64" s="1187" t="str">
        <f>IFERROR(_xlfn.XLOOKUP(F64,'Rates &amp; Drop Downs INT'!$CI$6:$CI$747,'Rates &amp; Drop Downs INT'!$CJ$6:$CJ$747),"")</f>
        <v/>
      </c>
      <c r="H64" s="1187" t="str">
        <f>_xlfn.XLOOKUP(F64,'Rates &amp; Drop Downs INT'!$DF$6:$DF$173,'Rates &amp; Drop Downs INT'!$DG$6:$DG$173,"")</f>
        <v/>
      </c>
      <c r="I64" s="1187"/>
      <c r="J64" s="1188">
        <f t="shared" si="1"/>
        <v>0</v>
      </c>
      <c r="K64" s="1682"/>
      <c r="L64" s="1683"/>
      <c r="M64" s="1684"/>
      <c r="N64" s="1190" cm="1">
        <f t="array" ref="N64">IF($E$20="Credera US",V64,SUMPRODUCT(('Rates &amp; Drop Downs INT'!$CG$6:$CG$747=$D64)*('Rates &amp; Drop Downs INT'!$CI$6:$CI$747=$F64)*('Rates &amp; Drop Downs INT'!$CK$6:$CK$747=$K64)*('Rates &amp; Drop Downs INT'!$CM$6:$CM$747)))</f>
        <v>0</v>
      </c>
      <c r="O64" s="1676" t="str" cm="1">
        <f t="array" ref="O64">IFERROR(IF(ISBLANK(C64),"",IF($E$20="Credera US",IF(C64&lt;&gt;"CrederaUS",INDEX('Rates &amp; Drop Downs INT'!$F$7:$F$431,MATCH(1,('Rates &amp; Drop Downs INT'!$B$7:$B$431='2. Roles &amp; Pricing'!C64)*('Rates &amp; Drop Downs INT'!$C$7:$C$431='2. Roles &amp; Pricing'!K64),0)),INDEX('Rates &amp; Drop Downs INT'!$F$7:$F$431,MATCH(1,('Rates &amp; Drop Downs INT'!$B$7:$B$431='2. Roles &amp; Pricing'!C64)*('Rates &amp; Drop Downs INT'!$J$7:$J$431=N64),0))),"")),"")</f>
        <v/>
      </c>
      <c r="P64" s="1677"/>
      <c r="Q64" s="1677"/>
      <c r="R64" s="1677"/>
      <c r="S64" s="1678"/>
      <c r="T64" s="1711"/>
      <c r="U64" s="1712"/>
      <c r="V64" s="1222" t="str">
        <f>IFERROR(IF(ISBLANK(K64)," ",_xlfn.XLOOKUP(K64,'Rates &amp; Drop Downs INT'!C:C,'Rates &amp; Drop Downs INT'!J:J)),N64)</f>
        <v xml:space="preserve"> </v>
      </c>
      <c r="W64" s="1203" t="str">
        <f t="shared" si="0"/>
        <v xml:space="preserve"> </v>
      </c>
      <c r="X64" s="1203"/>
      <c r="Y64" s="880" t="s">
        <v>2271</v>
      </c>
      <c r="Z64" s="1187"/>
      <c r="AA64" s="1190"/>
      <c r="AB64" s="1274"/>
      <c r="AC64" s="1690"/>
      <c r="AD64" s="1691"/>
      <c r="AE64" s="881"/>
      <c r="AF64" s="892"/>
      <c r="AH64" s="1685"/>
      <c r="AI64" s="1685"/>
      <c r="CM64" s="425"/>
    </row>
    <row r="65" spans="3:91" ht="16.05" hidden="1" customHeight="1" x14ac:dyDescent="0.25">
      <c r="C65" s="1186"/>
      <c r="D65" s="1187"/>
      <c r="E65" s="1187" t="str">
        <f>IFERROR(_xlfn.XLOOKUP(D65,TADIndia,'Rates &amp; Drop Downs INT'!$CH$6:$CH$747),"")</f>
        <v/>
      </c>
      <c r="F65" s="1187"/>
      <c r="G65" s="1187" t="str">
        <f>IFERROR(_xlfn.XLOOKUP(F65,'Rates &amp; Drop Downs INT'!$CI$6:$CI$747,'Rates &amp; Drop Downs INT'!$CJ$6:$CJ$747),"")</f>
        <v/>
      </c>
      <c r="H65" s="1187" t="str">
        <f>_xlfn.XLOOKUP(F65,'Rates &amp; Drop Downs INT'!$DF$6:$DF$173,'Rates &amp; Drop Downs INT'!$DG$6:$DG$173,"")</f>
        <v/>
      </c>
      <c r="I65" s="1187"/>
      <c r="J65" s="1188">
        <f t="shared" si="1"/>
        <v>0</v>
      </c>
      <c r="K65" s="1682"/>
      <c r="L65" s="1683"/>
      <c r="M65" s="1684"/>
      <c r="N65" s="1190" cm="1">
        <f t="array" ref="N65">IF($E$20="Credera US",V65,SUMPRODUCT(('Rates &amp; Drop Downs INT'!$CG$6:$CG$747=$D65)*('Rates &amp; Drop Downs INT'!$CI$6:$CI$747=$F65)*('Rates &amp; Drop Downs INT'!$CK$6:$CK$747=$K65)*('Rates &amp; Drop Downs INT'!$CM$6:$CM$747)))</f>
        <v>0</v>
      </c>
      <c r="O65" s="1676" t="str" cm="1">
        <f t="array" ref="O65">IFERROR(IF(ISBLANK(C65),"",IF($E$20="Credera US",IF(C65&lt;&gt;"CrederaUS",INDEX('Rates &amp; Drop Downs INT'!$F$7:$F$431,MATCH(1,('Rates &amp; Drop Downs INT'!$B$7:$B$431='2. Roles &amp; Pricing'!C65)*('Rates &amp; Drop Downs INT'!$C$7:$C$431='2. Roles &amp; Pricing'!K65),0)),INDEX('Rates &amp; Drop Downs INT'!$F$7:$F$431,MATCH(1,('Rates &amp; Drop Downs INT'!$B$7:$B$431='2. Roles &amp; Pricing'!C65)*('Rates &amp; Drop Downs INT'!$J$7:$J$431=N65),0))),"")),"")</f>
        <v/>
      </c>
      <c r="P65" s="1677"/>
      <c r="Q65" s="1677"/>
      <c r="R65" s="1677"/>
      <c r="S65" s="1678"/>
      <c r="T65" s="1711"/>
      <c r="U65" s="1712"/>
      <c r="V65" s="1222" t="str">
        <f>IFERROR(IF(ISBLANK(K65)," ",_xlfn.XLOOKUP(K65,'Rates &amp; Drop Downs INT'!C:C,'Rates &amp; Drop Downs INT'!J:J)),N65)</f>
        <v xml:space="preserve"> </v>
      </c>
      <c r="W65" s="1203" t="str">
        <f t="shared" si="0"/>
        <v xml:space="preserve"> </v>
      </c>
      <c r="X65" s="1203"/>
      <c r="Y65" s="880" t="s">
        <v>2271</v>
      </c>
      <c r="Z65" s="1187"/>
      <c r="AA65" s="1190"/>
      <c r="AB65" s="1274"/>
      <c r="AC65" s="1690"/>
      <c r="AD65" s="1691"/>
      <c r="AE65" s="881"/>
      <c r="AF65" s="892"/>
      <c r="AH65" s="1685"/>
      <c r="AI65" s="1685"/>
      <c r="CM65" s="425"/>
    </row>
    <row r="66" spans="3:91" ht="16.05" hidden="1" customHeight="1" x14ac:dyDescent="0.25">
      <c r="C66" s="1186"/>
      <c r="D66" s="1187"/>
      <c r="E66" s="1187" t="str">
        <f>IFERROR(_xlfn.XLOOKUP(D66,TADIndia,'Rates &amp; Drop Downs INT'!$CH$6:$CH$747),"")</f>
        <v/>
      </c>
      <c r="F66" s="1187"/>
      <c r="G66" s="1187" t="str">
        <f>IFERROR(_xlfn.XLOOKUP(F66,'Rates &amp; Drop Downs INT'!$CI$6:$CI$747,'Rates &amp; Drop Downs INT'!$CJ$6:$CJ$747),"")</f>
        <v/>
      </c>
      <c r="H66" s="1187" t="str">
        <f>_xlfn.XLOOKUP(F66,'Rates &amp; Drop Downs INT'!$DF$6:$DF$173,'Rates &amp; Drop Downs INT'!$DG$6:$DG$173,"")</f>
        <v/>
      </c>
      <c r="I66" s="1187"/>
      <c r="J66" s="1188">
        <f t="shared" si="1"/>
        <v>0</v>
      </c>
      <c r="K66" s="1682"/>
      <c r="L66" s="1683"/>
      <c r="M66" s="1684"/>
      <c r="N66" s="1190" cm="1">
        <f t="array" ref="N66">IF($E$20="Credera US",V66,SUMPRODUCT(('Rates &amp; Drop Downs INT'!$CG$6:$CG$747=$D66)*('Rates &amp; Drop Downs INT'!$CI$6:$CI$747=$F66)*('Rates &amp; Drop Downs INT'!$CK$6:$CK$747=$K66)*('Rates &amp; Drop Downs INT'!$CM$6:$CM$747)))</f>
        <v>0</v>
      </c>
      <c r="O66" s="1676" t="str" cm="1">
        <f t="array" ref="O66">IFERROR(IF(ISBLANK(C66),"",IF($E$20="Credera US",IF(C66&lt;&gt;"CrederaUS",INDEX('Rates &amp; Drop Downs INT'!$F$7:$F$431,MATCH(1,('Rates &amp; Drop Downs INT'!$B$7:$B$431='2. Roles &amp; Pricing'!C66)*('Rates &amp; Drop Downs INT'!$C$7:$C$431='2. Roles &amp; Pricing'!K66),0)),INDEX('Rates &amp; Drop Downs INT'!$F$7:$F$431,MATCH(1,('Rates &amp; Drop Downs INT'!$B$7:$B$431='2. Roles &amp; Pricing'!C66)*('Rates &amp; Drop Downs INT'!$J$7:$J$431=N66),0))),"")),"")</f>
        <v/>
      </c>
      <c r="P66" s="1677"/>
      <c r="Q66" s="1677"/>
      <c r="R66" s="1677"/>
      <c r="S66" s="1678"/>
      <c r="T66" s="1711"/>
      <c r="U66" s="1712"/>
      <c r="V66" s="1222" t="str">
        <f>IFERROR(IF(ISBLANK(K66)," ",_xlfn.XLOOKUP(K66,'Rates &amp; Drop Downs INT'!C:C,'Rates &amp; Drop Downs INT'!J:J)),N66)</f>
        <v xml:space="preserve"> </v>
      </c>
      <c r="W66" s="1203" t="str">
        <f t="shared" si="0"/>
        <v xml:space="preserve"> </v>
      </c>
      <c r="X66" s="1203"/>
      <c r="Y66" s="880" t="s">
        <v>2271</v>
      </c>
      <c r="Z66" s="1187"/>
      <c r="AA66" s="1190"/>
      <c r="AB66" s="1274"/>
      <c r="AC66" s="1690"/>
      <c r="AD66" s="1691"/>
      <c r="AE66" s="881"/>
      <c r="AF66" s="892"/>
      <c r="AH66" s="1685"/>
      <c r="AI66" s="1685"/>
      <c r="CM66" s="425"/>
    </row>
    <row r="67" spans="3:91" ht="16.05" hidden="1" customHeight="1" x14ac:dyDescent="0.25">
      <c r="C67" s="1186"/>
      <c r="D67" s="1187"/>
      <c r="E67" s="1187" t="str">
        <f>IFERROR(_xlfn.XLOOKUP(D67,TADIndia,'Rates &amp; Drop Downs INT'!$CH$6:$CH$747),"")</f>
        <v/>
      </c>
      <c r="F67" s="1187"/>
      <c r="G67" s="1187" t="str">
        <f>IFERROR(_xlfn.XLOOKUP(F67,'Rates &amp; Drop Downs INT'!$CI$6:$CI$747,'Rates &amp; Drop Downs INT'!$CJ$6:$CJ$747),"")</f>
        <v/>
      </c>
      <c r="H67" s="1187" t="str">
        <f>_xlfn.XLOOKUP(F67,'Rates &amp; Drop Downs INT'!$DF$6:$DF$173,'Rates &amp; Drop Downs INT'!$DG$6:$DG$173,"")</f>
        <v/>
      </c>
      <c r="I67" s="1187"/>
      <c r="J67" s="1188">
        <f t="shared" si="1"/>
        <v>0</v>
      </c>
      <c r="K67" s="1682"/>
      <c r="L67" s="1683"/>
      <c r="M67" s="1684"/>
      <c r="N67" s="1190" cm="1">
        <f t="array" ref="N67">IF($E$20="Credera US",V67,SUMPRODUCT(('Rates &amp; Drop Downs INT'!$CG$6:$CG$747=$D67)*('Rates &amp; Drop Downs INT'!$CI$6:$CI$747=$F67)*('Rates &amp; Drop Downs INT'!$CK$6:$CK$747=$K67)*('Rates &amp; Drop Downs INT'!$CM$6:$CM$747)))</f>
        <v>0</v>
      </c>
      <c r="O67" s="1676" t="str" cm="1">
        <f t="array" ref="O67">IFERROR(IF(ISBLANK(C67),"",IF($E$20="Credera US",IF(C67&lt;&gt;"CrederaUS",INDEX('Rates &amp; Drop Downs INT'!$F$7:$F$431,MATCH(1,('Rates &amp; Drop Downs INT'!$B$7:$B$431='2. Roles &amp; Pricing'!C67)*('Rates &amp; Drop Downs INT'!$C$7:$C$431='2. Roles &amp; Pricing'!K67),0)),INDEX('Rates &amp; Drop Downs INT'!$F$7:$F$431,MATCH(1,('Rates &amp; Drop Downs INT'!$B$7:$B$431='2. Roles &amp; Pricing'!C67)*('Rates &amp; Drop Downs INT'!$J$7:$J$431=N67),0))),"")),"")</f>
        <v/>
      </c>
      <c r="P67" s="1677"/>
      <c r="Q67" s="1677"/>
      <c r="R67" s="1677"/>
      <c r="S67" s="1678"/>
      <c r="T67" s="1711"/>
      <c r="U67" s="1712"/>
      <c r="V67" s="1222" t="str">
        <f>IFERROR(IF(ISBLANK(K67)," ",_xlfn.XLOOKUP(K67,'Rates &amp; Drop Downs INT'!C:C,'Rates &amp; Drop Downs INT'!J:J)),N67)</f>
        <v xml:space="preserve"> </v>
      </c>
      <c r="W67" s="1203" t="str">
        <f t="shared" si="0"/>
        <v xml:space="preserve"> </v>
      </c>
      <c r="X67" s="1203"/>
      <c r="Y67" s="880" t="s">
        <v>2271</v>
      </c>
      <c r="Z67" s="1187"/>
      <c r="AA67" s="1190"/>
      <c r="AB67" s="1274"/>
      <c r="AC67" s="1690"/>
      <c r="AD67" s="1691"/>
      <c r="AE67" s="881"/>
      <c r="AF67" s="892"/>
      <c r="AH67" s="1685"/>
      <c r="AI67" s="1685"/>
      <c r="CM67" s="425"/>
    </row>
    <row r="68" spans="3:91" ht="16.05" hidden="1" customHeight="1" x14ac:dyDescent="0.25">
      <c r="C68" s="1186"/>
      <c r="D68" s="1187"/>
      <c r="E68" s="1187" t="str">
        <f>IFERROR(_xlfn.XLOOKUP(D68,TADIndia,'Rates &amp; Drop Downs INT'!$CH$6:$CH$747),"")</f>
        <v/>
      </c>
      <c r="F68" s="1187"/>
      <c r="G68" s="1187" t="str">
        <f>IFERROR(_xlfn.XLOOKUP(F68,'Rates &amp; Drop Downs INT'!$CI$6:$CI$747,'Rates &amp; Drop Downs INT'!$CJ$6:$CJ$747),"")</f>
        <v/>
      </c>
      <c r="H68" s="1187" t="str">
        <f>_xlfn.XLOOKUP(F68,'Rates &amp; Drop Downs INT'!$DF$6:$DF$173,'Rates &amp; Drop Downs INT'!$DG$6:$DG$173,"")</f>
        <v/>
      </c>
      <c r="I68" s="1187"/>
      <c r="J68" s="1188">
        <f t="shared" si="1"/>
        <v>0</v>
      </c>
      <c r="K68" s="1682"/>
      <c r="L68" s="1683"/>
      <c r="M68" s="1684"/>
      <c r="N68" s="1190" cm="1">
        <f t="array" ref="N68">IF($E$20="Credera US",V68,SUMPRODUCT(('Rates &amp; Drop Downs INT'!$CG$6:$CG$747=$D68)*('Rates &amp; Drop Downs INT'!$CI$6:$CI$747=$F68)*('Rates &amp; Drop Downs INT'!$CK$6:$CK$747=$K68)*('Rates &amp; Drop Downs INT'!$CM$6:$CM$747)))</f>
        <v>0</v>
      </c>
      <c r="O68" s="1676" t="str" cm="1">
        <f t="array" ref="O68">IFERROR(IF(ISBLANK(C68),"",IF($E$20="Credera US",IF(C68&lt;&gt;"CrederaUS",INDEX('Rates &amp; Drop Downs INT'!$F$7:$F$431,MATCH(1,('Rates &amp; Drop Downs INT'!$B$7:$B$431='2. Roles &amp; Pricing'!C68)*('Rates &amp; Drop Downs INT'!$C$7:$C$431='2. Roles &amp; Pricing'!K68),0)),INDEX('Rates &amp; Drop Downs INT'!$F$7:$F$431,MATCH(1,('Rates &amp; Drop Downs INT'!$B$7:$B$431='2. Roles &amp; Pricing'!C68)*('Rates &amp; Drop Downs INT'!$J$7:$J$431=N68),0))),"")),"")</f>
        <v/>
      </c>
      <c r="P68" s="1677"/>
      <c r="Q68" s="1677"/>
      <c r="R68" s="1677"/>
      <c r="S68" s="1678"/>
      <c r="T68" s="1711"/>
      <c r="U68" s="1712"/>
      <c r="V68" s="1222" t="str">
        <f>IFERROR(IF(ISBLANK(K68)," ",_xlfn.XLOOKUP(K68,'Rates &amp; Drop Downs INT'!C:C,'Rates &amp; Drop Downs INT'!J:J)),N68)</f>
        <v xml:space="preserve"> </v>
      </c>
      <c r="W68" s="1203" t="str">
        <f t="shared" si="0"/>
        <v xml:space="preserve"> </v>
      </c>
      <c r="X68" s="1203"/>
      <c r="Y68" s="880" t="s">
        <v>2271</v>
      </c>
      <c r="Z68" s="1187"/>
      <c r="AA68" s="1190"/>
      <c r="AB68" s="1274"/>
      <c r="AC68" s="1690"/>
      <c r="AD68" s="1691"/>
      <c r="AE68" s="881"/>
      <c r="AF68" s="892"/>
      <c r="AH68" s="1685"/>
      <c r="AI68" s="1685"/>
      <c r="CM68" s="425"/>
    </row>
    <row r="69" spans="3:91" ht="16.05" hidden="1" customHeight="1" x14ac:dyDescent="0.25">
      <c r="C69" s="1186"/>
      <c r="D69" s="1187"/>
      <c r="E69" s="1187" t="str">
        <f>IFERROR(_xlfn.XLOOKUP(D69,TADIndia,'Rates &amp; Drop Downs INT'!$CH$6:$CH$747),"")</f>
        <v/>
      </c>
      <c r="F69" s="1187"/>
      <c r="G69" s="1187" t="str">
        <f>IFERROR(_xlfn.XLOOKUP(F69,'Rates &amp; Drop Downs INT'!$CI$6:$CI$747,'Rates &amp; Drop Downs INT'!$CJ$6:$CJ$747),"")</f>
        <v/>
      </c>
      <c r="H69" s="1187" t="str">
        <f>_xlfn.XLOOKUP(F69,'Rates &amp; Drop Downs INT'!$DF$6:$DF$173,'Rates &amp; Drop Downs INT'!$DG$6:$DG$173,"")</f>
        <v/>
      </c>
      <c r="I69" s="1187"/>
      <c r="J69" s="1188">
        <f t="shared" si="1"/>
        <v>0</v>
      </c>
      <c r="K69" s="1682"/>
      <c r="L69" s="1683"/>
      <c r="M69" s="1684"/>
      <c r="N69" s="1190" cm="1">
        <f t="array" ref="N69">IF($E$20="Credera US",V69,SUMPRODUCT(('Rates &amp; Drop Downs INT'!$CG$6:$CG$747=$D69)*('Rates &amp; Drop Downs INT'!$CI$6:$CI$747=$F69)*('Rates &amp; Drop Downs INT'!$CK$6:$CK$747=$K69)*('Rates &amp; Drop Downs INT'!$CM$6:$CM$747)))</f>
        <v>0</v>
      </c>
      <c r="O69" s="1676" t="str" cm="1">
        <f t="array" ref="O69">IFERROR(IF(ISBLANK(C69),"",IF($E$20="Credera US",IF(C69&lt;&gt;"CrederaUS",INDEX('Rates &amp; Drop Downs INT'!$F$7:$F$431,MATCH(1,('Rates &amp; Drop Downs INT'!$B$7:$B$431='2. Roles &amp; Pricing'!C69)*('Rates &amp; Drop Downs INT'!$C$7:$C$431='2. Roles &amp; Pricing'!K69),0)),INDEX('Rates &amp; Drop Downs INT'!$F$7:$F$431,MATCH(1,('Rates &amp; Drop Downs INT'!$B$7:$B$431='2. Roles &amp; Pricing'!C69)*('Rates &amp; Drop Downs INT'!$J$7:$J$431=N69),0))),"")),"")</f>
        <v/>
      </c>
      <c r="P69" s="1677"/>
      <c r="Q69" s="1677"/>
      <c r="R69" s="1677"/>
      <c r="S69" s="1678"/>
      <c r="T69" s="1711"/>
      <c r="U69" s="1712"/>
      <c r="V69" s="1222" t="str">
        <f>IFERROR(IF(ISBLANK(K69)," ",_xlfn.XLOOKUP(K69,'Rates &amp; Drop Downs INT'!C:C,'Rates &amp; Drop Downs INT'!J:J)),N69)</f>
        <v xml:space="preserve"> </v>
      </c>
      <c r="W69" s="1203" t="str">
        <f t="shared" si="0"/>
        <v xml:space="preserve"> </v>
      </c>
      <c r="X69" s="1203"/>
      <c r="Y69" s="880" t="s">
        <v>2271</v>
      </c>
      <c r="Z69" s="1187"/>
      <c r="AA69" s="1190"/>
      <c r="AB69" s="1274"/>
      <c r="AC69" s="1690"/>
      <c r="AD69" s="1691"/>
      <c r="AE69" s="881"/>
      <c r="AF69" s="892"/>
      <c r="AH69" s="1685"/>
      <c r="AI69" s="1685"/>
      <c r="CM69" s="425"/>
    </row>
    <row r="70" spans="3:91" ht="16.05" hidden="1" customHeight="1" x14ac:dyDescent="0.25">
      <c r="C70" s="1186"/>
      <c r="D70" s="1187"/>
      <c r="E70" s="1187" t="str">
        <f>IFERROR(_xlfn.XLOOKUP(D70,TADIndia,'Rates &amp; Drop Downs INT'!$CH$6:$CH$747),"")</f>
        <v/>
      </c>
      <c r="F70" s="1187"/>
      <c r="G70" s="1187" t="str">
        <f>IFERROR(_xlfn.XLOOKUP(F70,'Rates &amp; Drop Downs INT'!$CI$6:$CI$747,'Rates &amp; Drop Downs INT'!$CJ$6:$CJ$747),"")</f>
        <v/>
      </c>
      <c r="H70" s="1187" t="str">
        <f>_xlfn.XLOOKUP(F70,'Rates &amp; Drop Downs INT'!$DF$6:$DF$173,'Rates &amp; Drop Downs INT'!$DG$6:$DG$173,"")</f>
        <v/>
      </c>
      <c r="I70" s="1187"/>
      <c r="J70" s="1188">
        <f t="shared" si="1"/>
        <v>0</v>
      </c>
      <c r="K70" s="1682"/>
      <c r="L70" s="1683"/>
      <c r="M70" s="1684"/>
      <c r="N70" s="1190" cm="1">
        <f t="array" ref="N70">IF($E$20="Credera US",V70,SUMPRODUCT(('Rates &amp; Drop Downs INT'!$CG$6:$CG$747=$D70)*('Rates &amp; Drop Downs INT'!$CI$6:$CI$747=$F70)*('Rates &amp; Drop Downs INT'!$CK$6:$CK$747=$K70)*('Rates &amp; Drop Downs INT'!$CM$6:$CM$747)))</f>
        <v>0</v>
      </c>
      <c r="O70" s="1676" t="str" cm="1">
        <f t="array" ref="O70">IFERROR(IF(ISBLANK(C70),"",IF($E$20="Credera US",IF(C70&lt;&gt;"CrederaUS",INDEX('Rates &amp; Drop Downs INT'!$F$7:$F$431,MATCH(1,('Rates &amp; Drop Downs INT'!$B$7:$B$431='2. Roles &amp; Pricing'!C70)*('Rates &amp; Drop Downs INT'!$C$7:$C$431='2. Roles &amp; Pricing'!K70),0)),INDEX('Rates &amp; Drop Downs INT'!$F$7:$F$431,MATCH(1,('Rates &amp; Drop Downs INT'!$B$7:$B$431='2. Roles &amp; Pricing'!C70)*('Rates &amp; Drop Downs INT'!$J$7:$J$431=N70),0))),"")),"")</f>
        <v/>
      </c>
      <c r="P70" s="1677"/>
      <c r="Q70" s="1677"/>
      <c r="R70" s="1677"/>
      <c r="S70" s="1678"/>
      <c r="T70" s="1711"/>
      <c r="U70" s="1712"/>
      <c r="V70" s="1222" t="str">
        <f>IFERROR(IF(ISBLANK(K70)," ",_xlfn.XLOOKUP(K70,'Rates &amp; Drop Downs INT'!C:C,'Rates &amp; Drop Downs INT'!J:J)),N70)</f>
        <v xml:space="preserve"> </v>
      </c>
      <c r="W70" s="1203" t="str">
        <f t="shared" si="0"/>
        <v xml:space="preserve"> </v>
      </c>
      <c r="X70" s="1203"/>
      <c r="Y70" s="880" t="s">
        <v>2271</v>
      </c>
      <c r="Z70" s="1187"/>
      <c r="AA70" s="1190"/>
      <c r="AB70" s="1274"/>
      <c r="AC70" s="1690"/>
      <c r="AD70" s="1691"/>
      <c r="AE70" s="881"/>
      <c r="AF70" s="892"/>
      <c r="AH70" s="1685"/>
      <c r="AI70" s="1685"/>
      <c r="AJ70" s="413"/>
      <c r="AK70" s="413"/>
      <c r="AL70" s="413"/>
      <c r="AM70" s="413"/>
      <c r="CM70" s="425"/>
    </row>
    <row r="71" spans="3:91" ht="16.05" hidden="1" customHeight="1" x14ac:dyDescent="0.25">
      <c r="C71" s="1186"/>
      <c r="D71" s="1187"/>
      <c r="E71" s="1187" t="str">
        <f>IFERROR(_xlfn.XLOOKUP(D71,TADIndia,'Rates &amp; Drop Downs INT'!$CH$6:$CH$747),"")</f>
        <v/>
      </c>
      <c r="F71" s="1187"/>
      <c r="G71" s="1187" t="str">
        <f>IFERROR(_xlfn.XLOOKUP(F71,'Rates &amp; Drop Downs INT'!$CI$6:$CI$747,'Rates &amp; Drop Downs INT'!$CJ$6:$CJ$747),"")</f>
        <v/>
      </c>
      <c r="H71" s="1187" t="str">
        <f>_xlfn.XLOOKUP(F71,'Rates &amp; Drop Downs INT'!$DF$6:$DF$173,'Rates &amp; Drop Downs INT'!$DG$6:$DG$173,"")</f>
        <v/>
      </c>
      <c r="I71" s="1187"/>
      <c r="J71" s="1188">
        <f t="shared" si="1"/>
        <v>0</v>
      </c>
      <c r="K71" s="1682"/>
      <c r="L71" s="1683"/>
      <c r="M71" s="1684"/>
      <c r="N71" s="1190" cm="1">
        <f t="array" ref="N71">IF($E$20="Credera US",V71,SUMPRODUCT(('Rates &amp; Drop Downs INT'!$CG$6:$CG$747=$D71)*('Rates &amp; Drop Downs INT'!$CI$6:$CI$747=$F71)*('Rates &amp; Drop Downs INT'!$CK$6:$CK$747=$K71)*('Rates &amp; Drop Downs INT'!$CM$6:$CM$747)))</f>
        <v>0</v>
      </c>
      <c r="O71" s="1676" t="str" cm="1">
        <f t="array" ref="O71">IFERROR(IF(ISBLANK(C71),"",IF($E$20="Credera US",IF(C71&lt;&gt;"CrederaUS",INDEX('Rates &amp; Drop Downs INT'!$F$7:$F$431,MATCH(1,('Rates &amp; Drop Downs INT'!$B$7:$B$431='2. Roles &amp; Pricing'!C71)*('Rates &amp; Drop Downs INT'!$C$7:$C$431='2. Roles &amp; Pricing'!K71),0)),INDEX('Rates &amp; Drop Downs INT'!$F$7:$F$431,MATCH(1,('Rates &amp; Drop Downs INT'!$B$7:$B$431='2. Roles &amp; Pricing'!C71)*('Rates &amp; Drop Downs INT'!$J$7:$J$431=N71),0))),"")),"")</f>
        <v/>
      </c>
      <c r="P71" s="1677"/>
      <c r="Q71" s="1677"/>
      <c r="R71" s="1677"/>
      <c r="S71" s="1678"/>
      <c r="T71" s="1711"/>
      <c r="U71" s="1712"/>
      <c r="V71" s="1222" t="str">
        <f>IFERROR(IF(ISBLANK(K71)," ",_xlfn.XLOOKUP(K71,'Rates &amp; Drop Downs INT'!C:C,'Rates &amp; Drop Downs INT'!J:J)),N71)</f>
        <v xml:space="preserve"> </v>
      </c>
      <c r="W71" s="1203" t="str">
        <f t="shared" si="0"/>
        <v xml:space="preserve"> </v>
      </c>
      <c r="X71" s="1203"/>
      <c r="Y71" s="880" t="s">
        <v>2271</v>
      </c>
      <c r="Z71" s="1187"/>
      <c r="AA71" s="1190"/>
      <c r="AB71" s="1274"/>
      <c r="AC71" s="1690"/>
      <c r="AD71" s="1691"/>
      <c r="AE71" s="881"/>
      <c r="AF71" s="892"/>
      <c r="AH71" s="1685"/>
      <c r="AI71" s="1685"/>
      <c r="AJ71" s="413"/>
      <c r="AK71" s="413"/>
      <c r="AL71" s="413"/>
      <c r="AM71" s="413"/>
      <c r="CM71" s="425"/>
    </row>
    <row r="72" spans="3:91" ht="16.05" hidden="1" customHeight="1" x14ac:dyDescent="0.25">
      <c r="C72" s="1186"/>
      <c r="D72" s="1187"/>
      <c r="E72" s="1187" t="str">
        <f>IFERROR(_xlfn.XLOOKUP(D72,TADIndia,'Rates &amp; Drop Downs INT'!$CH$6:$CH$747),"")</f>
        <v/>
      </c>
      <c r="F72" s="1187"/>
      <c r="G72" s="1187" t="str">
        <f>IFERROR(_xlfn.XLOOKUP(F72,'Rates &amp; Drop Downs INT'!$CI$6:$CI$747,'Rates &amp; Drop Downs INT'!$CJ$6:$CJ$747),"")</f>
        <v/>
      </c>
      <c r="H72" s="1187" t="str">
        <f>_xlfn.XLOOKUP(F72,'Rates &amp; Drop Downs INT'!$DF$6:$DF$173,'Rates &amp; Drop Downs INT'!$DG$6:$DG$173,"")</f>
        <v/>
      </c>
      <c r="I72" s="1187"/>
      <c r="J72" s="1188">
        <f t="shared" si="1"/>
        <v>0</v>
      </c>
      <c r="K72" s="1682"/>
      <c r="L72" s="1683"/>
      <c r="M72" s="1684"/>
      <c r="N72" s="1190" cm="1">
        <f t="array" ref="N72">IF($E$20="Credera US",V72,SUMPRODUCT(('Rates &amp; Drop Downs INT'!$CG$6:$CG$747=$D72)*('Rates &amp; Drop Downs INT'!$CI$6:$CI$747=$F72)*('Rates &amp; Drop Downs INT'!$CK$6:$CK$747=$K72)*('Rates &amp; Drop Downs INT'!$CM$6:$CM$747)))</f>
        <v>0</v>
      </c>
      <c r="O72" s="1676" t="str" cm="1">
        <f t="array" ref="O72">IFERROR(IF(ISBLANK(C72),"",IF($E$20="Credera US",IF(C72&lt;&gt;"CrederaUS",INDEX('Rates &amp; Drop Downs INT'!$F$7:$F$431,MATCH(1,('Rates &amp; Drop Downs INT'!$B$7:$B$431='2. Roles &amp; Pricing'!C72)*('Rates &amp; Drop Downs INT'!$C$7:$C$431='2. Roles &amp; Pricing'!K72),0)),INDEX('Rates &amp; Drop Downs INT'!$F$7:$F$431,MATCH(1,('Rates &amp; Drop Downs INT'!$B$7:$B$431='2. Roles &amp; Pricing'!C72)*('Rates &amp; Drop Downs INT'!$J$7:$J$431=N72),0))),"")),"")</f>
        <v/>
      </c>
      <c r="P72" s="1677"/>
      <c r="Q72" s="1677"/>
      <c r="R72" s="1677"/>
      <c r="S72" s="1678"/>
      <c r="T72" s="1711"/>
      <c r="U72" s="1712"/>
      <c r="V72" s="1222" t="str">
        <f>IFERROR(IF(ISBLANK(K72)," ",_xlfn.XLOOKUP(K72,'Rates &amp; Drop Downs INT'!C:C,'Rates &amp; Drop Downs INT'!J:J)),N72)</f>
        <v xml:space="preserve"> </v>
      </c>
      <c r="W72" s="1203" t="str">
        <f t="shared" si="0"/>
        <v xml:space="preserve"> </v>
      </c>
      <c r="X72" s="1203"/>
      <c r="Y72" s="880" t="s">
        <v>2271</v>
      </c>
      <c r="Z72" s="1187"/>
      <c r="AA72" s="1190"/>
      <c r="AB72" s="1274"/>
      <c r="AC72" s="1690"/>
      <c r="AD72" s="1691"/>
      <c r="AE72" s="881"/>
      <c r="AF72" s="892"/>
      <c r="AH72" s="1685"/>
      <c r="AI72" s="1685"/>
      <c r="AJ72" s="413"/>
      <c r="AK72" s="413"/>
      <c r="AL72" s="413"/>
      <c r="AM72" s="413"/>
      <c r="CM72" s="425"/>
    </row>
    <row r="73" spans="3:91" ht="16.05" customHeight="1" outlineLevel="1" x14ac:dyDescent="0.25">
      <c r="C73" s="1186"/>
      <c r="D73" s="1187"/>
      <c r="E73" s="1187" t="str">
        <f>IFERROR(_xlfn.XLOOKUP(D73,TADIndia,'Rates &amp; Drop Downs INT'!$CH$6:$CH$747),"")</f>
        <v/>
      </c>
      <c r="F73" s="1187"/>
      <c r="G73" s="1187" t="str">
        <f>IFERROR(_xlfn.XLOOKUP(F73,'Rates &amp; Drop Downs INT'!$CI$6:$CI$747,'Rates &amp; Drop Downs INT'!$CJ$6:$CJ$747),"")</f>
        <v/>
      </c>
      <c r="H73" s="1187" t="str">
        <f>_xlfn.XLOOKUP(F73,'Rates &amp; Drop Downs INT'!$DF$6:$DF$173,'Rates &amp; Drop Downs INT'!$DG$6:$DG$173,"")</f>
        <v/>
      </c>
      <c r="I73" s="1187"/>
      <c r="J73" s="1188">
        <f t="shared" si="1"/>
        <v>0</v>
      </c>
      <c r="K73" s="1682"/>
      <c r="L73" s="1683"/>
      <c r="M73" s="1684"/>
      <c r="N73" s="1190" cm="1">
        <f t="array" ref="N73">IF($E$20="Credera US",V73,SUMPRODUCT(('Rates &amp; Drop Downs INT'!$CG$6:$CG$747=$D73)*('Rates &amp; Drop Downs INT'!$CI$6:$CI$747=$F73)*('Rates &amp; Drop Downs INT'!$CK$6:$CK$747=$K73)*('Rates &amp; Drop Downs INT'!$CM$6:$CM$747)))</f>
        <v>0</v>
      </c>
      <c r="O73" s="1676" t="str" cm="1">
        <f t="array" ref="O73">IFERROR(IF(ISBLANK(C73),"",IF($E$20="Credera US",IF(C73&lt;&gt;"CrederaUS",INDEX('Rates &amp; Drop Downs INT'!$F$7:$F$431,MATCH(1,('Rates &amp; Drop Downs INT'!$B$7:$B$431='2. Roles &amp; Pricing'!C73)*('Rates &amp; Drop Downs INT'!$C$7:$C$431='2. Roles &amp; Pricing'!K73),0)),INDEX('Rates &amp; Drop Downs INT'!$F$7:$F$431,MATCH(1,('Rates &amp; Drop Downs INT'!$B$7:$B$431='2. Roles &amp; Pricing'!C73)*('Rates &amp; Drop Downs INT'!$J$7:$J$431=N73),0))),"")),"")</f>
        <v/>
      </c>
      <c r="P73" s="1677"/>
      <c r="Q73" s="1677"/>
      <c r="R73" s="1677"/>
      <c r="S73" s="1678"/>
      <c r="T73" s="1711"/>
      <c r="U73" s="1712"/>
      <c r="V73" s="1222" t="str">
        <f>IFERROR(IF(ISBLANK(K73)," ",_xlfn.XLOOKUP(K73,'Rates &amp; Drop Downs INT'!C:C,'Rates &amp; Drop Downs INT'!J:J)),N73)</f>
        <v xml:space="preserve"> </v>
      </c>
      <c r="W73" s="1203" t="str">
        <f t="shared" si="0"/>
        <v xml:space="preserve"> </v>
      </c>
      <c r="X73" s="1203"/>
      <c r="Y73" s="880" t="s">
        <v>2271</v>
      </c>
      <c r="Z73" s="1187"/>
      <c r="AA73" s="1190"/>
      <c r="AB73" s="1274"/>
      <c r="AC73" s="1690"/>
      <c r="AD73" s="1691"/>
      <c r="AE73" s="881"/>
      <c r="AF73" s="892"/>
      <c r="AH73" s="1685"/>
      <c r="AI73" s="1685"/>
      <c r="AJ73" s="413"/>
      <c r="AK73" s="413"/>
      <c r="AL73" s="413"/>
      <c r="AM73" s="413"/>
      <c r="CM73" s="425"/>
    </row>
    <row r="74" spans="3:91" ht="16.05" customHeight="1" outlineLevel="1" x14ac:dyDescent="0.25">
      <c r="C74" s="1186"/>
      <c r="D74" s="1187"/>
      <c r="E74" s="1187" t="str">
        <f>IFERROR(_xlfn.XLOOKUP(D74,TADIndia,'Rates &amp; Drop Downs INT'!$CH$6:$CH$747),"")</f>
        <v/>
      </c>
      <c r="F74" s="1187"/>
      <c r="G74" s="1187" t="str">
        <f>IFERROR(_xlfn.XLOOKUP(F74,'Rates &amp; Drop Downs INT'!$CI$6:$CI$747,'Rates &amp; Drop Downs INT'!$CJ$6:$CJ$747),"")</f>
        <v/>
      </c>
      <c r="H74" s="1187" t="str">
        <f>_xlfn.XLOOKUP(F74,'Rates &amp; Drop Downs INT'!$DF$6:$DF$173,'Rates &amp; Drop Downs INT'!$DG$6:$DG$173,"")</f>
        <v/>
      </c>
      <c r="I74" s="1187"/>
      <c r="J74" s="1188">
        <f t="shared" si="1"/>
        <v>0</v>
      </c>
      <c r="K74" s="1682"/>
      <c r="L74" s="1683"/>
      <c r="M74" s="1684"/>
      <c r="N74" s="1190" cm="1">
        <f t="array" ref="N74">IF($E$20="Credera US",V74,SUMPRODUCT(('Rates &amp; Drop Downs INT'!$CG$6:$CG$747=$D74)*('Rates &amp; Drop Downs INT'!$CI$6:$CI$747=$F74)*('Rates &amp; Drop Downs INT'!$CK$6:$CK$747=$K74)*('Rates &amp; Drop Downs INT'!$CM$6:$CM$747)))</f>
        <v>0</v>
      </c>
      <c r="O74" s="1676" t="str" cm="1">
        <f t="array" ref="O74">IFERROR(IF(ISBLANK(C74),"",IF($E$20="Credera US",IF(C74&lt;&gt;"CrederaUS",INDEX('Rates &amp; Drop Downs INT'!$F$7:$F$431,MATCH(1,('Rates &amp; Drop Downs INT'!$B$7:$B$431='2. Roles &amp; Pricing'!C74)*('Rates &amp; Drop Downs INT'!$C$7:$C$431='2. Roles &amp; Pricing'!K74),0)),INDEX('Rates &amp; Drop Downs INT'!$F$7:$F$431,MATCH(1,('Rates &amp; Drop Downs INT'!$B$7:$B$431='2. Roles &amp; Pricing'!C74)*('Rates &amp; Drop Downs INT'!$J$7:$J$431=N74),0))),"")),"")</f>
        <v/>
      </c>
      <c r="P74" s="1677"/>
      <c r="Q74" s="1677"/>
      <c r="R74" s="1677"/>
      <c r="S74" s="1678"/>
      <c r="T74" s="1711"/>
      <c r="U74" s="1712"/>
      <c r="V74" s="1222" t="str">
        <f>IFERROR(IF(ISBLANK(K74)," ",_xlfn.XLOOKUP(K74,'Rates &amp; Drop Downs INT'!C:C,'Rates &amp; Drop Downs INT'!J:J)),N74)</f>
        <v xml:space="preserve"> </v>
      </c>
      <c r="W74" s="1203" t="str">
        <f t="shared" si="0"/>
        <v xml:space="preserve"> </v>
      </c>
      <c r="X74" s="1203"/>
      <c r="Y74" s="880" t="s">
        <v>2271</v>
      </c>
      <c r="Z74" s="1187"/>
      <c r="AA74" s="1190"/>
      <c r="AB74" s="1274"/>
      <c r="AC74" s="1690"/>
      <c r="AD74" s="1691"/>
      <c r="AE74" s="881"/>
      <c r="AF74" s="892"/>
      <c r="AH74" s="1685"/>
      <c r="AI74" s="1685"/>
      <c r="AJ74" s="413"/>
      <c r="AK74" s="413"/>
      <c r="AL74" s="413"/>
      <c r="AM74" s="413"/>
      <c r="CM74" s="425"/>
    </row>
    <row r="75" spans="3:91" ht="16.05" customHeight="1" outlineLevel="1" x14ac:dyDescent="0.25">
      <c r="C75" s="1186"/>
      <c r="D75" s="1187"/>
      <c r="E75" s="1187" t="str">
        <f>IFERROR(_xlfn.XLOOKUP(D75,TADIndia,'Rates &amp; Drop Downs INT'!$CH$6:$CH$747),"")</f>
        <v/>
      </c>
      <c r="F75" s="1187"/>
      <c r="G75" s="1187" t="str">
        <f>IFERROR(_xlfn.XLOOKUP(F75,'Rates &amp; Drop Downs INT'!$CI$6:$CI$747,'Rates &amp; Drop Downs INT'!$CJ$6:$CJ$747),"")</f>
        <v/>
      </c>
      <c r="H75" s="1187" t="str">
        <f>_xlfn.XLOOKUP(F75,'Rates &amp; Drop Downs INT'!$DF$6:$DF$173,'Rates &amp; Drop Downs INT'!$DG$6:$DG$173,"")</f>
        <v/>
      </c>
      <c r="I75" s="1187"/>
      <c r="J75" s="1188">
        <f t="shared" si="1"/>
        <v>0</v>
      </c>
      <c r="K75" s="1682"/>
      <c r="L75" s="1683"/>
      <c r="M75" s="1684"/>
      <c r="N75" s="1190" cm="1">
        <f t="array" ref="N75">IF($E$20="Credera US",V75,SUMPRODUCT(('Rates &amp; Drop Downs INT'!$CG$6:$CG$747=$D75)*('Rates &amp; Drop Downs INT'!$CI$6:$CI$747=$F75)*('Rates &amp; Drop Downs INT'!$CK$6:$CK$747=$K75)*('Rates &amp; Drop Downs INT'!$CM$6:$CM$747)))</f>
        <v>0</v>
      </c>
      <c r="O75" s="1676" t="str" cm="1">
        <f t="array" ref="O75">IFERROR(IF(ISBLANK(C75),"",IF($E$20="Credera US",IF(C75&lt;&gt;"CrederaUS",INDEX('Rates &amp; Drop Downs INT'!$F$7:$F$431,MATCH(1,('Rates &amp; Drop Downs INT'!$B$7:$B$431='2. Roles &amp; Pricing'!C75)*('Rates &amp; Drop Downs INT'!$C$7:$C$431='2. Roles &amp; Pricing'!K75),0)),INDEX('Rates &amp; Drop Downs INT'!$F$7:$F$431,MATCH(1,('Rates &amp; Drop Downs INT'!$B$7:$B$431='2. Roles &amp; Pricing'!C75)*('Rates &amp; Drop Downs INT'!$J$7:$J$431=N75),0))),"")),"")</f>
        <v/>
      </c>
      <c r="P75" s="1677"/>
      <c r="Q75" s="1677"/>
      <c r="R75" s="1677"/>
      <c r="S75" s="1678"/>
      <c r="T75" s="1711"/>
      <c r="U75" s="1712"/>
      <c r="V75" s="1222" t="str">
        <f>IFERROR(IF(ISBLANK(K75)," ",_xlfn.XLOOKUP(K75,'Rates &amp; Drop Downs INT'!C:C,'Rates &amp; Drop Downs INT'!J:J)),N75)</f>
        <v xml:space="preserve"> </v>
      </c>
      <c r="W75" s="1203" t="str">
        <f t="shared" si="0"/>
        <v xml:space="preserve"> </v>
      </c>
      <c r="X75" s="1203"/>
      <c r="Y75" s="880" t="s">
        <v>2271</v>
      </c>
      <c r="Z75" s="1187"/>
      <c r="AA75" s="1190"/>
      <c r="AB75" s="1274"/>
      <c r="AC75" s="1690"/>
      <c r="AD75" s="1691"/>
      <c r="AE75" s="881"/>
      <c r="AF75" s="892"/>
      <c r="AH75" s="1685"/>
      <c r="AI75" s="1685"/>
      <c r="AJ75" s="413"/>
      <c r="AK75" s="413"/>
      <c r="AL75" s="413"/>
      <c r="AM75" s="413"/>
      <c r="CM75" s="425"/>
    </row>
    <row r="76" spans="3:91" ht="16.05" customHeight="1" outlineLevel="1" x14ac:dyDescent="0.25">
      <c r="C76" s="1186"/>
      <c r="D76" s="1187"/>
      <c r="E76" s="1187" t="str">
        <f>IFERROR(_xlfn.XLOOKUP(D76,TADIndia,'Rates &amp; Drop Downs INT'!$CH$6:$CH$747),"")</f>
        <v/>
      </c>
      <c r="F76" s="1187"/>
      <c r="G76" s="1187" t="str">
        <f>IFERROR(_xlfn.XLOOKUP(F76,'Rates &amp; Drop Downs INT'!$CI$6:$CI$747,'Rates &amp; Drop Downs INT'!$CJ$6:$CJ$747),"")</f>
        <v/>
      </c>
      <c r="H76" s="1187" t="str">
        <f>_xlfn.XLOOKUP(F76,'Rates &amp; Drop Downs INT'!$DF$6:$DF$173,'Rates &amp; Drop Downs INT'!$DG$6:$DG$173,"")</f>
        <v/>
      </c>
      <c r="I76" s="1187"/>
      <c r="J76" s="1188">
        <f t="shared" si="1"/>
        <v>0</v>
      </c>
      <c r="K76" s="1682"/>
      <c r="L76" s="1683"/>
      <c r="M76" s="1684"/>
      <c r="N76" s="1190" cm="1">
        <f t="array" ref="N76">IF($E$20="Credera US",V76,SUMPRODUCT(('Rates &amp; Drop Downs INT'!$CG$6:$CG$747=$D76)*('Rates &amp; Drop Downs INT'!$CI$6:$CI$747=$F76)*('Rates &amp; Drop Downs INT'!$CK$6:$CK$747=$K76)*('Rates &amp; Drop Downs INT'!$CM$6:$CM$747)))</f>
        <v>0</v>
      </c>
      <c r="O76" s="1676" t="str" cm="1">
        <f t="array" ref="O76">IFERROR(IF(ISBLANK(C76),"",IF($E$20="Credera US",IF(C76&lt;&gt;"CrederaUS",INDEX('Rates &amp; Drop Downs INT'!$F$7:$F$431,MATCH(1,('Rates &amp; Drop Downs INT'!$B$7:$B$431='2. Roles &amp; Pricing'!C76)*('Rates &amp; Drop Downs INT'!$C$7:$C$431='2. Roles &amp; Pricing'!K76),0)),INDEX('Rates &amp; Drop Downs INT'!$F$7:$F$431,MATCH(1,('Rates &amp; Drop Downs INT'!$B$7:$B$431='2. Roles &amp; Pricing'!C76)*('Rates &amp; Drop Downs INT'!$J$7:$J$431=N76),0))),"")),"")</f>
        <v/>
      </c>
      <c r="P76" s="1677"/>
      <c r="Q76" s="1677"/>
      <c r="R76" s="1677"/>
      <c r="S76" s="1678"/>
      <c r="T76" s="1711"/>
      <c r="U76" s="1712"/>
      <c r="V76" s="1222" t="str">
        <f>IFERROR(IF(ISBLANK(K76)," ",_xlfn.XLOOKUP(K76,'Rates &amp; Drop Downs INT'!C:C,'Rates &amp; Drop Downs INT'!J:J)),N76)</f>
        <v xml:space="preserve"> </v>
      </c>
      <c r="W76" s="1203" t="str">
        <f t="shared" si="0"/>
        <v xml:space="preserve"> </v>
      </c>
      <c r="X76" s="1203"/>
      <c r="Y76" s="880" t="s">
        <v>2271</v>
      </c>
      <c r="Z76" s="1187"/>
      <c r="AA76" s="1190"/>
      <c r="AB76" s="1274"/>
      <c r="AC76" s="1690"/>
      <c r="AD76" s="1691"/>
      <c r="AE76" s="881"/>
      <c r="AF76" s="892"/>
      <c r="AH76" s="1685"/>
      <c r="AI76" s="1685"/>
      <c r="AJ76" s="413"/>
      <c r="AK76" s="413"/>
      <c r="AL76" s="413"/>
      <c r="AM76" s="413"/>
      <c r="CM76" s="425"/>
    </row>
    <row r="77" spans="3:91" ht="16.05" customHeight="1" outlineLevel="1" x14ac:dyDescent="0.25">
      <c r="C77" s="1186"/>
      <c r="D77" s="1187"/>
      <c r="E77" s="1187" t="str">
        <f>IFERROR(_xlfn.XLOOKUP(D77,TADIndia,'Rates &amp; Drop Downs INT'!$CH$6:$CH$747),"")</f>
        <v/>
      </c>
      <c r="F77" s="1187"/>
      <c r="G77" s="1187" t="str">
        <f>IFERROR(_xlfn.XLOOKUP(F77,'Rates &amp; Drop Downs INT'!$CI$6:$CI$747,'Rates &amp; Drop Downs INT'!$CJ$6:$CJ$747),"")</f>
        <v/>
      </c>
      <c r="H77" s="1187" t="str">
        <f>_xlfn.XLOOKUP(F77,'Rates &amp; Drop Downs INT'!$DF$6:$DF$173,'Rates &amp; Drop Downs INT'!$DG$6:$DG$173,"")</f>
        <v/>
      </c>
      <c r="I77" s="1187"/>
      <c r="J77" s="1188">
        <f t="shared" si="1"/>
        <v>0</v>
      </c>
      <c r="K77" s="1682"/>
      <c r="L77" s="1683"/>
      <c r="M77" s="1684"/>
      <c r="N77" s="1190" cm="1">
        <f t="array" ref="N77">IF($E$20="Credera US",V77,SUMPRODUCT(('Rates &amp; Drop Downs INT'!$CG$6:$CG$747=$D77)*('Rates &amp; Drop Downs INT'!$CI$6:$CI$747=$F77)*('Rates &amp; Drop Downs INT'!$CK$6:$CK$747=$K77)*('Rates &amp; Drop Downs INT'!$CM$6:$CM$747)))</f>
        <v>0</v>
      </c>
      <c r="O77" s="1676" t="str" cm="1">
        <f t="array" ref="O77">IFERROR(IF(ISBLANK(C77),"",IF($E$20="Credera US",IF(C77&lt;&gt;"CrederaUS",INDEX('Rates &amp; Drop Downs INT'!$F$7:$F$431,MATCH(1,('Rates &amp; Drop Downs INT'!$B$7:$B$431='2. Roles &amp; Pricing'!C77)*('Rates &amp; Drop Downs INT'!$C$7:$C$431='2. Roles &amp; Pricing'!K77),0)),INDEX('Rates &amp; Drop Downs INT'!$F$7:$F$431,MATCH(1,('Rates &amp; Drop Downs INT'!$B$7:$B$431='2. Roles &amp; Pricing'!C77)*('Rates &amp; Drop Downs INT'!$J$7:$J$431=N77),0))),"")),"")</f>
        <v/>
      </c>
      <c r="P77" s="1677"/>
      <c r="Q77" s="1677"/>
      <c r="R77" s="1677"/>
      <c r="S77" s="1678"/>
      <c r="T77" s="1711"/>
      <c r="U77" s="1712"/>
      <c r="V77" s="1222" t="str">
        <f>IFERROR(IF(ISBLANK(K77)," ",_xlfn.XLOOKUP(K77,'Rates &amp; Drop Downs INT'!C:C,'Rates &amp; Drop Downs INT'!J:J)),N77)</f>
        <v xml:space="preserve"> </v>
      </c>
      <c r="W77" s="1203" t="str">
        <f t="shared" si="0"/>
        <v xml:space="preserve"> </v>
      </c>
      <c r="X77" s="1203"/>
      <c r="Y77" s="880" t="s">
        <v>2271</v>
      </c>
      <c r="Z77" s="1187"/>
      <c r="AA77" s="1190"/>
      <c r="AB77" s="1274"/>
      <c r="AC77" s="1690"/>
      <c r="AD77" s="1691"/>
      <c r="AE77" s="881"/>
      <c r="AF77" s="892"/>
      <c r="AH77" s="1685"/>
      <c r="AI77" s="1685"/>
      <c r="AJ77" s="413"/>
      <c r="AK77" s="413"/>
      <c r="AL77" s="413"/>
      <c r="AM77" s="413"/>
      <c r="CM77" s="425"/>
    </row>
    <row r="78" spans="3:91" ht="16.05" customHeight="1" outlineLevel="1" x14ac:dyDescent="0.25">
      <c r="C78" s="1186"/>
      <c r="D78" s="1187"/>
      <c r="E78" s="1187" t="str">
        <f>IFERROR(_xlfn.XLOOKUP(D78,TADIndia,'Rates &amp; Drop Downs INT'!$CH$6:$CH$747),"")</f>
        <v/>
      </c>
      <c r="F78" s="1187"/>
      <c r="G78" s="1187" t="str">
        <f>IFERROR(_xlfn.XLOOKUP(F78,'Rates &amp; Drop Downs INT'!$CI$6:$CI$747,'Rates &amp; Drop Downs INT'!$CJ$6:$CJ$747),"")</f>
        <v/>
      </c>
      <c r="H78" s="1187" t="str">
        <f>_xlfn.XLOOKUP(F78,'Rates &amp; Drop Downs INT'!$DF$6:$DF$173,'Rates &amp; Drop Downs INT'!$DG$6:$DG$173,"")</f>
        <v/>
      </c>
      <c r="I78" s="1187"/>
      <c r="J78" s="1188">
        <f t="shared" si="1"/>
        <v>0</v>
      </c>
      <c r="K78" s="1682"/>
      <c r="L78" s="1683"/>
      <c r="M78" s="1684"/>
      <c r="N78" s="1190" cm="1">
        <f t="array" ref="N78">IF($E$20="Credera US",V78,SUMPRODUCT(('Rates &amp; Drop Downs INT'!$CG$6:$CG$747=$D78)*('Rates &amp; Drop Downs INT'!$CI$6:$CI$747=$F78)*('Rates &amp; Drop Downs INT'!$CK$6:$CK$747=$K78)*('Rates &amp; Drop Downs INT'!$CM$6:$CM$747)))</f>
        <v>0</v>
      </c>
      <c r="O78" s="1676" t="str" cm="1">
        <f t="array" ref="O78">IFERROR(IF(ISBLANK(C78),"",IF($E$20="Credera US",IF(C78&lt;&gt;"CrederaUS",INDEX('Rates &amp; Drop Downs INT'!$F$7:$F$431,MATCH(1,('Rates &amp; Drop Downs INT'!$B$7:$B$431='2. Roles &amp; Pricing'!C78)*('Rates &amp; Drop Downs INT'!$C$7:$C$431='2. Roles &amp; Pricing'!K78),0)),INDEX('Rates &amp; Drop Downs INT'!$F$7:$F$431,MATCH(1,('Rates &amp; Drop Downs INT'!$B$7:$B$431='2. Roles &amp; Pricing'!C78)*('Rates &amp; Drop Downs INT'!$J$7:$J$431=N78),0))),"")),"")</f>
        <v/>
      </c>
      <c r="P78" s="1677"/>
      <c r="Q78" s="1677"/>
      <c r="R78" s="1677"/>
      <c r="S78" s="1678"/>
      <c r="T78" s="1711"/>
      <c r="U78" s="1712"/>
      <c r="V78" s="1222" t="str">
        <f>IFERROR(IF(ISBLANK(K78)," ",_xlfn.XLOOKUP(K78,'Rates &amp; Drop Downs INT'!C:C,'Rates &amp; Drop Downs INT'!J:J)),N78)</f>
        <v xml:space="preserve"> </v>
      </c>
      <c r="W78" s="1203" t="str">
        <f t="shared" si="0"/>
        <v xml:space="preserve"> </v>
      </c>
      <c r="X78" s="1203"/>
      <c r="Y78" s="880" t="s">
        <v>2271</v>
      </c>
      <c r="Z78" s="1187"/>
      <c r="AA78" s="1190"/>
      <c r="AB78" s="1274"/>
      <c r="AC78" s="1690"/>
      <c r="AD78" s="1691"/>
      <c r="AE78" s="881"/>
      <c r="AF78" s="892"/>
      <c r="AH78" s="1685"/>
      <c r="AI78" s="1685"/>
      <c r="AJ78" s="413"/>
      <c r="AK78" s="413"/>
      <c r="AL78" s="413"/>
      <c r="AM78" s="413"/>
      <c r="CM78" s="425"/>
    </row>
    <row r="79" spans="3:91" ht="16.05" customHeight="1" outlineLevel="1" x14ac:dyDescent="0.25">
      <c r="C79" s="1186"/>
      <c r="D79" s="1187"/>
      <c r="E79" s="1187" t="str">
        <f>IFERROR(_xlfn.XLOOKUP(D79,TADIndia,'Rates &amp; Drop Downs INT'!$CH$6:$CH$747),"")</f>
        <v/>
      </c>
      <c r="F79" s="1187"/>
      <c r="G79" s="1187" t="str">
        <f>IFERROR(_xlfn.XLOOKUP(F79,'Rates &amp; Drop Downs INT'!$CI$6:$CI$747,'Rates &amp; Drop Downs INT'!$CJ$6:$CJ$747),"")</f>
        <v/>
      </c>
      <c r="H79" s="1187" t="str">
        <f>_xlfn.XLOOKUP(F79,'Rates &amp; Drop Downs INT'!$DF$6:$DF$173,'Rates &amp; Drop Downs INT'!$DG$6:$DG$173,"")</f>
        <v/>
      </c>
      <c r="I79" s="1187"/>
      <c r="J79" s="1188">
        <f t="shared" si="1"/>
        <v>0</v>
      </c>
      <c r="K79" s="1682"/>
      <c r="L79" s="1683"/>
      <c r="M79" s="1684"/>
      <c r="N79" s="1190" cm="1">
        <f t="array" ref="N79">IF($E$20="Credera US",V79,SUMPRODUCT(('Rates &amp; Drop Downs INT'!$CG$6:$CG$747=$D79)*('Rates &amp; Drop Downs INT'!$CI$6:$CI$747=$F79)*('Rates &amp; Drop Downs INT'!$CK$6:$CK$747=$K79)*('Rates &amp; Drop Downs INT'!$CM$6:$CM$747)))</f>
        <v>0</v>
      </c>
      <c r="O79" s="1676" t="str" cm="1">
        <f t="array" ref="O79">IFERROR(IF(ISBLANK(C79),"",IF($E$20="Credera US",IF(C79&lt;&gt;"CrederaUS",INDEX('Rates &amp; Drop Downs INT'!$F$7:$F$431,MATCH(1,('Rates &amp; Drop Downs INT'!$B$7:$B$431='2. Roles &amp; Pricing'!C79)*('Rates &amp; Drop Downs INT'!$C$7:$C$431='2. Roles &amp; Pricing'!K79),0)),INDEX('Rates &amp; Drop Downs INT'!$F$7:$F$431,MATCH(1,('Rates &amp; Drop Downs INT'!$B$7:$B$431='2. Roles &amp; Pricing'!C79)*('Rates &amp; Drop Downs INT'!$J$7:$J$431=N79),0))),"")),"")</f>
        <v/>
      </c>
      <c r="P79" s="1677"/>
      <c r="Q79" s="1677"/>
      <c r="R79" s="1677"/>
      <c r="S79" s="1678"/>
      <c r="T79" s="1711"/>
      <c r="U79" s="1712"/>
      <c r="V79" s="1222" t="str">
        <f>IFERROR(IF(ISBLANK(K79)," ",_xlfn.XLOOKUP(K79,'Rates &amp; Drop Downs INT'!C:C,'Rates &amp; Drop Downs INT'!J:J)),N79)</f>
        <v xml:space="preserve"> </v>
      </c>
      <c r="W79" s="1203" t="str">
        <f t="shared" si="0"/>
        <v xml:space="preserve"> </v>
      </c>
      <c r="X79" s="1203"/>
      <c r="Y79" s="880" t="s">
        <v>2271</v>
      </c>
      <c r="Z79" s="1187"/>
      <c r="AA79" s="1190"/>
      <c r="AB79" s="1274"/>
      <c r="AC79" s="1690"/>
      <c r="AD79" s="1691"/>
      <c r="AE79" s="881"/>
      <c r="AF79" s="892"/>
      <c r="AH79" s="1685"/>
      <c r="AI79" s="1685"/>
      <c r="AJ79" s="413"/>
      <c r="AK79" s="413"/>
      <c r="AL79" s="413"/>
      <c r="AM79" s="413"/>
      <c r="CM79" s="425"/>
    </row>
    <row r="80" spans="3:91" ht="16.05" customHeight="1" outlineLevel="1" x14ac:dyDescent="0.25">
      <c r="C80" s="1186"/>
      <c r="D80" s="1187"/>
      <c r="E80" s="1187" t="str">
        <f>IFERROR(_xlfn.XLOOKUP(D80,TADIndia,'Rates &amp; Drop Downs INT'!$CH$6:$CH$747),"")</f>
        <v/>
      </c>
      <c r="F80" s="1187"/>
      <c r="G80" s="1187" t="str">
        <f>IFERROR(_xlfn.XLOOKUP(F80,'Rates &amp; Drop Downs INT'!$CI$6:$CI$747,'Rates &amp; Drop Downs INT'!$CJ$6:$CJ$747),"")</f>
        <v/>
      </c>
      <c r="H80" s="1187" t="str">
        <f>_xlfn.XLOOKUP(F80,'Rates &amp; Drop Downs INT'!$DF$6:$DF$173,'Rates &amp; Drop Downs INT'!$DG$6:$DG$173,"")</f>
        <v/>
      </c>
      <c r="I80" s="1187"/>
      <c r="J80" s="1188">
        <f t="shared" si="1"/>
        <v>0</v>
      </c>
      <c r="K80" s="1682"/>
      <c r="L80" s="1683"/>
      <c r="M80" s="1684"/>
      <c r="N80" s="1190" cm="1">
        <f t="array" ref="N80">IF($E$20="Credera US",V80,SUMPRODUCT(('Rates &amp; Drop Downs INT'!$CG$6:$CG$747=$D80)*('Rates &amp; Drop Downs INT'!$CI$6:$CI$747=$F80)*('Rates &amp; Drop Downs INT'!$CK$6:$CK$747=$K80)*('Rates &amp; Drop Downs INT'!$CM$6:$CM$747)))</f>
        <v>0</v>
      </c>
      <c r="O80" s="1676" t="str" cm="1">
        <f t="array" ref="O80">IFERROR(IF(ISBLANK(C80),"",IF($E$20="Credera US",IF(C80&lt;&gt;"CrederaUS",INDEX('Rates &amp; Drop Downs INT'!$F$7:$F$431,MATCH(1,('Rates &amp; Drop Downs INT'!$B$7:$B$431='2. Roles &amp; Pricing'!C80)*('Rates &amp; Drop Downs INT'!$C$7:$C$431='2. Roles &amp; Pricing'!K80),0)),INDEX('Rates &amp; Drop Downs INT'!$F$7:$F$431,MATCH(1,('Rates &amp; Drop Downs INT'!$B$7:$B$431='2. Roles &amp; Pricing'!C80)*('Rates &amp; Drop Downs INT'!$J$7:$J$431=N80),0))),"")),"")</f>
        <v/>
      </c>
      <c r="P80" s="1677"/>
      <c r="Q80" s="1677"/>
      <c r="R80" s="1677"/>
      <c r="S80" s="1678"/>
      <c r="T80" s="1711"/>
      <c r="U80" s="1712"/>
      <c r="V80" s="1222" t="str">
        <f>IFERROR(IF(ISBLANK(K80)," ",_xlfn.XLOOKUP(K80,'Rates &amp; Drop Downs INT'!C:C,'Rates &amp; Drop Downs INT'!J:J)),N80)</f>
        <v xml:space="preserve"> </v>
      </c>
      <c r="W80" s="1203" t="str">
        <f t="shared" si="0"/>
        <v xml:space="preserve"> </v>
      </c>
      <c r="X80" s="1203"/>
      <c r="Y80" s="880" t="s">
        <v>2271</v>
      </c>
      <c r="Z80" s="1187"/>
      <c r="AA80" s="1190"/>
      <c r="AB80" s="1274"/>
      <c r="AC80" s="1690"/>
      <c r="AD80" s="1691"/>
      <c r="AE80" s="881"/>
      <c r="AF80" s="892"/>
      <c r="AH80" s="1685"/>
      <c r="AI80" s="1685"/>
      <c r="AJ80" s="413"/>
      <c r="AK80" s="413"/>
      <c r="AL80" s="413"/>
      <c r="AM80" s="413"/>
      <c r="CM80" s="425"/>
    </row>
    <row r="81" spans="3:91" ht="16.05" customHeight="1" outlineLevel="1" x14ac:dyDescent="0.25">
      <c r="C81" s="1186"/>
      <c r="D81" s="1187"/>
      <c r="E81" s="1187" t="str">
        <f>IFERROR(_xlfn.XLOOKUP(D81,TADIndia,'Rates &amp; Drop Downs INT'!$CH$6:$CH$747),"")</f>
        <v/>
      </c>
      <c r="F81" s="1187"/>
      <c r="G81" s="1187" t="str">
        <f>IFERROR(_xlfn.XLOOKUP(F81,'Rates &amp; Drop Downs INT'!$CI$6:$CI$747,'Rates &amp; Drop Downs INT'!$CJ$6:$CJ$747),"")</f>
        <v/>
      </c>
      <c r="H81" s="1187" t="str">
        <f>_xlfn.XLOOKUP(F81,'Rates &amp; Drop Downs INT'!$DF$6:$DF$173,'Rates &amp; Drop Downs INT'!$DG$6:$DG$173,"")</f>
        <v/>
      </c>
      <c r="I81" s="1187"/>
      <c r="J81" s="1188">
        <f t="shared" si="1"/>
        <v>0</v>
      </c>
      <c r="K81" s="1682"/>
      <c r="L81" s="1683"/>
      <c r="M81" s="1684"/>
      <c r="N81" s="1190" cm="1">
        <f t="array" ref="N81">IF($E$20="Credera US",V81,SUMPRODUCT(('Rates &amp; Drop Downs INT'!$CG$6:$CG$747=$D81)*('Rates &amp; Drop Downs INT'!$CI$6:$CI$747=$F81)*('Rates &amp; Drop Downs INT'!$CK$6:$CK$747=$K81)*('Rates &amp; Drop Downs INT'!$CM$6:$CM$747)))</f>
        <v>0</v>
      </c>
      <c r="O81" s="1676" t="str" cm="1">
        <f t="array" ref="O81">IFERROR(IF(ISBLANK(C81),"",IF($E$20="Credera US",IF(C81&lt;&gt;"CrederaUS",INDEX('Rates &amp; Drop Downs INT'!$F$7:$F$431,MATCH(1,('Rates &amp; Drop Downs INT'!$B$7:$B$431='2. Roles &amp; Pricing'!C81)*('Rates &amp; Drop Downs INT'!$C$7:$C$431='2. Roles &amp; Pricing'!K81),0)),INDEX('Rates &amp; Drop Downs INT'!$F$7:$F$431,MATCH(1,('Rates &amp; Drop Downs INT'!$B$7:$B$431='2. Roles &amp; Pricing'!C81)*('Rates &amp; Drop Downs INT'!$J$7:$J$431=N81),0))),"")),"")</f>
        <v/>
      </c>
      <c r="P81" s="1677"/>
      <c r="Q81" s="1677"/>
      <c r="R81" s="1677"/>
      <c r="S81" s="1678"/>
      <c r="T81" s="1711"/>
      <c r="U81" s="1712"/>
      <c r="V81" s="1222" t="str">
        <f>IFERROR(IF(ISBLANK(K81)," ",_xlfn.XLOOKUP(K81,'Rates &amp; Drop Downs INT'!C:C,'Rates &amp; Drop Downs INT'!J:J)),N81)</f>
        <v xml:space="preserve"> </v>
      </c>
      <c r="W81" s="1203" t="str">
        <f t="shared" si="0"/>
        <v xml:space="preserve"> </v>
      </c>
      <c r="X81" s="1203"/>
      <c r="Y81" s="880" t="s">
        <v>2271</v>
      </c>
      <c r="Z81" s="1187"/>
      <c r="AA81" s="1190"/>
      <c r="AB81" s="1274"/>
      <c r="AC81" s="1690"/>
      <c r="AD81" s="1691"/>
      <c r="AE81" s="881"/>
      <c r="AF81" s="892"/>
      <c r="AH81" s="1685"/>
      <c r="AI81" s="1685"/>
      <c r="AJ81" s="413"/>
      <c r="AK81" s="413"/>
      <c r="AL81" s="413"/>
      <c r="AM81" s="413"/>
      <c r="CM81" s="425"/>
    </row>
    <row r="82" spans="3:91" ht="16.05" customHeight="1" outlineLevel="1" x14ac:dyDescent="0.25">
      <c r="C82" s="1186"/>
      <c r="D82" s="1187"/>
      <c r="E82" s="1187" t="str">
        <f>IFERROR(_xlfn.XLOOKUP(D82,TADIndia,'Rates &amp; Drop Downs INT'!$CH$6:$CH$747),"")</f>
        <v/>
      </c>
      <c r="F82" s="1187"/>
      <c r="G82" s="1187" t="str">
        <f>IFERROR(_xlfn.XLOOKUP(F82,'Rates &amp; Drop Downs INT'!$CI$6:$CI$747,'Rates &amp; Drop Downs INT'!$CJ$6:$CJ$747),"")</f>
        <v/>
      </c>
      <c r="H82" s="1187" t="str">
        <f>_xlfn.XLOOKUP(F82,'Rates &amp; Drop Downs INT'!$DF$6:$DF$173,'Rates &amp; Drop Downs INT'!$DG$6:$DG$173,"")</f>
        <v/>
      </c>
      <c r="I82" s="1187"/>
      <c r="J82" s="1188">
        <f t="shared" si="1"/>
        <v>0</v>
      </c>
      <c r="K82" s="1682"/>
      <c r="L82" s="1683"/>
      <c r="M82" s="1684"/>
      <c r="N82" s="1190" cm="1">
        <f t="array" ref="N82">IF($E$20="Credera US",V82,SUMPRODUCT(('Rates &amp; Drop Downs INT'!$CG$6:$CG$747=$D82)*('Rates &amp; Drop Downs INT'!$CI$6:$CI$747=$F82)*('Rates &amp; Drop Downs INT'!$CK$6:$CK$747=$K82)*('Rates &amp; Drop Downs INT'!$CM$6:$CM$747)))</f>
        <v>0</v>
      </c>
      <c r="O82" s="1676" t="str" cm="1">
        <f t="array" ref="O82">IFERROR(IF(ISBLANK(C82),"",IF($E$20="Credera US",IF(C82&lt;&gt;"CrederaUS",INDEX('Rates &amp; Drop Downs INT'!$F$7:$F$431,MATCH(1,('Rates &amp; Drop Downs INT'!$B$7:$B$431='2. Roles &amp; Pricing'!C82)*('Rates &amp; Drop Downs INT'!$C$7:$C$431='2. Roles &amp; Pricing'!K82),0)),INDEX('Rates &amp; Drop Downs INT'!$F$7:$F$431,MATCH(1,('Rates &amp; Drop Downs INT'!$B$7:$B$431='2. Roles &amp; Pricing'!C82)*('Rates &amp; Drop Downs INT'!$J$7:$J$431=N82),0))),"")),"")</f>
        <v/>
      </c>
      <c r="P82" s="1677"/>
      <c r="Q82" s="1677"/>
      <c r="R82" s="1677"/>
      <c r="S82" s="1678"/>
      <c r="T82" s="1711"/>
      <c r="U82" s="1712"/>
      <c r="V82" s="1222" t="str">
        <f>IFERROR(IF(ISBLANK(K82)," ",_xlfn.XLOOKUP(K82,'Rates &amp; Drop Downs INT'!C:C,'Rates &amp; Drop Downs INT'!J:J)),N82)</f>
        <v xml:space="preserve"> </v>
      </c>
      <c r="W82" s="1203" t="str">
        <f t="shared" si="0"/>
        <v xml:space="preserve"> </v>
      </c>
      <c r="X82" s="1203"/>
      <c r="Y82" s="880" t="s">
        <v>2271</v>
      </c>
      <c r="Z82" s="1187"/>
      <c r="AA82" s="1190"/>
      <c r="AB82" s="1274"/>
      <c r="AC82" s="1690"/>
      <c r="AD82" s="1691"/>
      <c r="AE82" s="881"/>
      <c r="AF82" s="892"/>
      <c r="AH82" s="1685"/>
      <c r="AI82" s="1685"/>
      <c r="AJ82" s="413"/>
      <c r="AK82" s="413"/>
      <c r="AL82" s="413"/>
      <c r="AM82" s="413"/>
      <c r="CM82" s="425"/>
    </row>
    <row r="83" spans="3:91" ht="16.05" customHeight="1" outlineLevel="1" x14ac:dyDescent="0.25">
      <c r="C83" s="1186"/>
      <c r="D83" s="1187"/>
      <c r="E83" s="1187" t="str">
        <f>IFERROR(_xlfn.XLOOKUP(D83,TADIndia,'Rates &amp; Drop Downs INT'!$CH$6:$CH$747),"")</f>
        <v/>
      </c>
      <c r="F83" s="1187"/>
      <c r="G83" s="1187" t="str">
        <f>IFERROR(_xlfn.XLOOKUP(F83,'Rates &amp; Drop Downs INT'!$CI$6:$CI$747,'Rates &amp; Drop Downs INT'!$CJ$6:$CJ$747),"")</f>
        <v/>
      </c>
      <c r="H83" s="1187" t="str">
        <f>_xlfn.XLOOKUP(F83,'Rates &amp; Drop Downs INT'!$DF$6:$DF$173,'Rates &amp; Drop Downs INT'!$DG$6:$DG$173,"")</f>
        <v/>
      </c>
      <c r="I83" s="1187"/>
      <c r="J83" s="1188">
        <f t="shared" si="1"/>
        <v>0</v>
      </c>
      <c r="K83" s="1682"/>
      <c r="L83" s="1683"/>
      <c r="M83" s="1684"/>
      <c r="N83" s="1190" cm="1">
        <f t="array" ref="N83">IF($E$20="Credera US",V83,SUMPRODUCT(('Rates &amp; Drop Downs INT'!$CG$6:$CG$747=$D83)*('Rates &amp; Drop Downs INT'!$CI$6:$CI$747=$F83)*('Rates &amp; Drop Downs INT'!$CK$6:$CK$747=$K83)*('Rates &amp; Drop Downs INT'!$CM$6:$CM$747)))</f>
        <v>0</v>
      </c>
      <c r="O83" s="1676" t="str" cm="1">
        <f t="array" ref="O83">IFERROR(IF(ISBLANK(C83),"",IF($E$20="Credera US",IF(C83&lt;&gt;"CrederaUS",INDEX('Rates &amp; Drop Downs INT'!$F$7:$F$431,MATCH(1,('Rates &amp; Drop Downs INT'!$B$7:$B$431='2. Roles &amp; Pricing'!C83)*('Rates &amp; Drop Downs INT'!$C$7:$C$431='2. Roles &amp; Pricing'!K83),0)),INDEX('Rates &amp; Drop Downs INT'!$F$7:$F$431,MATCH(1,('Rates &amp; Drop Downs INT'!$B$7:$B$431='2. Roles &amp; Pricing'!C83)*('Rates &amp; Drop Downs INT'!$J$7:$J$431=N83),0))),"")),"")</f>
        <v/>
      </c>
      <c r="P83" s="1677"/>
      <c r="Q83" s="1677"/>
      <c r="R83" s="1677"/>
      <c r="S83" s="1678"/>
      <c r="T83" s="1711"/>
      <c r="U83" s="1712"/>
      <c r="V83" s="1222" t="str">
        <f>IFERROR(IF(ISBLANK(K83)," ",_xlfn.XLOOKUP(K83,'Rates &amp; Drop Downs INT'!C:C,'Rates &amp; Drop Downs INT'!J:J)),N83)</f>
        <v xml:space="preserve"> </v>
      </c>
      <c r="W83" s="1203" t="str">
        <f t="shared" si="0"/>
        <v xml:space="preserve"> </v>
      </c>
      <c r="X83" s="1203"/>
      <c r="Y83" s="880" t="s">
        <v>2271</v>
      </c>
      <c r="Z83" s="1187"/>
      <c r="AA83" s="1190"/>
      <c r="AB83" s="1274"/>
      <c r="AC83" s="1690"/>
      <c r="AD83" s="1691"/>
      <c r="AE83" s="881"/>
      <c r="AF83" s="892"/>
      <c r="AH83" s="1685"/>
      <c r="AI83" s="1685"/>
      <c r="AJ83" s="413"/>
      <c r="AK83" s="413"/>
      <c r="AL83" s="413"/>
      <c r="AM83" s="413"/>
      <c r="CM83" s="425"/>
    </row>
    <row r="84" spans="3:91" ht="16.05" customHeight="1" outlineLevel="1" x14ac:dyDescent="0.25">
      <c r="C84" s="1186"/>
      <c r="D84" s="1187"/>
      <c r="E84" s="1187" t="str">
        <f>IFERROR(_xlfn.XLOOKUP(D84,TADIndia,'Rates &amp; Drop Downs INT'!$CH$6:$CH$747),"")</f>
        <v/>
      </c>
      <c r="F84" s="1187"/>
      <c r="G84" s="1187" t="str">
        <f>IFERROR(_xlfn.XLOOKUP(F84,'Rates &amp; Drop Downs INT'!$CI$6:$CI$747,'Rates &amp; Drop Downs INT'!$CJ$6:$CJ$747),"")</f>
        <v/>
      </c>
      <c r="H84" s="1187" t="str">
        <f>_xlfn.XLOOKUP(F84,'Rates &amp; Drop Downs INT'!$DF$6:$DF$173,'Rates &amp; Drop Downs INT'!$DG$6:$DG$173,"")</f>
        <v/>
      </c>
      <c r="I84" s="1187"/>
      <c r="J84" s="1188">
        <f t="shared" si="1"/>
        <v>0</v>
      </c>
      <c r="K84" s="1682"/>
      <c r="L84" s="1683"/>
      <c r="M84" s="1684"/>
      <c r="N84" s="1190" cm="1">
        <f t="array" ref="N84">IF($E$20="Credera US",V84,SUMPRODUCT(('Rates &amp; Drop Downs INT'!$CG$6:$CG$747=$D84)*('Rates &amp; Drop Downs INT'!$CI$6:$CI$747=$F84)*('Rates &amp; Drop Downs INT'!$CK$6:$CK$747=$K84)*('Rates &amp; Drop Downs INT'!$CM$6:$CM$747)))</f>
        <v>0</v>
      </c>
      <c r="O84" s="1676" t="str" cm="1">
        <f t="array" ref="O84">IFERROR(IF(ISBLANK(C84),"",IF($E$20="Credera US",IF(C84&lt;&gt;"CrederaUS",INDEX('Rates &amp; Drop Downs INT'!$F$7:$F$431,MATCH(1,('Rates &amp; Drop Downs INT'!$B$7:$B$431='2. Roles &amp; Pricing'!C84)*('Rates &amp; Drop Downs INT'!$C$7:$C$431='2. Roles &amp; Pricing'!K84),0)),INDEX('Rates &amp; Drop Downs INT'!$F$7:$F$431,MATCH(1,('Rates &amp; Drop Downs INT'!$B$7:$B$431='2. Roles &amp; Pricing'!C84)*('Rates &amp; Drop Downs INT'!$J$7:$J$431=N84),0))),"")),"")</f>
        <v/>
      </c>
      <c r="P84" s="1677"/>
      <c r="Q84" s="1677"/>
      <c r="R84" s="1677"/>
      <c r="S84" s="1678"/>
      <c r="T84" s="1711"/>
      <c r="U84" s="1712"/>
      <c r="V84" s="1222" t="str">
        <f>IFERROR(IF(ISBLANK(K84)," ",_xlfn.XLOOKUP(K84,'Rates &amp; Drop Downs INT'!C:C,'Rates &amp; Drop Downs INT'!J:J)),N84)</f>
        <v xml:space="preserve"> </v>
      </c>
      <c r="W84" s="1203" t="str">
        <f t="shared" si="0"/>
        <v xml:space="preserve"> </v>
      </c>
      <c r="X84" s="1203"/>
      <c r="Y84" s="880" t="s">
        <v>2271</v>
      </c>
      <c r="Z84" s="1187"/>
      <c r="AA84" s="1190"/>
      <c r="AB84" s="1274"/>
      <c r="AC84" s="1690"/>
      <c r="AD84" s="1691"/>
      <c r="AE84" s="881"/>
      <c r="AF84" s="892"/>
      <c r="AH84" s="1685"/>
      <c r="AI84" s="1685"/>
      <c r="AJ84" s="413"/>
      <c r="AK84" s="413"/>
      <c r="AL84" s="413"/>
      <c r="AM84" s="413"/>
      <c r="CM84" s="425"/>
    </row>
    <row r="85" spans="3:91" ht="16.05" customHeight="1" outlineLevel="1" x14ac:dyDescent="0.25">
      <c r="C85" s="1186"/>
      <c r="D85" s="1187"/>
      <c r="E85" s="1187" t="str">
        <f>IFERROR(_xlfn.XLOOKUP(D85,TADIndia,'Rates &amp; Drop Downs INT'!$CH$6:$CH$747),"")</f>
        <v/>
      </c>
      <c r="F85" s="1187"/>
      <c r="G85" s="1187" t="str">
        <f>IFERROR(_xlfn.XLOOKUP(F85,'Rates &amp; Drop Downs INT'!$CI$6:$CI$747,'Rates &amp; Drop Downs INT'!$CJ$6:$CJ$747),"")</f>
        <v/>
      </c>
      <c r="H85" s="1187" t="str">
        <f>_xlfn.XLOOKUP(F85,'Rates &amp; Drop Downs INT'!$DF$6:$DF$173,'Rates &amp; Drop Downs INT'!$DG$6:$DG$173,"")</f>
        <v/>
      </c>
      <c r="I85" s="1187"/>
      <c r="J85" s="1188">
        <f t="shared" si="1"/>
        <v>0</v>
      </c>
      <c r="K85" s="1682"/>
      <c r="L85" s="1683"/>
      <c r="M85" s="1684"/>
      <c r="N85" s="1190" cm="1">
        <f t="array" ref="N85">IF($E$20="Credera US",V85,SUMPRODUCT(('Rates &amp; Drop Downs INT'!$CG$6:$CG$747=$D85)*('Rates &amp; Drop Downs INT'!$CI$6:$CI$747=$F85)*('Rates &amp; Drop Downs INT'!$CK$6:$CK$747=$K85)*('Rates &amp; Drop Downs INT'!$CM$6:$CM$747)))</f>
        <v>0</v>
      </c>
      <c r="O85" s="1676" t="str" cm="1">
        <f t="array" ref="O85">IFERROR(IF(ISBLANK(C85),"",IF($E$20="Credera US",IF(C85&lt;&gt;"CrederaUS",INDEX('Rates &amp; Drop Downs INT'!$F$7:$F$431,MATCH(1,('Rates &amp; Drop Downs INT'!$B$7:$B$431='2. Roles &amp; Pricing'!C85)*('Rates &amp; Drop Downs INT'!$C$7:$C$431='2. Roles &amp; Pricing'!K85),0)),INDEX('Rates &amp; Drop Downs INT'!$F$7:$F$431,MATCH(1,('Rates &amp; Drop Downs INT'!$B$7:$B$431='2. Roles &amp; Pricing'!C85)*('Rates &amp; Drop Downs INT'!$J$7:$J$431=N85),0))),"")),"")</f>
        <v/>
      </c>
      <c r="P85" s="1677"/>
      <c r="Q85" s="1677"/>
      <c r="R85" s="1677"/>
      <c r="S85" s="1678"/>
      <c r="T85" s="1711"/>
      <c r="U85" s="1712"/>
      <c r="V85" s="1222" t="str">
        <f>IFERROR(IF(ISBLANK(K85)," ",_xlfn.XLOOKUP(K85,'Rates &amp; Drop Downs INT'!C:C,'Rates &amp; Drop Downs INT'!J:J)),N85)</f>
        <v xml:space="preserve"> </v>
      </c>
      <c r="W85" s="1203" t="str">
        <f t="shared" si="0"/>
        <v xml:space="preserve"> </v>
      </c>
      <c r="X85" s="1203"/>
      <c r="Y85" s="880" t="s">
        <v>2271</v>
      </c>
      <c r="Z85" s="1187"/>
      <c r="AA85" s="1190"/>
      <c r="AB85" s="1274"/>
      <c r="AC85" s="1690"/>
      <c r="AD85" s="1691"/>
      <c r="AE85" s="881"/>
      <c r="AF85" s="892"/>
      <c r="AH85" s="1685"/>
      <c r="AI85" s="1685"/>
      <c r="AJ85" s="413"/>
      <c r="AK85" s="413"/>
      <c r="AL85" s="413"/>
      <c r="AM85" s="413"/>
      <c r="CM85" s="425"/>
    </row>
    <row r="86" spans="3:91" ht="16.05" customHeight="1" outlineLevel="1" x14ac:dyDescent="0.25">
      <c r="C86" s="1186"/>
      <c r="D86" s="1187"/>
      <c r="E86" s="1187" t="str">
        <f>IFERROR(_xlfn.XLOOKUP(D86,TADIndia,'Rates &amp; Drop Downs INT'!$CH$6:$CH$747),"")</f>
        <v/>
      </c>
      <c r="F86" s="1187"/>
      <c r="G86" s="1187" t="str">
        <f>IFERROR(_xlfn.XLOOKUP(F86,'Rates &amp; Drop Downs INT'!$CI$6:$CI$747,'Rates &amp; Drop Downs INT'!$CJ$6:$CJ$747),"")</f>
        <v/>
      </c>
      <c r="H86" s="1187" t="str">
        <f>_xlfn.XLOOKUP(F86,'Rates &amp; Drop Downs INT'!$DF$6:$DF$173,'Rates &amp; Drop Downs INT'!$DG$6:$DG$173,"")</f>
        <v/>
      </c>
      <c r="I86" s="1187"/>
      <c r="J86" s="1188">
        <f t="shared" si="1"/>
        <v>0</v>
      </c>
      <c r="K86" s="1682"/>
      <c r="L86" s="1683"/>
      <c r="M86" s="1684"/>
      <c r="N86" s="1190" cm="1">
        <f t="array" ref="N86">IF($E$20="Credera US",V86,SUMPRODUCT(('Rates &amp; Drop Downs INT'!$CG$6:$CG$747=$D86)*('Rates &amp; Drop Downs INT'!$CI$6:$CI$747=$F86)*('Rates &amp; Drop Downs INT'!$CK$6:$CK$747=$K86)*('Rates &amp; Drop Downs INT'!$CM$6:$CM$747)))</f>
        <v>0</v>
      </c>
      <c r="O86" s="1676" t="str" cm="1">
        <f t="array" ref="O86">IFERROR(IF(ISBLANK(C86),"",IF($E$20="Credera US",IF(C86&lt;&gt;"CrederaUS",INDEX('Rates &amp; Drop Downs INT'!$F$7:$F$431,MATCH(1,('Rates &amp; Drop Downs INT'!$B$7:$B$431='2. Roles &amp; Pricing'!C86)*('Rates &amp; Drop Downs INT'!$C$7:$C$431='2. Roles &amp; Pricing'!K86),0)),INDEX('Rates &amp; Drop Downs INT'!$F$7:$F$431,MATCH(1,('Rates &amp; Drop Downs INT'!$B$7:$B$431='2. Roles &amp; Pricing'!C86)*('Rates &amp; Drop Downs INT'!$J$7:$J$431=N86),0))),"")),"")</f>
        <v/>
      </c>
      <c r="P86" s="1677"/>
      <c r="Q86" s="1677"/>
      <c r="R86" s="1677"/>
      <c r="S86" s="1678"/>
      <c r="T86" s="1711"/>
      <c r="U86" s="1712"/>
      <c r="V86" s="1222" t="str">
        <f>IFERROR(IF(ISBLANK(K86)," ",_xlfn.XLOOKUP(K86,'Rates &amp; Drop Downs INT'!C:C,'Rates &amp; Drop Downs INT'!J:J)),N86)</f>
        <v xml:space="preserve"> </v>
      </c>
      <c r="W86" s="1203" t="str">
        <f t="shared" si="0"/>
        <v xml:space="preserve"> </v>
      </c>
      <c r="X86" s="1203"/>
      <c r="Y86" s="880" t="s">
        <v>2271</v>
      </c>
      <c r="Z86" s="1187"/>
      <c r="AA86" s="1190"/>
      <c r="AB86" s="1274"/>
      <c r="AC86" s="1690"/>
      <c r="AD86" s="1691"/>
      <c r="AE86" s="881"/>
      <c r="AF86" s="892"/>
      <c r="AH86" s="1685"/>
      <c r="AI86" s="1685"/>
      <c r="AJ86" s="413"/>
      <c r="AK86" s="413"/>
      <c r="AL86" s="413"/>
      <c r="AM86" s="413"/>
      <c r="CM86" s="425"/>
    </row>
    <row r="87" spans="3:91" ht="16.05" customHeight="1" outlineLevel="1" x14ac:dyDescent="0.25">
      <c r="C87" s="1186"/>
      <c r="D87" s="1187"/>
      <c r="E87" s="1187" t="str">
        <f>IFERROR(_xlfn.XLOOKUP(D87,TADIndia,'Rates &amp; Drop Downs INT'!$CH$6:$CH$747),"")</f>
        <v/>
      </c>
      <c r="F87" s="1187"/>
      <c r="G87" s="1187" t="str">
        <f>IFERROR(_xlfn.XLOOKUP(F87,'Rates &amp; Drop Downs INT'!$CI$6:$CI$747,'Rates &amp; Drop Downs INT'!$CJ$6:$CJ$747),"")</f>
        <v/>
      </c>
      <c r="H87" s="1187" t="str">
        <f>_xlfn.XLOOKUP(F87,'Rates &amp; Drop Downs INT'!$DF$6:$DF$173,'Rates &amp; Drop Downs INT'!$DG$6:$DG$173,"")</f>
        <v/>
      </c>
      <c r="I87" s="1187"/>
      <c r="J87" s="1188">
        <f t="shared" si="1"/>
        <v>0</v>
      </c>
      <c r="K87" s="1682"/>
      <c r="L87" s="1683"/>
      <c r="M87" s="1684"/>
      <c r="N87" s="1190" cm="1">
        <f t="array" ref="N87">IF($E$20="Credera US",V87,SUMPRODUCT(('Rates &amp; Drop Downs INT'!$CG$6:$CG$747=$D87)*('Rates &amp; Drop Downs INT'!$CI$6:$CI$747=$F87)*('Rates &amp; Drop Downs INT'!$CK$6:$CK$747=$K87)*('Rates &amp; Drop Downs INT'!$CM$6:$CM$747)))</f>
        <v>0</v>
      </c>
      <c r="O87" s="1676" t="str" cm="1">
        <f t="array" ref="O87">IFERROR(IF(ISBLANK(C87),"",IF($E$20="Credera US",IF(C87&lt;&gt;"CrederaUS",INDEX('Rates &amp; Drop Downs INT'!$F$7:$F$431,MATCH(1,('Rates &amp; Drop Downs INT'!$B$7:$B$431='2. Roles &amp; Pricing'!C87)*('Rates &amp; Drop Downs INT'!$C$7:$C$431='2. Roles &amp; Pricing'!K87),0)),INDEX('Rates &amp; Drop Downs INT'!$F$7:$F$431,MATCH(1,('Rates &amp; Drop Downs INT'!$B$7:$B$431='2. Roles &amp; Pricing'!C87)*('Rates &amp; Drop Downs INT'!$J$7:$J$431=N87),0))),"")),"")</f>
        <v/>
      </c>
      <c r="P87" s="1677"/>
      <c r="Q87" s="1677"/>
      <c r="R87" s="1677"/>
      <c r="S87" s="1678"/>
      <c r="T87" s="1711"/>
      <c r="U87" s="1712"/>
      <c r="V87" s="1222" t="str">
        <f>IFERROR(IF(ISBLANK(K87)," ",_xlfn.XLOOKUP(K87,'Rates &amp; Drop Downs INT'!C:C,'Rates &amp; Drop Downs INT'!J:J)),N87)</f>
        <v xml:space="preserve"> </v>
      </c>
      <c r="W87" s="1203" t="str">
        <f t="shared" si="0"/>
        <v xml:space="preserve"> </v>
      </c>
      <c r="X87" s="1203"/>
      <c r="Y87" s="880" t="s">
        <v>2271</v>
      </c>
      <c r="Z87" s="1187"/>
      <c r="AA87" s="1190"/>
      <c r="AB87" s="1274"/>
      <c r="AC87" s="1690"/>
      <c r="AD87" s="1691"/>
      <c r="AE87" s="881"/>
      <c r="AF87" s="892"/>
      <c r="AH87" s="1685"/>
      <c r="AI87" s="1685"/>
      <c r="AJ87" s="413"/>
      <c r="AK87" s="413"/>
      <c r="AL87" s="413"/>
      <c r="AM87" s="413"/>
      <c r="CM87" s="425"/>
    </row>
    <row r="88" spans="3:91" ht="16.05" customHeight="1" outlineLevel="1" x14ac:dyDescent="0.25">
      <c r="C88" s="1186"/>
      <c r="D88" s="1187"/>
      <c r="E88" s="1187" t="str">
        <f>IFERROR(_xlfn.XLOOKUP(D88,TADIndia,'Rates &amp; Drop Downs INT'!$CH$6:$CH$747),"")</f>
        <v/>
      </c>
      <c r="F88" s="1187"/>
      <c r="G88" s="1187" t="str">
        <f>IFERROR(_xlfn.XLOOKUP(F88,'Rates &amp; Drop Downs INT'!$CI$6:$CI$747,'Rates &amp; Drop Downs INT'!$CJ$6:$CJ$747),"")</f>
        <v/>
      </c>
      <c r="H88" s="1187" t="str">
        <f>_xlfn.XLOOKUP(F88,'Rates &amp; Drop Downs INT'!$DF$6:$DF$173,'Rates &amp; Drop Downs INT'!$DG$6:$DG$173,"")</f>
        <v/>
      </c>
      <c r="I88" s="1187"/>
      <c r="J88" s="1188">
        <f t="shared" si="1"/>
        <v>0</v>
      </c>
      <c r="K88" s="1682"/>
      <c r="L88" s="1683"/>
      <c r="M88" s="1684"/>
      <c r="N88" s="1190" cm="1">
        <f t="array" ref="N88">IF($E$20="Credera US",V88,SUMPRODUCT(('Rates &amp; Drop Downs INT'!$CG$6:$CG$747=$D88)*('Rates &amp; Drop Downs INT'!$CI$6:$CI$747=$F88)*('Rates &amp; Drop Downs INT'!$CK$6:$CK$747=$K88)*('Rates &amp; Drop Downs INT'!$CM$6:$CM$747)))</f>
        <v>0</v>
      </c>
      <c r="O88" s="1676" t="str" cm="1">
        <f t="array" ref="O88">IFERROR(IF(ISBLANK(C88),"",IF($E$20="Credera US",IF(C88&lt;&gt;"CrederaUS",INDEX('Rates &amp; Drop Downs INT'!$F$7:$F$431,MATCH(1,('Rates &amp; Drop Downs INT'!$B$7:$B$431='2. Roles &amp; Pricing'!C88)*('Rates &amp; Drop Downs INT'!$C$7:$C$431='2. Roles &amp; Pricing'!K88),0)),INDEX('Rates &amp; Drop Downs INT'!$F$7:$F$431,MATCH(1,('Rates &amp; Drop Downs INT'!$B$7:$B$431='2. Roles &amp; Pricing'!C88)*('Rates &amp; Drop Downs INT'!$J$7:$J$431=N88),0))),"")),"")</f>
        <v/>
      </c>
      <c r="P88" s="1677"/>
      <c r="Q88" s="1677"/>
      <c r="R88" s="1677"/>
      <c r="S88" s="1678"/>
      <c r="T88" s="1711"/>
      <c r="U88" s="1712"/>
      <c r="V88" s="1222" t="str">
        <f>IFERROR(IF(ISBLANK(K88)," ",_xlfn.XLOOKUP(K88,'Rates &amp; Drop Downs INT'!C:C,'Rates &amp; Drop Downs INT'!J:J)),N88)</f>
        <v xml:space="preserve"> </v>
      </c>
      <c r="W88" s="1203" t="str">
        <f t="shared" si="0"/>
        <v xml:space="preserve"> </v>
      </c>
      <c r="X88" s="1203"/>
      <c r="Y88" s="880" t="s">
        <v>2271</v>
      </c>
      <c r="Z88" s="1187"/>
      <c r="AA88" s="1190"/>
      <c r="AB88" s="1274"/>
      <c r="AC88" s="1690"/>
      <c r="AD88" s="1691"/>
      <c r="AE88" s="881"/>
      <c r="AF88" s="892"/>
      <c r="AH88" s="1685"/>
      <c r="AI88" s="1685"/>
      <c r="AJ88" s="413"/>
      <c r="AK88" s="413"/>
      <c r="AL88" s="413"/>
      <c r="AM88" s="413"/>
      <c r="CM88" s="425"/>
    </row>
    <row r="89" spans="3:91" ht="16.05" customHeight="1" outlineLevel="1" x14ac:dyDescent="0.25">
      <c r="C89" s="1186"/>
      <c r="D89" s="1187"/>
      <c r="E89" s="1187" t="str">
        <f>IFERROR(_xlfn.XLOOKUP(D89,TADIndia,'Rates &amp; Drop Downs INT'!$CH$6:$CH$747),"")</f>
        <v/>
      </c>
      <c r="F89" s="1187"/>
      <c r="G89" s="1187" t="str">
        <f>IFERROR(_xlfn.XLOOKUP(F89,'Rates &amp; Drop Downs INT'!$CI$6:$CI$747,'Rates &amp; Drop Downs INT'!$CJ$6:$CJ$747),"")</f>
        <v/>
      </c>
      <c r="H89" s="1187" t="str">
        <f>_xlfn.XLOOKUP(F89,'Rates &amp; Drop Downs INT'!$DF$6:$DF$173,'Rates &amp; Drop Downs INT'!$DG$6:$DG$173,"")</f>
        <v/>
      </c>
      <c r="I89" s="1187"/>
      <c r="J89" s="1188">
        <f t="shared" si="1"/>
        <v>0</v>
      </c>
      <c r="K89" s="1682"/>
      <c r="L89" s="1683"/>
      <c r="M89" s="1684"/>
      <c r="N89" s="1190" cm="1">
        <f t="array" ref="N89">IF($E$20="Credera US",V89,SUMPRODUCT(('Rates &amp; Drop Downs INT'!$CG$6:$CG$747=$D89)*('Rates &amp; Drop Downs INT'!$CI$6:$CI$747=$F89)*('Rates &amp; Drop Downs INT'!$CK$6:$CK$747=$K89)*('Rates &amp; Drop Downs INT'!$CM$6:$CM$747)))</f>
        <v>0</v>
      </c>
      <c r="O89" s="1676" t="str" cm="1">
        <f t="array" ref="O89">IFERROR(IF(ISBLANK(C89),"",IF($E$20="Credera US",IF(C89&lt;&gt;"CrederaUS",INDEX('Rates &amp; Drop Downs INT'!$F$7:$F$431,MATCH(1,('Rates &amp; Drop Downs INT'!$B$7:$B$431='2. Roles &amp; Pricing'!C89)*('Rates &amp; Drop Downs INT'!$C$7:$C$431='2. Roles &amp; Pricing'!K89),0)),INDEX('Rates &amp; Drop Downs INT'!$F$7:$F$431,MATCH(1,('Rates &amp; Drop Downs INT'!$B$7:$B$431='2. Roles &amp; Pricing'!C89)*('Rates &amp; Drop Downs INT'!$J$7:$J$431=N89),0))),"")),"")</f>
        <v/>
      </c>
      <c r="P89" s="1677"/>
      <c r="Q89" s="1677"/>
      <c r="R89" s="1677"/>
      <c r="S89" s="1678"/>
      <c r="T89" s="1711"/>
      <c r="U89" s="1712"/>
      <c r="V89" s="1222" t="str">
        <f>IFERROR(IF(ISBLANK(K89)," ",_xlfn.XLOOKUP(K89,'Rates &amp; Drop Downs INT'!C:C,'Rates &amp; Drop Downs INT'!J:J)),N89)</f>
        <v xml:space="preserve"> </v>
      </c>
      <c r="W89" s="1203" t="str">
        <f t="shared" si="0"/>
        <v xml:space="preserve"> </v>
      </c>
      <c r="X89" s="1203"/>
      <c r="Y89" s="880" t="s">
        <v>2271</v>
      </c>
      <c r="Z89" s="1187"/>
      <c r="AA89" s="1190"/>
      <c r="AB89" s="1274"/>
      <c r="AC89" s="1690"/>
      <c r="AD89" s="1691"/>
      <c r="AE89" s="881"/>
      <c r="AF89" s="892"/>
      <c r="AH89" s="1685"/>
      <c r="AI89" s="1685"/>
      <c r="AJ89" s="413"/>
      <c r="AK89" s="413"/>
      <c r="AL89" s="413"/>
      <c r="AM89" s="413"/>
      <c r="CM89" s="425"/>
    </row>
    <row r="90" spans="3:91" ht="16.05" customHeight="1" outlineLevel="1" x14ac:dyDescent="0.25">
      <c r="C90" s="1186"/>
      <c r="D90" s="1187"/>
      <c r="E90" s="1187" t="str">
        <f>IFERROR(_xlfn.XLOOKUP(D90,TADIndia,'Rates &amp; Drop Downs INT'!$CH$6:$CH$747),"")</f>
        <v/>
      </c>
      <c r="F90" s="1187"/>
      <c r="G90" s="1187" t="str">
        <f>IFERROR(_xlfn.XLOOKUP(F90,'Rates &amp; Drop Downs INT'!$CI$6:$CI$747,'Rates &amp; Drop Downs INT'!$CJ$6:$CJ$747),"")</f>
        <v/>
      </c>
      <c r="H90" s="1187" t="str">
        <f>_xlfn.XLOOKUP(F90,'Rates &amp; Drop Downs INT'!$DF$6:$DF$173,'Rates &amp; Drop Downs INT'!$DG$6:$DG$173,"")</f>
        <v/>
      </c>
      <c r="I90" s="1187"/>
      <c r="J90" s="1188">
        <f t="shared" si="1"/>
        <v>0</v>
      </c>
      <c r="K90" s="1682"/>
      <c r="L90" s="1683"/>
      <c r="M90" s="1684"/>
      <c r="N90" s="1190" cm="1">
        <f t="array" ref="N90">IF($E$20="Credera US",V90,SUMPRODUCT(('Rates &amp; Drop Downs INT'!$CG$6:$CG$747=$D90)*('Rates &amp; Drop Downs INT'!$CI$6:$CI$747=$F90)*('Rates &amp; Drop Downs INT'!$CK$6:$CK$747=$K90)*('Rates &amp; Drop Downs INT'!$CM$6:$CM$747)))</f>
        <v>0</v>
      </c>
      <c r="O90" s="1676" t="str" cm="1">
        <f t="array" ref="O90">IFERROR(IF(ISBLANK(C90),"",IF($E$20="Credera US",IF(C90&lt;&gt;"CrederaUS",INDEX('Rates &amp; Drop Downs INT'!$F$7:$F$431,MATCH(1,('Rates &amp; Drop Downs INT'!$B$7:$B$431='2. Roles &amp; Pricing'!C90)*('Rates &amp; Drop Downs INT'!$C$7:$C$431='2. Roles &amp; Pricing'!K90),0)),INDEX('Rates &amp; Drop Downs INT'!$F$7:$F$431,MATCH(1,('Rates &amp; Drop Downs INT'!$B$7:$B$431='2. Roles &amp; Pricing'!C90)*('Rates &amp; Drop Downs INT'!$J$7:$J$431=N90),0))),"")),"")</f>
        <v/>
      </c>
      <c r="P90" s="1677"/>
      <c r="Q90" s="1677"/>
      <c r="R90" s="1677"/>
      <c r="S90" s="1678"/>
      <c r="T90" s="1711"/>
      <c r="U90" s="1712"/>
      <c r="V90" s="1222" t="str">
        <f>IFERROR(IF(ISBLANK(K90)," ",_xlfn.XLOOKUP(K90,'Rates &amp; Drop Downs INT'!C:C,'Rates &amp; Drop Downs INT'!J:J)),N90)</f>
        <v xml:space="preserve"> </v>
      </c>
      <c r="W90" s="1203" t="str">
        <f t="shared" si="0"/>
        <v xml:space="preserve"> </v>
      </c>
      <c r="X90" s="1203"/>
      <c r="Y90" s="880" t="s">
        <v>2271</v>
      </c>
      <c r="Z90" s="1187"/>
      <c r="AA90" s="1190"/>
      <c r="AB90" s="1274"/>
      <c r="AC90" s="1690"/>
      <c r="AD90" s="1691"/>
      <c r="AE90" s="881"/>
      <c r="AF90" s="892"/>
      <c r="AH90" s="1685"/>
      <c r="AI90" s="1685"/>
      <c r="AJ90" s="413"/>
      <c r="AK90" s="413"/>
      <c r="AL90" s="413"/>
      <c r="AM90" s="413"/>
      <c r="CM90" s="425"/>
    </row>
    <row r="91" spans="3:91" ht="16.05" customHeight="1" outlineLevel="1" x14ac:dyDescent="0.25">
      <c r="C91" s="1186"/>
      <c r="D91" s="1187"/>
      <c r="E91" s="1187" t="str">
        <f>IFERROR(_xlfn.XLOOKUP(D91,TADIndia,'Rates &amp; Drop Downs INT'!$CH$6:$CH$747),"")</f>
        <v/>
      </c>
      <c r="F91" s="1187"/>
      <c r="G91" s="1187" t="str">
        <f>IFERROR(_xlfn.XLOOKUP(F91,'Rates &amp; Drop Downs INT'!$CI$6:$CI$747,'Rates &amp; Drop Downs INT'!$CJ$6:$CJ$747),"")</f>
        <v/>
      </c>
      <c r="H91" s="1187" t="str">
        <f>_xlfn.XLOOKUP(F91,'Rates &amp; Drop Downs INT'!$DF$6:$DF$173,'Rates &amp; Drop Downs INT'!$DG$6:$DG$173,"")</f>
        <v/>
      </c>
      <c r="I91" s="1187"/>
      <c r="J91" s="1188">
        <f t="shared" si="1"/>
        <v>0</v>
      </c>
      <c r="K91" s="1682"/>
      <c r="L91" s="1683"/>
      <c r="M91" s="1684"/>
      <c r="N91" s="1190" cm="1">
        <f t="array" ref="N91">IF($E$20="Credera US",V91,SUMPRODUCT(('Rates &amp; Drop Downs INT'!$CG$6:$CG$747=$D91)*('Rates &amp; Drop Downs INT'!$CI$6:$CI$747=$F91)*('Rates &amp; Drop Downs INT'!$CK$6:$CK$747=$K91)*('Rates &amp; Drop Downs INT'!$CM$6:$CM$747)))</f>
        <v>0</v>
      </c>
      <c r="O91" s="1676" t="str" cm="1">
        <f t="array" ref="O91">IFERROR(IF(ISBLANK(C91),"",IF($E$20="Credera US",IF(C91&lt;&gt;"CrederaUS",INDEX('Rates &amp; Drop Downs INT'!$F$7:$F$431,MATCH(1,('Rates &amp; Drop Downs INT'!$B$7:$B$431='2. Roles &amp; Pricing'!C91)*('Rates &amp; Drop Downs INT'!$C$7:$C$431='2. Roles &amp; Pricing'!K91),0)),INDEX('Rates &amp; Drop Downs INT'!$F$7:$F$431,MATCH(1,('Rates &amp; Drop Downs INT'!$B$7:$B$431='2. Roles &amp; Pricing'!C91)*('Rates &amp; Drop Downs INT'!$J$7:$J$431=N91),0))),"")),"")</f>
        <v/>
      </c>
      <c r="P91" s="1677"/>
      <c r="Q91" s="1677"/>
      <c r="R91" s="1677"/>
      <c r="S91" s="1678"/>
      <c r="T91" s="1711"/>
      <c r="U91" s="1712"/>
      <c r="V91" s="1222" t="str">
        <f>IFERROR(IF(ISBLANK(K91)," ",_xlfn.XLOOKUP(K91,'Rates &amp; Drop Downs INT'!C:C,'Rates &amp; Drop Downs INT'!J:J)),N91)</f>
        <v xml:space="preserve"> </v>
      </c>
      <c r="W91" s="1203" t="str">
        <f t="shared" si="0"/>
        <v xml:space="preserve"> </v>
      </c>
      <c r="X91" s="1203"/>
      <c r="Y91" s="880" t="s">
        <v>2271</v>
      </c>
      <c r="Z91" s="1187"/>
      <c r="AA91" s="1190"/>
      <c r="AB91" s="1274"/>
      <c r="AC91" s="1690"/>
      <c r="AD91" s="1691"/>
      <c r="AE91" s="881"/>
      <c r="AF91" s="892"/>
      <c r="AH91" s="1685"/>
      <c r="AI91" s="1685"/>
      <c r="AJ91" s="413"/>
      <c r="AK91" s="413"/>
      <c r="AL91" s="413"/>
      <c r="AM91" s="413"/>
      <c r="CM91" s="425"/>
    </row>
    <row r="92" spans="3:91" ht="16.05" customHeight="1" outlineLevel="1" x14ac:dyDescent="0.25">
      <c r="C92" s="1186"/>
      <c r="D92" s="1187"/>
      <c r="E92" s="1187" t="str">
        <f>IFERROR(_xlfn.XLOOKUP(D92,TADIndia,'Rates &amp; Drop Downs INT'!$CH$6:$CH$747),"")</f>
        <v/>
      </c>
      <c r="F92" s="1187"/>
      <c r="G92" s="1187" t="str">
        <f>IFERROR(_xlfn.XLOOKUP(F92,'Rates &amp; Drop Downs INT'!$CI$6:$CI$747,'Rates &amp; Drop Downs INT'!$CJ$6:$CJ$747),"")</f>
        <v/>
      </c>
      <c r="H92" s="1187" t="str">
        <f>_xlfn.XLOOKUP(F92,'Rates &amp; Drop Downs INT'!$DF$6:$DF$173,'Rates &amp; Drop Downs INT'!$DG$6:$DG$173,"")</f>
        <v/>
      </c>
      <c r="I92" s="1187"/>
      <c r="J92" s="1188">
        <f t="shared" si="1"/>
        <v>0</v>
      </c>
      <c r="K92" s="1682"/>
      <c r="L92" s="1683"/>
      <c r="M92" s="1684"/>
      <c r="N92" s="1190" cm="1">
        <f t="array" ref="N92">IF($E$20="Credera US",V92,SUMPRODUCT(('Rates &amp; Drop Downs INT'!$CG$6:$CG$747=$D92)*('Rates &amp; Drop Downs INT'!$CI$6:$CI$747=$F92)*('Rates &amp; Drop Downs INT'!$CK$6:$CK$747=$K92)*('Rates &amp; Drop Downs INT'!$CM$6:$CM$747)))</f>
        <v>0</v>
      </c>
      <c r="O92" s="1676" t="str" cm="1">
        <f t="array" ref="O92">IFERROR(IF(ISBLANK(C92),"",IF($E$20="Credera US",IF(C92&lt;&gt;"CrederaUS",INDEX('Rates &amp; Drop Downs INT'!$F$7:$F$431,MATCH(1,('Rates &amp; Drop Downs INT'!$B$7:$B$431='2. Roles &amp; Pricing'!C92)*('Rates &amp; Drop Downs INT'!$C$7:$C$431='2. Roles &amp; Pricing'!K92),0)),INDEX('Rates &amp; Drop Downs INT'!$F$7:$F$431,MATCH(1,('Rates &amp; Drop Downs INT'!$B$7:$B$431='2. Roles &amp; Pricing'!C92)*('Rates &amp; Drop Downs INT'!$J$7:$J$431=N92),0))),"")),"")</f>
        <v/>
      </c>
      <c r="P92" s="1677"/>
      <c r="Q92" s="1677"/>
      <c r="R92" s="1677"/>
      <c r="S92" s="1678"/>
      <c r="T92" s="1711"/>
      <c r="U92" s="1712"/>
      <c r="V92" s="1222" t="str">
        <f>IFERROR(IF(ISBLANK(K92)," ",_xlfn.XLOOKUP(K92,'Rates &amp; Drop Downs INT'!C:C,'Rates &amp; Drop Downs INT'!J:J)),N92)</f>
        <v xml:space="preserve"> </v>
      </c>
      <c r="W92" s="1203" t="str">
        <f t="shared" si="0"/>
        <v xml:space="preserve"> </v>
      </c>
      <c r="X92" s="1203"/>
      <c r="Y92" s="880" t="s">
        <v>2271</v>
      </c>
      <c r="Z92" s="1187"/>
      <c r="AA92" s="1190"/>
      <c r="AB92" s="1274"/>
      <c r="AC92" s="1690"/>
      <c r="AD92" s="1691"/>
      <c r="AE92" s="881"/>
      <c r="AF92" s="892"/>
      <c r="AH92" s="1685"/>
      <c r="AI92" s="1685"/>
      <c r="AJ92" s="413"/>
      <c r="AK92" s="413"/>
      <c r="AL92" s="413"/>
      <c r="AM92" s="413"/>
      <c r="CM92" s="425"/>
    </row>
    <row r="93" spans="3:91" ht="16.05" customHeight="1" outlineLevel="1" x14ac:dyDescent="0.25">
      <c r="C93" s="1186"/>
      <c r="D93" s="1187"/>
      <c r="E93" s="1187" t="str">
        <f>IFERROR(_xlfn.XLOOKUP(D93,TADIndia,'Rates &amp; Drop Downs INT'!$CH$6:$CH$747),"")</f>
        <v/>
      </c>
      <c r="F93" s="1187"/>
      <c r="G93" s="1187" t="str">
        <f>IFERROR(_xlfn.XLOOKUP(F93,'Rates &amp; Drop Downs INT'!$CI$6:$CI$747,'Rates &amp; Drop Downs INT'!$CJ$6:$CJ$747),"")</f>
        <v/>
      </c>
      <c r="H93" s="1187" t="str">
        <f>_xlfn.XLOOKUP(F93,'Rates &amp; Drop Downs INT'!$DF$6:$DF$173,'Rates &amp; Drop Downs INT'!$DG$6:$DG$173,"")</f>
        <v/>
      </c>
      <c r="I93" s="1187"/>
      <c r="J93" s="1188">
        <f t="shared" si="1"/>
        <v>0</v>
      </c>
      <c r="K93" s="1682"/>
      <c r="L93" s="1683"/>
      <c r="M93" s="1684"/>
      <c r="N93" s="1190" cm="1">
        <f t="array" ref="N93">IF($E$20="Credera US",V93,SUMPRODUCT(('Rates &amp; Drop Downs INT'!$CG$6:$CG$747=$D93)*('Rates &amp; Drop Downs INT'!$CI$6:$CI$747=$F93)*('Rates &amp; Drop Downs INT'!$CK$6:$CK$747=$K93)*('Rates &amp; Drop Downs INT'!$CM$6:$CM$747)))</f>
        <v>0</v>
      </c>
      <c r="O93" s="1676" t="str" cm="1">
        <f t="array" ref="O93">IFERROR(IF(ISBLANK(C93),"",IF($E$20="Credera US",IF(C93&lt;&gt;"CrederaUS",INDEX('Rates &amp; Drop Downs INT'!$F$7:$F$431,MATCH(1,('Rates &amp; Drop Downs INT'!$B$7:$B$431='2. Roles &amp; Pricing'!C93)*('Rates &amp; Drop Downs INT'!$C$7:$C$431='2. Roles &amp; Pricing'!K93),0)),INDEX('Rates &amp; Drop Downs INT'!$F$7:$F$431,MATCH(1,('Rates &amp; Drop Downs INT'!$B$7:$B$431='2. Roles &amp; Pricing'!C93)*('Rates &amp; Drop Downs INT'!$J$7:$J$431=N93),0))),"")),"")</f>
        <v/>
      </c>
      <c r="P93" s="1677"/>
      <c r="Q93" s="1677"/>
      <c r="R93" s="1677"/>
      <c r="S93" s="1678"/>
      <c r="T93" s="1711"/>
      <c r="U93" s="1712"/>
      <c r="V93" s="1222" t="str">
        <f>IFERROR(IF(ISBLANK(K93)," ",_xlfn.XLOOKUP(K93,'Rates &amp; Drop Downs INT'!C:C,'Rates &amp; Drop Downs INT'!J:J)),N93)</f>
        <v xml:space="preserve"> </v>
      </c>
      <c r="W93" s="1203" t="str">
        <f t="shared" si="0"/>
        <v xml:space="preserve"> </v>
      </c>
      <c r="X93" s="1203"/>
      <c r="Y93" s="880" t="s">
        <v>2271</v>
      </c>
      <c r="Z93" s="1187"/>
      <c r="AA93" s="1190"/>
      <c r="AB93" s="1274"/>
      <c r="AC93" s="1690"/>
      <c r="AD93" s="1691"/>
      <c r="AE93" s="881"/>
      <c r="AF93" s="892"/>
      <c r="AH93" s="1685"/>
      <c r="AI93" s="1685"/>
      <c r="AJ93" s="413"/>
      <c r="AK93" s="413"/>
      <c r="AL93" s="413"/>
      <c r="AM93" s="413"/>
      <c r="CM93" s="425"/>
    </row>
    <row r="94" spans="3:91" ht="16.05" customHeight="1" outlineLevel="1" x14ac:dyDescent="0.25">
      <c r="C94" s="1186"/>
      <c r="D94" s="1187"/>
      <c r="E94" s="1187" t="str">
        <f>IFERROR(_xlfn.XLOOKUP(D94,TADIndia,'Rates &amp; Drop Downs INT'!$CH$6:$CH$747),"")</f>
        <v/>
      </c>
      <c r="F94" s="1187"/>
      <c r="G94" s="1187" t="str">
        <f>IFERROR(_xlfn.XLOOKUP(F94,'Rates &amp; Drop Downs INT'!$CI$6:$CI$747,'Rates &amp; Drop Downs INT'!$CJ$6:$CJ$747),"")</f>
        <v/>
      </c>
      <c r="H94" s="1187" t="str">
        <f>_xlfn.XLOOKUP(F94,'Rates &amp; Drop Downs INT'!$DF$6:$DF$173,'Rates &amp; Drop Downs INT'!$DG$6:$DG$173,"")</f>
        <v/>
      </c>
      <c r="I94" s="1187"/>
      <c r="J94" s="1188">
        <f t="shared" si="1"/>
        <v>0</v>
      </c>
      <c r="K94" s="1682"/>
      <c r="L94" s="1683"/>
      <c r="M94" s="1684"/>
      <c r="N94" s="1190" cm="1">
        <f t="array" ref="N94">IF($E$20="Credera US",V94,SUMPRODUCT(('Rates &amp; Drop Downs INT'!$CG$6:$CG$747=$D94)*('Rates &amp; Drop Downs INT'!$CI$6:$CI$747=$F94)*('Rates &amp; Drop Downs INT'!$CK$6:$CK$747=$K94)*('Rates &amp; Drop Downs INT'!$CM$6:$CM$747)))</f>
        <v>0</v>
      </c>
      <c r="O94" s="1676" t="str" cm="1">
        <f t="array" ref="O94">IFERROR(IF(ISBLANK(C94),"",IF($E$20="Credera US",IF(C94&lt;&gt;"CrederaUS",INDEX('Rates &amp; Drop Downs INT'!$F$7:$F$431,MATCH(1,('Rates &amp; Drop Downs INT'!$B$7:$B$431='2. Roles &amp; Pricing'!C94)*('Rates &amp; Drop Downs INT'!$C$7:$C$431='2. Roles &amp; Pricing'!K94),0)),INDEX('Rates &amp; Drop Downs INT'!$F$7:$F$431,MATCH(1,('Rates &amp; Drop Downs INT'!$B$7:$B$431='2. Roles &amp; Pricing'!C94)*('Rates &amp; Drop Downs INT'!$J$7:$J$431=N94),0))),"")),"")</f>
        <v/>
      </c>
      <c r="P94" s="1677"/>
      <c r="Q94" s="1677"/>
      <c r="R94" s="1677"/>
      <c r="S94" s="1678"/>
      <c r="T94" s="1711"/>
      <c r="U94" s="1712"/>
      <c r="V94" s="1222" t="str">
        <f>IFERROR(IF(ISBLANK(K94)," ",_xlfn.XLOOKUP(K94,'Rates &amp; Drop Downs INT'!C:C,'Rates &amp; Drop Downs INT'!J:J)),N94)</f>
        <v xml:space="preserve"> </v>
      </c>
      <c r="W94" s="1203" t="str">
        <f t="shared" si="0"/>
        <v xml:space="preserve"> </v>
      </c>
      <c r="X94" s="1203"/>
      <c r="Y94" s="880" t="s">
        <v>2271</v>
      </c>
      <c r="Z94" s="1187"/>
      <c r="AA94" s="1190"/>
      <c r="AB94" s="1274"/>
      <c r="AC94" s="1690"/>
      <c r="AD94" s="1691"/>
      <c r="AE94" s="881"/>
      <c r="AF94" s="892"/>
      <c r="AH94" s="1685"/>
      <c r="AI94" s="1685"/>
      <c r="AJ94" s="413"/>
      <c r="AK94" s="413"/>
      <c r="AL94" s="413"/>
      <c r="AM94" s="413"/>
      <c r="CM94" s="425"/>
    </row>
    <row r="95" spans="3:91" ht="16.05" customHeight="1" outlineLevel="1" x14ac:dyDescent="0.25">
      <c r="C95" s="1186"/>
      <c r="D95" s="1187"/>
      <c r="E95" s="1187" t="str">
        <f>IFERROR(_xlfn.XLOOKUP(D95,TADIndia,'Rates &amp; Drop Downs INT'!$CH$6:$CH$747),"")</f>
        <v/>
      </c>
      <c r="F95" s="1187"/>
      <c r="G95" s="1187" t="str">
        <f>IFERROR(_xlfn.XLOOKUP(F95,'Rates &amp; Drop Downs INT'!$CI$6:$CI$747,'Rates &amp; Drop Downs INT'!$CJ$6:$CJ$747),"")</f>
        <v/>
      </c>
      <c r="H95" s="1187" t="str">
        <f>_xlfn.XLOOKUP(F95,'Rates &amp; Drop Downs INT'!$DF$6:$DF$173,'Rates &amp; Drop Downs INT'!$DG$6:$DG$173,"")</f>
        <v/>
      </c>
      <c r="I95" s="1187"/>
      <c r="J95" s="1188">
        <f t="shared" si="1"/>
        <v>0</v>
      </c>
      <c r="K95" s="1682"/>
      <c r="L95" s="1683"/>
      <c r="M95" s="1684"/>
      <c r="N95" s="1190" cm="1">
        <f t="array" ref="N95">IF($E$20="Credera US",V95,SUMPRODUCT(('Rates &amp; Drop Downs INT'!$CG$6:$CG$747=$D95)*('Rates &amp; Drop Downs INT'!$CI$6:$CI$747=$F95)*('Rates &amp; Drop Downs INT'!$CK$6:$CK$747=$K95)*('Rates &amp; Drop Downs INT'!$CM$6:$CM$747)))</f>
        <v>0</v>
      </c>
      <c r="O95" s="1676" t="str" cm="1">
        <f t="array" ref="O95">IFERROR(IF(ISBLANK(C95),"",IF($E$20="Credera US",IF(C95&lt;&gt;"CrederaUS",INDEX('Rates &amp; Drop Downs INT'!$F$7:$F$431,MATCH(1,('Rates &amp; Drop Downs INT'!$B$7:$B$431='2. Roles &amp; Pricing'!C95)*('Rates &amp; Drop Downs INT'!$C$7:$C$431='2. Roles &amp; Pricing'!K95),0)),INDEX('Rates &amp; Drop Downs INT'!$F$7:$F$431,MATCH(1,('Rates &amp; Drop Downs INT'!$B$7:$B$431='2. Roles &amp; Pricing'!C95)*('Rates &amp; Drop Downs INT'!$J$7:$J$431=N95),0))),"")),"")</f>
        <v/>
      </c>
      <c r="P95" s="1677"/>
      <c r="Q95" s="1677"/>
      <c r="R95" s="1677"/>
      <c r="S95" s="1678"/>
      <c r="T95" s="1711"/>
      <c r="U95" s="1712"/>
      <c r="V95" s="1222" t="str">
        <f>IFERROR(IF(ISBLANK(K95)," ",_xlfn.XLOOKUP(K95,'Rates &amp; Drop Downs INT'!C:C,'Rates &amp; Drop Downs INT'!J:J)),N95)</f>
        <v xml:space="preserve"> </v>
      </c>
      <c r="W95" s="1203" t="str">
        <f t="shared" si="0"/>
        <v xml:space="preserve"> </v>
      </c>
      <c r="X95" s="1203"/>
      <c r="Y95" s="880" t="s">
        <v>2271</v>
      </c>
      <c r="Z95" s="1187"/>
      <c r="AA95" s="1190"/>
      <c r="AB95" s="1274"/>
      <c r="AC95" s="1690"/>
      <c r="AD95" s="1691"/>
      <c r="AE95" s="881"/>
      <c r="AF95" s="892"/>
      <c r="AH95" s="1685"/>
      <c r="AI95" s="1685"/>
      <c r="AJ95" s="413"/>
      <c r="AK95" s="413"/>
      <c r="AL95" s="413"/>
      <c r="AM95" s="413"/>
      <c r="CM95" s="425"/>
    </row>
    <row r="96" spans="3:91" ht="16.05" customHeight="1" outlineLevel="1" x14ac:dyDescent="0.25">
      <c r="C96" s="1186"/>
      <c r="D96" s="1187"/>
      <c r="E96" s="1187" t="str">
        <f>IFERROR(_xlfn.XLOOKUP(D96,TADIndia,'Rates &amp; Drop Downs INT'!$CH$6:$CH$747),"")</f>
        <v/>
      </c>
      <c r="F96" s="1187"/>
      <c r="G96" s="1187" t="str">
        <f>IFERROR(_xlfn.XLOOKUP(F96,'Rates &amp; Drop Downs INT'!$CI$6:$CI$747,'Rates &amp; Drop Downs INT'!$CJ$6:$CJ$747),"")</f>
        <v/>
      </c>
      <c r="H96" s="1187" t="str">
        <f>_xlfn.XLOOKUP(F96,'Rates &amp; Drop Downs INT'!$DF$6:$DF$173,'Rates &amp; Drop Downs INT'!$DG$6:$DG$173,"")</f>
        <v/>
      </c>
      <c r="I96" s="1187"/>
      <c r="J96" s="1188">
        <f t="shared" si="1"/>
        <v>0</v>
      </c>
      <c r="K96" s="1682"/>
      <c r="L96" s="1683"/>
      <c r="M96" s="1684"/>
      <c r="N96" s="1190" cm="1">
        <f t="array" ref="N96">IF($E$20="Credera US",V96,SUMPRODUCT(('Rates &amp; Drop Downs INT'!$CG$6:$CG$747=$D96)*('Rates &amp; Drop Downs INT'!$CI$6:$CI$747=$F96)*('Rates &amp; Drop Downs INT'!$CK$6:$CK$747=$K96)*('Rates &amp; Drop Downs INT'!$CM$6:$CM$747)))</f>
        <v>0</v>
      </c>
      <c r="O96" s="1676" t="str" cm="1">
        <f t="array" ref="O96">IFERROR(IF(ISBLANK(C96),"",IF($E$20="Credera US",IF(C96&lt;&gt;"CrederaUS",INDEX('Rates &amp; Drop Downs INT'!$F$7:$F$431,MATCH(1,('Rates &amp; Drop Downs INT'!$B$7:$B$431='2. Roles &amp; Pricing'!C96)*('Rates &amp; Drop Downs INT'!$C$7:$C$431='2. Roles &amp; Pricing'!K96),0)),INDEX('Rates &amp; Drop Downs INT'!$F$7:$F$431,MATCH(1,('Rates &amp; Drop Downs INT'!$B$7:$B$431='2. Roles &amp; Pricing'!C96)*('Rates &amp; Drop Downs INT'!$J$7:$J$431=N96),0))),"")),"")</f>
        <v/>
      </c>
      <c r="P96" s="1677"/>
      <c r="Q96" s="1677"/>
      <c r="R96" s="1677"/>
      <c r="S96" s="1678"/>
      <c r="T96" s="1711"/>
      <c r="U96" s="1712"/>
      <c r="V96" s="1222" t="str">
        <f>IFERROR(IF(ISBLANK(K96)," ",_xlfn.XLOOKUP(K96,'Rates &amp; Drop Downs INT'!C:C,'Rates &amp; Drop Downs INT'!J:J)),N96)</f>
        <v xml:space="preserve"> </v>
      </c>
      <c r="W96" s="1203" t="str">
        <f t="shared" si="0"/>
        <v xml:space="preserve"> </v>
      </c>
      <c r="X96" s="1203"/>
      <c r="Y96" s="880" t="s">
        <v>2271</v>
      </c>
      <c r="Z96" s="1187"/>
      <c r="AA96" s="1190"/>
      <c r="AB96" s="1274"/>
      <c r="AC96" s="1690"/>
      <c r="AD96" s="1691"/>
      <c r="AE96" s="881"/>
      <c r="AF96" s="892"/>
      <c r="AH96" s="1685"/>
      <c r="AI96" s="1685"/>
      <c r="AJ96" s="413"/>
      <c r="AK96" s="413"/>
      <c r="AL96" s="413"/>
      <c r="AM96" s="413"/>
      <c r="CM96" s="425"/>
    </row>
    <row r="97" spans="3:91" ht="16.05" customHeight="1" outlineLevel="1" x14ac:dyDescent="0.25">
      <c r="C97" s="1186"/>
      <c r="D97" s="1187"/>
      <c r="E97" s="1187" t="str">
        <f>IFERROR(_xlfn.XLOOKUP(D97,TADIndia,'Rates &amp; Drop Downs INT'!$CH$6:$CH$747),"")</f>
        <v/>
      </c>
      <c r="F97" s="1187"/>
      <c r="G97" s="1187" t="str">
        <f>IFERROR(_xlfn.XLOOKUP(F97,'Rates &amp; Drop Downs INT'!$CI$6:$CI$747,'Rates &amp; Drop Downs INT'!$CJ$6:$CJ$747),"")</f>
        <v/>
      </c>
      <c r="H97" s="1187" t="str">
        <f>_xlfn.XLOOKUP(F97,'Rates &amp; Drop Downs INT'!$DF$6:$DF$173,'Rates &amp; Drop Downs INT'!$DG$6:$DG$173,"")</f>
        <v/>
      </c>
      <c r="I97" s="1187"/>
      <c r="J97" s="1188">
        <f t="shared" si="1"/>
        <v>0</v>
      </c>
      <c r="K97" s="1682"/>
      <c r="L97" s="1683"/>
      <c r="M97" s="1684"/>
      <c r="N97" s="1190" cm="1">
        <f t="array" ref="N97">IF($E$20="Credera US",V97,SUMPRODUCT(('Rates &amp; Drop Downs INT'!$CG$6:$CG$747=$D97)*('Rates &amp; Drop Downs INT'!$CI$6:$CI$747=$F97)*('Rates &amp; Drop Downs INT'!$CK$6:$CK$747=$K97)*('Rates &amp; Drop Downs INT'!$CM$6:$CM$747)))</f>
        <v>0</v>
      </c>
      <c r="O97" s="1676" t="str" cm="1">
        <f t="array" ref="O97">IFERROR(IF(ISBLANK(C97),"",IF($E$20="Credera US",IF(C97&lt;&gt;"CrederaUS",INDEX('Rates &amp; Drop Downs INT'!$F$7:$F$431,MATCH(1,('Rates &amp; Drop Downs INT'!$B$7:$B$431='2. Roles &amp; Pricing'!C97)*('Rates &amp; Drop Downs INT'!$C$7:$C$431='2. Roles &amp; Pricing'!K97),0)),INDEX('Rates &amp; Drop Downs INT'!$F$7:$F$431,MATCH(1,('Rates &amp; Drop Downs INT'!$B$7:$B$431='2. Roles &amp; Pricing'!C97)*('Rates &amp; Drop Downs INT'!$J$7:$J$431=N97),0))),"")),"")</f>
        <v/>
      </c>
      <c r="P97" s="1677"/>
      <c r="Q97" s="1677"/>
      <c r="R97" s="1677"/>
      <c r="S97" s="1678"/>
      <c r="T97" s="1711"/>
      <c r="U97" s="1712"/>
      <c r="V97" s="1222" t="str">
        <f>IFERROR(IF(ISBLANK(K97)," ",_xlfn.XLOOKUP(K97,'Rates &amp; Drop Downs INT'!C:C,'Rates &amp; Drop Downs INT'!J:J)),N97)</f>
        <v xml:space="preserve"> </v>
      </c>
      <c r="W97" s="1203" t="str">
        <f t="shared" si="0"/>
        <v xml:space="preserve"> </v>
      </c>
      <c r="X97" s="1203"/>
      <c r="Y97" s="880" t="s">
        <v>2271</v>
      </c>
      <c r="Z97" s="1187"/>
      <c r="AA97" s="1190"/>
      <c r="AB97" s="1274"/>
      <c r="AC97" s="1690"/>
      <c r="AD97" s="1691"/>
      <c r="AE97" s="881"/>
      <c r="AF97" s="892"/>
      <c r="AH97" s="1685"/>
      <c r="AI97" s="1685"/>
      <c r="AJ97" s="413"/>
      <c r="AK97" s="413"/>
      <c r="AL97" s="413"/>
      <c r="AM97" s="413"/>
      <c r="CM97" s="425"/>
    </row>
    <row r="98" spans="3:91" ht="16.05" customHeight="1" x14ac:dyDescent="0.25">
      <c r="C98" s="1186"/>
      <c r="D98" s="1187"/>
      <c r="E98" s="1187" t="str">
        <f>IFERROR(_xlfn.XLOOKUP(D98,TADIndia,'Rates &amp; Drop Downs INT'!$CH$6:$CH$747),"")</f>
        <v/>
      </c>
      <c r="F98" s="1187"/>
      <c r="G98" s="1187" t="str">
        <f>IFERROR(_xlfn.XLOOKUP(F98,'Rates &amp; Drop Downs INT'!$CI$6:$CI$747,'Rates &amp; Drop Downs INT'!$CJ$6:$CJ$747),"")</f>
        <v/>
      </c>
      <c r="H98" s="1187" t="str">
        <f>_xlfn.XLOOKUP(F98,'Rates &amp; Drop Downs INT'!$DF$6:$DF$173,'Rates &amp; Drop Downs INT'!$DG$6:$DG$173,"")</f>
        <v/>
      </c>
      <c r="I98" s="1187"/>
      <c r="J98" s="1188">
        <f t="shared" si="1"/>
        <v>0</v>
      </c>
      <c r="K98" s="1682"/>
      <c r="L98" s="1683"/>
      <c r="M98" s="1684"/>
      <c r="N98" s="1190" cm="1">
        <f t="array" ref="N98">IF($E$20="Credera US",V98,SUMPRODUCT(('Rates &amp; Drop Downs INT'!$CG$6:$CG$747=$D98)*('Rates &amp; Drop Downs INT'!$CI$6:$CI$747=$F98)*('Rates &amp; Drop Downs INT'!$CK$6:$CK$747=$K98)*('Rates &amp; Drop Downs INT'!$CM$6:$CM$747)))</f>
        <v>0</v>
      </c>
      <c r="O98" s="1676" t="str" cm="1">
        <f t="array" ref="O98">IFERROR(IF(ISBLANK(C98),"",IF($E$20="Credera US",IF(C98&lt;&gt;"CrederaUS",INDEX('Rates &amp; Drop Downs INT'!$F$7:$F$431,MATCH(1,('Rates &amp; Drop Downs INT'!$B$7:$B$431='2. Roles &amp; Pricing'!C98)*('Rates &amp; Drop Downs INT'!$C$7:$C$431='2. Roles &amp; Pricing'!K98),0)),INDEX('Rates &amp; Drop Downs INT'!$F$7:$F$431,MATCH(1,('Rates &amp; Drop Downs INT'!$B$7:$B$431='2. Roles &amp; Pricing'!C98)*('Rates &amp; Drop Downs INT'!$J$7:$J$431=N98),0))),"")),"")</f>
        <v/>
      </c>
      <c r="P98" s="1677"/>
      <c r="Q98" s="1677"/>
      <c r="R98" s="1677"/>
      <c r="S98" s="1678"/>
      <c r="T98" s="1711"/>
      <c r="U98" s="1712"/>
      <c r="V98" s="1222" t="str">
        <f>IFERROR(IF(ISBLANK(K98)," ",_xlfn.XLOOKUP(K98,'Rates &amp; Drop Downs INT'!C:C,'Rates &amp; Drop Downs INT'!J:J)),N98)</f>
        <v xml:space="preserve"> </v>
      </c>
      <c r="W98" s="1203" t="str">
        <f t="shared" si="0"/>
        <v xml:space="preserve"> </v>
      </c>
      <c r="X98" s="1203"/>
      <c r="Y98" s="880" t="s">
        <v>2271</v>
      </c>
      <c r="Z98" s="1187"/>
      <c r="AA98" s="1190"/>
      <c r="AB98" s="1274"/>
      <c r="AC98" s="1690"/>
      <c r="AD98" s="1691"/>
      <c r="AE98" s="881"/>
      <c r="AF98" s="892"/>
      <c r="AH98" s="1685"/>
      <c r="AI98" s="1685"/>
      <c r="AJ98" s="413"/>
      <c r="AK98" s="413"/>
      <c r="AL98" s="413"/>
      <c r="AM98" s="413"/>
      <c r="CM98" s="425"/>
    </row>
    <row r="99" spans="3:91" outlineLevel="2" x14ac:dyDescent="0.25">
      <c r="C99" s="1186"/>
      <c r="D99" s="1187"/>
      <c r="E99" s="1187" t="str">
        <f>IFERROR(_xlfn.XLOOKUP(D99,TADIndia,'Rates &amp; Drop Downs INT'!$CH$6:$CH$747),"")</f>
        <v/>
      </c>
      <c r="F99" s="1187"/>
      <c r="G99" s="1187" t="str">
        <f>IFERROR(_xlfn.XLOOKUP(F99,'Rates &amp; Drop Downs INT'!$CI$6:$CI$747,'Rates &amp; Drop Downs INT'!$CJ$6:$CJ$747),"")</f>
        <v/>
      </c>
      <c r="H99" s="1187" t="str">
        <f>_xlfn.XLOOKUP(F99,'Rates &amp; Drop Downs INT'!$DF$6:$DF$173,'Rates &amp; Drop Downs INT'!$DG$6:$DG$173,"")</f>
        <v/>
      </c>
      <c r="I99" s="1187"/>
      <c r="J99" s="1188">
        <f t="shared" si="1"/>
        <v>0</v>
      </c>
      <c r="K99" s="1682"/>
      <c r="L99" s="1683"/>
      <c r="M99" s="1684"/>
      <c r="N99" s="1189" cm="1">
        <f t="array" ref="N99">IF($E$20="Credera US",V99,SUMPRODUCT(('Rates &amp; Drop Downs INT'!$CG$6:$CG$747=$D99)*('Rates &amp; Drop Downs INT'!$CI$6:$CI$747=$F99)*('Rates &amp; Drop Downs INT'!$CK$6:$CK$747=$K99)*('Rates &amp; Drop Downs INT'!$CM$6:$CM$747)))</f>
        <v>0</v>
      </c>
      <c r="O99" s="1676" t="str" cm="1">
        <f t="array" ref="O99">IFERROR(IF(ISBLANK(C99),"",IF($E$20="Credera US",IF(C99&lt;&gt;"CrederaUS",INDEX('Rates &amp; Drop Downs INT'!$F$7:$F$431,MATCH(1,('Rates &amp; Drop Downs INT'!$B$7:$B$431='2. Roles &amp; Pricing'!C99)*('Rates &amp; Drop Downs INT'!$C$7:$C$431='2. Roles &amp; Pricing'!K99),0)),INDEX('Rates &amp; Drop Downs INT'!$F$7:$F$431,MATCH(1,('Rates &amp; Drop Downs INT'!$B$7:$B$431='2. Roles &amp; Pricing'!C99)*('Rates &amp; Drop Downs INT'!$J$7:$J$431=N99),0))),"")),"")</f>
        <v/>
      </c>
      <c r="P99" s="1677"/>
      <c r="Q99" s="1677"/>
      <c r="R99" s="1677"/>
      <c r="S99" s="1678"/>
      <c r="T99" s="1722"/>
      <c r="U99" s="1722"/>
      <c r="V99" s="1203" t="str">
        <f>IFERROR(IF(ISBLANK(K99)," ",_xlfn.XLOOKUP(K99,'Rates &amp; Drop Downs INT'!C:C,'Rates &amp; Drop Downs INT'!J:J)),N99)</f>
        <v xml:space="preserve"> </v>
      </c>
      <c r="W99" s="1203" t="str">
        <f t="shared" si="0"/>
        <v xml:space="preserve"> </v>
      </c>
      <c r="X99" s="1203"/>
      <c r="Y99" s="880" t="s">
        <v>2271</v>
      </c>
      <c r="Z99" s="1187"/>
      <c r="AA99" s="1190"/>
      <c r="AB99" s="1274" t="str">
        <f t="shared" ref="AB99:AB130" si="2">IF(COUNTIF($D221:$BC221,"&gt;0")=0,"",COUNTIF($D221:$BC221,"&gt;0"))</f>
        <v/>
      </c>
      <c r="AC99" s="1690"/>
      <c r="AD99" s="1691"/>
      <c r="AE99" s="881"/>
      <c r="AF99" s="892"/>
      <c r="AH99" s="1685"/>
      <c r="AI99" s="1685"/>
      <c r="AJ99" s="413"/>
      <c r="AK99" s="413"/>
      <c r="AL99" s="413"/>
      <c r="AM99" s="413"/>
      <c r="CM99" s="425"/>
    </row>
    <row r="100" spans="3:91" outlineLevel="2" x14ac:dyDescent="0.25">
      <c r="C100" s="1186"/>
      <c r="D100" s="1187"/>
      <c r="E100" s="1187" t="str">
        <f>IFERROR(_xlfn.XLOOKUP(D100,TADIndia,'Rates &amp; Drop Downs INT'!$CH$6:$CH$747),"")</f>
        <v/>
      </c>
      <c r="F100" s="1187"/>
      <c r="G100" s="1187" t="str">
        <f>IFERROR(_xlfn.XLOOKUP(F100,'Rates &amp; Drop Downs INT'!$CI$6:$CI$747,'Rates &amp; Drop Downs INT'!$CJ$6:$CJ$747),"")</f>
        <v/>
      </c>
      <c r="H100" s="1187" t="str">
        <f>_xlfn.XLOOKUP(F100,'Rates &amp; Drop Downs INT'!$DF$6:$DF$173,'Rates &amp; Drop Downs INT'!$DG$6:$DG$173,"")</f>
        <v/>
      </c>
      <c r="I100" s="1187"/>
      <c r="J100" s="1188">
        <f t="shared" si="1"/>
        <v>0</v>
      </c>
      <c r="K100" s="1682"/>
      <c r="L100" s="1683"/>
      <c r="M100" s="1684"/>
      <c r="N100" s="1189" cm="1">
        <f t="array" ref="N100">IF($E$20="Credera US",V100,SUMPRODUCT(('Rates &amp; Drop Downs INT'!$CG$6:$CG$747=$D100)*('Rates &amp; Drop Downs INT'!$CI$6:$CI$747=$F100)*('Rates &amp; Drop Downs INT'!$CK$6:$CK$747=$K100)*('Rates &amp; Drop Downs INT'!$CM$6:$CM$747)))</f>
        <v>0</v>
      </c>
      <c r="O100" s="1676" t="str" cm="1">
        <f t="array" ref="O100">IFERROR(IF(ISBLANK(C100),"",IF($E$20="Credera US",IF(C100&lt;&gt;"CrederaUS",INDEX('Rates &amp; Drop Downs INT'!$F$7:$F$431,MATCH(1,('Rates &amp; Drop Downs INT'!$B$7:$B$431='2. Roles &amp; Pricing'!C100)*('Rates &amp; Drop Downs INT'!$C$7:$C$431='2. Roles &amp; Pricing'!K100),0)),INDEX('Rates &amp; Drop Downs INT'!$F$7:$F$431,MATCH(1,('Rates &amp; Drop Downs INT'!$B$7:$B$431='2. Roles &amp; Pricing'!C100)*('Rates &amp; Drop Downs INT'!$J$7:$J$431=N100),0))),"")),"")</f>
        <v/>
      </c>
      <c r="P100" s="1677"/>
      <c r="Q100" s="1677"/>
      <c r="R100" s="1677"/>
      <c r="S100" s="1678"/>
      <c r="T100" s="1722"/>
      <c r="U100" s="1722"/>
      <c r="V100" s="1203" t="str">
        <f>IFERROR(IF(ISBLANK(K100)," ",_xlfn.XLOOKUP(K100,'Rates &amp; Drop Downs INT'!C:C,'Rates &amp; Drop Downs INT'!J:J)),N100)</f>
        <v xml:space="preserve"> </v>
      </c>
      <c r="W100" s="1203" t="str">
        <f t="shared" si="0"/>
        <v xml:space="preserve"> </v>
      </c>
      <c r="X100" s="1203"/>
      <c r="Y100" s="880" t="s">
        <v>2271</v>
      </c>
      <c r="Z100" s="1187"/>
      <c r="AA100" s="1190"/>
      <c r="AB100" s="1274" t="str">
        <f t="shared" si="2"/>
        <v/>
      </c>
      <c r="AC100" s="1690"/>
      <c r="AD100" s="1691"/>
      <c r="AE100" s="881"/>
      <c r="AF100" s="892"/>
      <c r="AH100" s="1685"/>
      <c r="AI100" s="1685"/>
      <c r="AJ100" s="413"/>
      <c r="AK100" s="413"/>
      <c r="AL100" s="413"/>
      <c r="AM100" s="413"/>
      <c r="CM100" s="425"/>
    </row>
    <row r="101" spans="3:91" outlineLevel="2" x14ac:dyDescent="0.25">
      <c r="C101" s="1186"/>
      <c r="D101" s="1187"/>
      <c r="E101" s="1187" t="str">
        <f>IFERROR(_xlfn.XLOOKUP(D101,TADIndia,'Rates &amp; Drop Downs INT'!$CH$6:$CH$747),"")</f>
        <v/>
      </c>
      <c r="F101" s="1187"/>
      <c r="G101" s="1187" t="str">
        <f>IFERROR(_xlfn.XLOOKUP(F101,'Rates &amp; Drop Downs INT'!$CI$6:$CI$747,'Rates &amp; Drop Downs INT'!$CJ$6:$CJ$747),"")</f>
        <v/>
      </c>
      <c r="H101" s="1187" t="str">
        <f>_xlfn.XLOOKUP(F101,'Rates &amp; Drop Downs INT'!$DF$6:$DF$173,'Rates &amp; Drop Downs INT'!$DG$6:$DG$173,"")</f>
        <v/>
      </c>
      <c r="I101" s="1187"/>
      <c r="J101" s="1188">
        <f t="shared" si="1"/>
        <v>0</v>
      </c>
      <c r="K101" s="1682"/>
      <c r="L101" s="1683"/>
      <c r="M101" s="1684"/>
      <c r="N101" s="1189" cm="1">
        <f t="array" ref="N101">IF($E$20="Credera US",V101,SUMPRODUCT(('Rates &amp; Drop Downs INT'!$CG$6:$CG$747=$D101)*('Rates &amp; Drop Downs INT'!$CI$6:$CI$747=$F101)*('Rates &amp; Drop Downs INT'!$CK$6:$CK$747=$K101)*('Rates &amp; Drop Downs INT'!$CM$6:$CM$747)))</f>
        <v>0</v>
      </c>
      <c r="O101" s="1676" t="str" cm="1">
        <f t="array" ref="O101">IFERROR(IF(ISBLANK(C101),"",IF($E$20="Credera US",IF(C101&lt;&gt;"CrederaUS",INDEX('Rates &amp; Drop Downs INT'!$F$7:$F$431,MATCH(1,('Rates &amp; Drop Downs INT'!$B$7:$B$431='2. Roles &amp; Pricing'!C101)*('Rates &amp; Drop Downs INT'!$C$7:$C$431='2. Roles &amp; Pricing'!K101),0)),INDEX('Rates &amp; Drop Downs INT'!$F$7:$F$431,MATCH(1,('Rates &amp; Drop Downs INT'!$B$7:$B$431='2. Roles &amp; Pricing'!C101)*('Rates &amp; Drop Downs INT'!$J$7:$J$431=N101),0))),"")),"")</f>
        <v/>
      </c>
      <c r="P101" s="1677"/>
      <c r="Q101" s="1677"/>
      <c r="R101" s="1677"/>
      <c r="S101" s="1678"/>
      <c r="T101" s="1722"/>
      <c r="U101" s="1722"/>
      <c r="V101" s="1203" t="str">
        <f>IFERROR(IF(ISBLANK(K101)," ",_xlfn.XLOOKUP(K101,'Rates &amp; Drop Downs INT'!C:C,'Rates &amp; Drop Downs INT'!J:J)),N101)</f>
        <v xml:space="preserve"> </v>
      </c>
      <c r="W101" s="1203" t="str">
        <f t="shared" si="0"/>
        <v xml:space="preserve"> </v>
      </c>
      <c r="X101" s="1203"/>
      <c r="Y101" s="880" t="s">
        <v>2271</v>
      </c>
      <c r="Z101" s="1187"/>
      <c r="AA101" s="1190"/>
      <c r="AB101" s="1274" t="str">
        <f t="shared" si="2"/>
        <v/>
      </c>
      <c r="AC101" s="1690"/>
      <c r="AD101" s="1691"/>
      <c r="AE101" s="881"/>
      <c r="AF101" s="892"/>
      <c r="AH101" s="1685"/>
      <c r="AI101" s="1685"/>
      <c r="AJ101" s="413"/>
      <c r="AK101" s="413"/>
      <c r="AL101" s="413"/>
      <c r="AM101" s="413"/>
      <c r="CM101" s="425"/>
    </row>
    <row r="102" spans="3:91" outlineLevel="2" x14ac:dyDescent="0.25">
      <c r="C102" s="1186"/>
      <c r="D102" s="1187"/>
      <c r="E102" s="1187" t="str">
        <f>IFERROR(_xlfn.XLOOKUP(D102,TADIndia,'Rates &amp; Drop Downs INT'!$CH$6:$CH$747),"")</f>
        <v/>
      </c>
      <c r="F102" s="1187"/>
      <c r="G102" s="1187" t="str">
        <f>IFERROR(_xlfn.XLOOKUP(F102,'Rates &amp; Drop Downs INT'!$CI$6:$CI$747,'Rates &amp; Drop Downs INT'!$CJ$6:$CJ$747),"")</f>
        <v/>
      </c>
      <c r="H102" s="1187" t="str">
        <f>_xlfn.XLOOKUP(F102,'Rates &amp; Drop Downs INT'!$DF$6:$DF$173,'Rates &amp; Drop Downs INT'!$DG$6:$DG$173,"")</f>
        <v/>
      </c>
      <c r="I102" s="1187"/>
      <c r="J102" s="1188">
        <f t="shared" si="1"/>
        <v>0</v>
      </c>
      <c r="K102" s="1682"/>
      <c r="L102" s="1683"/>
      <c r="M102" s="1684"/>
      <c r="N102" s="1189" cm="1">
        <f t="array" ref="N102">IF($E$20="Credera US",V102,SUMPRODUCT(('Rates &amp; Drop Downs INT'!$CG$6:$CG$747=$D102)*('Rates &amp; Drop Downs INT'!$CI$6:$CI$747=$F102)*('Rates &amp; Drop Downs INT'!$CK$6:$CK$747=$K102)*('Rates &amp; Drop Downs INT'!$CM$6:$CM$747)))</f>
        <v>0</v>
      </c>
      <c r="O102" s="1676" t="str" cm="1">
        <f t="array" ref="O102">IFERROR(IF(ISBLANK(C102),"",IF($E$20="Credera US",IF(C102&lt;&gt;"CrederaUS",INDEX('Rates &amp; Drop Downs INT'!$F$7:$F$431,MATCH(1,('Rates &amp; Drop Downs INT'!$B$7:$B$431='2. Roles &amp; Pricing'!C102)*('Rates &amp; Drop Downs INT'!$C$7:$C$431='2. Roles &amp; Pricing'!K102),0)),INDEX('Rates &amp; Drop Downs INT'!$F$7:$F$431,MATCH(1,('Rates &amp; Drop Downs INT'!$B$7:$B$431='2. Roles &amp; Pricing'!C102)*('Rates &amp; Drop Downs INT'!$J$7:$J$431=N102),0))),"")),"")</f>
        <v/>
      </c>
      <c r="P102" s="1677"/>
      <c r="Q102" s="1677"/>
      <c r="R102" s="1677"/>
      <c r="S102" s="1678"/>
      <c r="T102" s="1722"/>
      <c r="U102" s="1722"/>
      <c r="V102" s="1203" t="str">
        <f>IFERROR(IF(ISBLANK(K102)," ",_xlfn.XLOOKUP(K102,'Rates &amp; Drop Downs INT'!C:C,'Rates &amp; Drop Downs INT'!J:J)),N102)</f>
        <v xml:space="preserve"> </v>
      </c>
      <c r="W102" s="1203" t="str">
        <f t="shared" si="0"/>
        <v xml:space="preserve"> </v>
      </c>
      <c r="X102" s="1203"/>
      <c r="Y102" s="880" t="s">
        <v>2271</v>
      </c>
      <c r="Z102" s="1187"/>
      <c r="AA102" s="1190"/>
      <c r="AB102" s="1274" t="str">
        <f t="shared" si="2"/>
        <v/>
      </c>
      <c r="AC102" s="1690"/>
      <c r="AD102" s="1691"/>
      <c r="AE102" s="881"/>
      <c r="AF102" s="892"/>
      <c r="AH102" s="1685"/>
      <c r="AI102" s="1685"/>
      <c r="AJ102" s="413"/>
      <c r="AK102" s="413"/>
      <c r="AL102" s="413"/>
      <c r="AM102" s="413"/>
      <c r="CM102" s="425"/>
    </row>
    <row r="103" spans="3:91" outlineLevel="2" x14ac:dyDescent="0.25">
      <c r="C103" s="1186"/>
      <c r="D103" s="1187"/>
      <c r="E103" s="1187" t="str">
        <f>IFERROR(_xlfn.XLOOKUP(D103,TADIndia,'Rates &amp; Drop Downs INT'!$CH$6:$CH$747),"")</f>
        <v/>
      </c>
      <c r="F103" s="1187"/>
      <c r="G103" s="1187" t="str">
        <f>IFERROR(_xlfn.XLOOKUP(F103,'Rates &amp; Drop Downs INT'!$CI$6:$CI$747,'Rates &amp; Drop Downs INT'!$CJ$6:$CJ$747),"")</f>
        <v/>
      </c>
      <c r="H103" s="1187" t="str">
        <f>_xlfn.XLOOKUP(F103,'Rates &amp; Drop Downs INT'!$DF$6:$DF$173,'Rates &amp; Drop Downs INT'!$DG$6:$DG$173,"")</f>
        <v/>
      </c>
      <c r="I103" s="1187"/>
      <c r="J103" s="1188">
        <f t="shared" si="1"/>
        <v>0</v>
      </c>
      <c r="K103" s="1682"/>
      <c r="L103" s="1683"/>
      <c r="M103" s="1684"/>
      <c r="N103" s="1189" cm="1">
        <f t="array" ref="N103">IF($E$20="Credera US",V103,SUMPRODUCT(('Rates &amp; Drop Downs INT'!$CG$6:$CG$747=$D103)*('Rates &amp; Drop Downs INT'!$CI$6:$CI$747=$F103)*('Rates &amp; Drop Downs INT'!$CK$6:$CK$747=$K103)*('Rates &amp; Drop Downs INT'!$CM$6:$CM$747)))</f>
        <v>0</v>
      </c>
      <c r="O103" s="1676" t="str" cm="1">
        <f t="array" ref="O103">IFERROR(IF(ISBLANK(C103),"",IF($E$20="Credera US",IF(C103&lt;&gt;"CrederaUS",INDEX('Rates &amp; Drop Downs INT'!$F$7:$F$431,MATCH(1,('Rates &amp; Drop Downs INT'!$B$7:$B$431='2. Roles &amp; Pricing'!C103)*('Rates &amp; Drop Downs INT'!$C$7:$C$431='2. Roles &amp; Pricing'!K103),0)),INDEX('Rates &amp; Drop Downs INT'!$F$7:$F$431,MATCH(1,('Rates &amp; Drop Downs INT'!$B$7:$B$431='2. Roles &amp; Pricing'!C103)*('Rates &amp; Drop Downs INT'!$J$7:$J$431=N103),0))),"")),"")</f>
        <v/>
      </c>
      <c r="P103" s="1677"/>
      <c r="Q103" s="1677"/>
      <c r="R103" s="1677"/>
      <c r="S103" s="1678"/>
      <c r="T103" s="1722"/>
      <c r="U103" s="1722"/>
      <c r="V103" s="1203" t="str">
        <f>IFERROR(IF(ISBLANK(K103)," ",_xlfn.XLOOKUP(K103,'Rates &amp; Drop Downs INT'!C:C,'Rates &amp; Drop Downs INT'!J:J)),N103)</f>
        <v xml:space="preserve"> </v>
      </c>
      <c r="W103" s="1203" t="str">
        <f t="shared" si="0"/>
        <v xml:space="preserve"> </v>
      </c>
      <c r="X103" s="1203"/>
      <c r="Y103" s="880" t="s">
        <v>2271</v>
      </c>
      <c r="Z103" s="1187"/>
      <c r="AA103" s="1190"/>
      <c r="AB103" s="1274" t="str">
        <f t="shared" si="2"/>
        <v/>
      </c>
      <c r="AC103" s="1690"/>
      <c r="AD103" s="1691"/>
      <c r="AE103" s="881"/>
      <c r="AF103" s="892"/>
      <c r="AH103" s="1685"/>
      <c r="AI103" s="1685"/>
      <c r="AJ103" s="413"/>
      <c r="AK103" s="413"/>
      <c r="AL103" s="413"/>
      <c r="AM103" s="413"/>
      <c r="CM103" s="425"/>
    </row>
    <row r="104" spans="3:91" outlineLevel="2" x14ac:dyDescent="0.25">
      <c r="C104" s="1186"/>
      <c r="D104" s="1187"/>
      <c r="E104" s="1187" t="str">
        <f>IFERROR(_xlfn.XLOOKUP(D104,TADIndia,'Rates &amp; Drop Downs INT'!$CH$6:$CH$747),"")</f>
        <v/>
      </c>
      <c r="F104" s="1187"/>
      <c r="G104" s="1187" t="str">
        <f>IFERROR(_xlfn.XLOOKUP(F104,'Rates &amp; Drop Downs INT'!$CI$6:$CI$747,'Rates &amp; Drop Downs INT'!$CJ$6:$CJ$747),"")</f>
        <v/>
      </c>
      <c r="H104" s="1187" t="str">
        <f>_xlfn.XLOOKUP(F104,'Rates &amp; Drop Downs INT'!$DF$6:$DF$173,'Rates &amp; Drop Downs INT'!$DG$6:$DG$173,"")</f>
        <v/>
      </c>
      <c r="I104" s="1187"/>
      <c r="J104" s="1188">
        <f t="shared" si="1"/>
        <v>0</v>
      </c>
      <c r="K104" s="1682"/>
      <c r="L104" s="1683"/>
      <c r="M104" s="1684"/>
      <c r="N104" s="1189" cm="1">
        <f t="array" ref="N104">IF($E$20="Credera US",V104,SUMPRODUCT(('Rates &amp; Drop Downs INT'!$CG$6:$CG$747=$D104)*('Rates &amp; Drop Downs INT'!$CI$6:$CI$747=$F104)*('Rates &amp; Drop Downs INT'!$CK$6:$CK$747=$K104)*('Rates &amp; Drop Downs INT'!$CM$6:$CM$747)))</f>
        <v>0</v>
      </c>
      <c r="O104" s="1676" t="str" cm="1">
        <f t="array" ref="O104">IFERROR(IF(ISBLANK(C104),"",IF($E$20="Credera US",IF(C104&lt;&gt;"CrederaUS",INDEX('Rates &amp; Drop Downs INT'!$F$7:$F$431,MATCH(1,('Rates &amp; Drop Downs INT'!$B$7:$B$431='2. Roles &amp; Pricing'!C104)*('Rates &amp; Drop Downs INT'!$C$7:$C$431='2. Roles &amp; Pricing'!K104),0)),INDEX('Rates &amp; Drop Downs INT'!$F$7:$F$431,MATCH(1,('Rates &amp; Drop Downs INT'!$B$7:$B$431='2. Roles &amp; Pricing'!C104)*('Rates &amp; Drop Downs INT'!$J$7:$J$431=N104),0))),"")),"")</f>
        <v/>
      </c>
      <c r="P104" s="1677"/>
      <c r="Q104" s="1677"/>
      <c r="R104" s="1677"/>
      <c r="S104" s="1678"/>
      <c r="T104" s="1722"/>
      <c r="U104" s="1722"/>
      <c r="V104" s="1203" t="str">
        <f>IFERROR(IF(ISBLANK(K104)," ",_xlfn.XLOOKUP(K104,'Rates &amp; Drop Downs INT'!C:C,'Rates &amp; Drop Downs INT'!J:J)),N104)</f>
        <v xml:space="preserve"> </v>
      </c>
      <c r="W104" s="1203" t="str">
        <f t="shared" si="0"/>
        <v xml:space="preserve"> </v>
      </c>
      <c r="X104" s="1203"/>
      <c r="Y104" s="880" t="s">
        <v>2271</v>
      </c>
      <c r="Z104" s="1187"/>
      <c r="AA104" s="1190"/>
      <c r="AB104" s="1274" t="str">
        <f t="shared" si="2"/>
        <v/>
      </c>
      <c r="AC104" s="1690"/>
      <c r="AD104" s="1691"/>
      <c r="AE104" s="881"/>
      <c r="AF104" s="892"/>
      <c r="AH104" s="1685"/>
      <c r="AI104" s="1685"/>
      <c r="AJ104" s="413"/>
      <c r="AK104" s="413"/>
      <c r="AL104" s="413"/>
      <c r="AM104" s="413"/>
      <c r="CM104" s="425"/>
    </row>
    <row r="105" spans="3:91" outlineLevel="2" x14ac:dyDescent="0.25">
      <c r="C105" s="1186"/>
      <c r="D105" s="1187"/>
      <c r="E105" s="1187" t="str">
        <f>IFERROR(_xlfn.XLOOKUP(D105,TADIndia,'Rates &amp; Drop Downs INT'!$CH$6:$CH$747),"")</f>
        <v/>
      </c>
      <c r="F105" s="1187"/>
      <c r="G105" s="1187" t="str">
        <f>IFERROR(_xlfn.XLOOKUP(F105,'Rates &amp; Drop Downs INT'!$CI$6:$CI$747,'Rates &amp; Drop Downs INT'!$CJ$6:$CJ$747),"")</f>
        <v/>
      </c>
      <c r="H105" s="1187" t="str">
        <f>_xlfn.XLOOKUP(F105,'Rates &amp; Drop Downs INT'!$DF$6:$DF$173,'Rates &amp; Drop Downs INT'!$DG$6:$DG$173,"")</f>
        <v/>
      </c>
      <c r="I105" s="1187"/>
      <c r="J105" s="1188">
        <f t="shared" si="1"/>
        <v>0</v>
      </c>
      <c r="K105" s="1682"/>
      <c r="L105" s="1683"/>
      <c r="M105" s="1684"/>
      <c r="N105" s="1189" cm="1">
        <f t="array" ref="N105">IF($E$20="Credera US",V105,SUMPRODUCT(('Rates &amp; Drop Downs INT'!$CG$6:$CG$747=$D105)*('Rates &amp; Drop Downs INT'!$CI$6:$CI$747=$F105)*('Rates &amp; Drop Downs INT'!$CK$6:$CK$747=$K105)*('Rates &amp; Drop Downs INT'!$CM$6:$CM$747)))</f>
        <v>0</v>
      </c>
      <c r="O105" s="1676" t="str" cm="1">
        <f t="array" ref="O105">IFERROR(IF(ISBLANK(C105),"",IF($E$20="Credera US",IF(C105&lt;&gt;"CrederaUS",INDEX('Rates &amp; Drop Downs INT'!$F$7:$F$431,MATCH(1,('Rates &amp; Drop Downs INT'!$B$7:$B$431='2. Roles &amp; Pricing'!C105)*('Rates &amp; Drop Downs INT'!$C$7:$C$431='2. Roles &amp; Pricing'!K105),0)),INDEX('Rates &amp; Drop Downs INT'!$F$7:$F$431,MATCH(1,('Rates &amp; Drop Downs INT'!$B$7:$B$431='2. Roles &amp; Pricing'!C105)*('Rates &amp; Drop Downs INT'!$J$7:$J$431=N105),0))),"")),"")</f>
        <v/>
      </c>
      <c r="P105" s="1677"/>
      <c r="Q105" s="1677"/>
      <c r="R105" s="1677"/>
      <c r="S105" s="1678"/>
      <c r="T105" s="1722"/>
      <c r="U105" s="1722"/>
      <c r="V105" s="1203" t="str">
        <f>IFERROR(IF(ISBLANK(K105)," ",_xlfn.XLOOKUP(K105,'Rates &amp; Drop Downs INT'!C:C,'Rates &amp; Drop Downs INT'!J:J)),N105)</f>
        <v xml:space="preserve"> </v>
      </c>
      <c r="W105" s="1203" t="str">
        <f t="shared" si="0"/>
        <v xml:space="preserve"> </v>
      </c>
      <c r="X105" s="1203"/>
      <c r="Y105" s="880" t="s">
        <v>2271</v>
      </c>
      <c r="Z105" s="1187"/>
      <c r="AA105" s="1190"/>
      <c r="AB105" s="1274" t="str">
        <f t="shared" si="2"/>
        <v/>
      </c>
      <c r="AC105" s="1690"/>
      <c r="AD105" s="1691"/>
      <c r="AE105" s="881"/>
      <c r="AF105" s="892"/>
      <c r="AH105" s="1685"/>
      <c r="AI105" s="1685"/>
      <c r="AJ105" s="413"/>
      <c r="AK105" s="413"/>
      <c r="AL105" s="413"/>
      <c r="AM105" s="413"/>
      <c r="CM105" s="425"/>
    </row>
    <row r="106" spans="3:91" outlineLevel="2" x14ac:dyDescent="0.25">
      <c r="C106" s="1186"/>
      <c r="D106" s="1187"/>
      <c r="E106" s="1187" t="str">
        <f>IFERROR(_xlfn.XLOOKUP(D106,TADIndia,'Rates &amp; Drop Downs INT'!$CH$6:$CH$747),"")</f>
        <v/>
      </c>
      <c r="F106" s="1187"/>
      <c r="G106" s="1187" t="str">
        <f>IFERROR(_xlfn.XLOOKUP(F106,'Rates &amp; Drop Downs INT'!$CI$6:$CI$747,'Rates &amp; Drop Downs INT'!$CJ$6:$CJ$747),"")</f>
        <v/>
      </c>
      <c r="H106" s="1187" t="str">
        <f>_xlfn.XLOOKUP(F106,'Rates &amp; Drop Downs INT'!$DF$6:$DF$173,'Rates &amp; Drop Downs INT'!$DG$6:$DG$173,"")</f>
        <v/>
      </c>
      <c r="I106" s="1187"/>
      <c r="J106" s="1188">
        <f t="shared" si="1"/>
        <v>0</v>
      </c>
      <c r="K106" s="1682"/>
      <c r="L106" s="1683"/>
      <c r="M106" s="1684"/>
      <c r="N106" s="1189" cm="1">
        <f t="array" ref="N106">IF($E$20="Credera US",V106,SUMPRODUCT(('Rates &amp; Drop Downs INT'!$CG$6:$CG$747=$D106)*('Rates &amp; Drop Downs INT'!$CI$6:$CI$747=$F106)*('Rates &amp; Drop Downs INT'!$CK$6:$CK$747=$K106)*('Rates &amp; Drop Downs INT'!$CM$6:$CM$747)))</f>
        <v>0</v>
      </c>
      <c r="O106" s="1676" t="str" cm="1">
        <f t="array" ref="O106">IFERROR(IF(ISBLANK(C106),"",IF($E$20="Credera US",IF(C106&lt;&gt;"CrederaUS",INDEX('Rates &amp; Drop Downs INT'!$F$7:$F$431,MATCH(1,('Rates &amp; Drop Downs INT'!$B$7:$B$431='2. Roles &amp; Pricing'!C106)*('Rates &amp; Drop Downs INT'!$C$7:$C$431='2. Roles &amp; Pricing'!K106),0)),INDEX('Rates &amp; Drop Downs INT'!$F$7:$F$431,MATCH(1,('Rates &amp; Drop Downs INT'!$B$7:$B$431='2. Roles &amp; Pricing'!C106)*('Rates &amp; Drop Downs INT'!$J$7:$J$431=N106),0))),"")),"")</f>
        <v/>
      </c>
      <c r="P106" s="1677"/>
      <c r="Q106" s="1677"/>
      <c r="R106" s="1677"/>
      <c r="S106" s="1678"/>
      <c r="T106" s="1722"/>
      <c r="U106" s="1722"/>
      <c r="V106" s="1203" t="str">
        <f>IFERROR(IF(ISBLANK(K106)," ",_xlfn.XLOOKUP(K106,'Rates &amp; Drop Downs INT'!C:C,'Rates &amp; Drop Downs INT'!J:J)),N106)</f>
        <v xml:space="preserve"> </v>
      </c>
      <c r="W106" s="1203" t="str">
        <f t="shared" si="0"/>
        <v xml:space="preserve"> </v>
      </c>
      <c r="X106" s="1203"/>
      <c r="Y106" s="880" t="s">
        <v>2271</v>
      </c>
      <c r="Z106" s="1187"/>
      <c r="AA106" s="1190"/>
      <c r="AB106" s="1274" t="str">
        <f t="shared" si="2"/>
        <v/>
      </c>
      <c r="AC106" s="1690"/>
      <c r="AD106" s="1691"/>
      <c r="AE106" s="881"/>
      <c r="AF106" s="892"/>
      <c r="AH106" s="1685"/>
      <c r="AI106" s="1685"/>
      <c r="AJ106" s="413"/>
      <c r="AK106" s="413"/>
      <c r="AL106" s="413"/>
      <c r="AM106" s="413"/>
      <c r="CM106" s="425"/>
    </row>
    <row r="107" spans="3:91" outlineLevel="2" x14ac:dyDescent="0.25">
      <c r="C107" s="1186"/>
      <c r="D107" s="1187"/>
      <c r="E107" s="1187" t="str">
        <f>IFERROR(_xlfn.XLOOKUP(D107,TADIndia,'Rates &amp; Drop Downs INT'!$CH$6:$CH$747),"")</f>
        <v/>
      </c>
      <c r="F107" s="1187"/>
      <c r="G107" s="1187" t="str">
        <f>IFERROR(_xlfn.XLOOKUP(F107,'Rates &amp; Drop Downs INT'!$CI$6:$CI$747,'Rates &amp; Drop Downs INT'!$CJ$6:$CJ$747),"")</f>
        <v/>
      </c>
      <c r="H107" s="1187" t="str">
        <f>_xlfn.XLOOKUP(F107,'Rates &amp; Drop Downs INT'!$DF$6:$DF$173,'Rates &amp; Drop Downs INT'!$DG$6:$DG$173,"")</f>
        <v/>
      </c>
      <c r="I107" s="1187"/>
      <c r="J107" s="1188">
        <f t="shared" si="1"/>
        <v>0</v>
      </c>
      <c r="K107" s="1682"/>
      <c r="L107" s="1683"/>
      <c r="M107" s="1684"/>
      <c r="N107" s="1189" cm="1">
        <f t="array" ref="N107">IF($E$20="Credera US",V107,SUMPRODUCT(('Rates &amp; Drop Downs INT'!$CG$6:$CG$747=$D107)*('Rates &amp; Drop Downs INT'!$CI$6:$CI$747=$F107)*('Rates &amp; Drop Downs INT'!$CK$6:$CK$747=$K107)*('Rates &amp; Drop Downs INT'!$CM$6:$CM$747)))</f>
        <v>0</v>
      </c>
      <c r="O107" s="1676" t="str" cm="1">
        <f t="array" ref="O107">IFERROR(IF(ISBLANK(C107),"",IF($E$20="Credera US",IF(C107&lt;&gt;"CrederaUS",INDEX('Rates &amp; Drop Downs INT'!$F$7:$F$431,MATCH(1,('Rates &amp; Drop Downs INT'!$B$7:$B$431='2. Roles &amp; Pricing'!C107)*('Rates &amp; Drop Downs INT'!$C$7:$C$431='2. Roles &amp; Pricing'!K107),0)),INDEX('Rates &amp; Drop Downs INT'!$F$7:$F$431,MATCH(1,('Rates &amp; Drop Downs INT'!$B$7:$B$431='2. Roles &amp; Pricing'!C107)*('Rates &amp; Drop Downs INT'!$J$7:$J$431=N107),0))),"")),"")</f>
        <v/>
      </c>
      <c r="P107" s="1677"/>
      <c r="Q107" s="1677"/>
      <c r="R107" s="1677"/>
      <c r="S107" s="1678"/>
      <c r="T107" s="1722"/>
      <c r="U107" s="1722"/>
      <c r="V107" s="1203" t="str">
        <f>IFERROR(IF(ISBLANK(K107)," ",_xlfn.XLOOKUP(K107,'Rates &amp; Drop Downs INT'!C:C,'Rates &amp; Drop Downs INT'!J:J)),N107)</f>
        <v xml:space="preserve"> </v>
      </c>
      <c r="W107" s="1203" t="str">
        <f t="shared" si="0"/>
        <v xml:space="preserve"> </v>
      </c>
      <c r="X107" s="1203"/>
      <c r="Y107" s="880" t="s">
        <v>2271</v>
      </c>
      <c r="Z107" s="1187"/>
      <c r="AA107" s="1190"/>
      <c r="AB107" s="1274" t="str">
        <f t="shared" si="2"/>
        <v/>
      </c>
      <c r="AC107" s="1690"/>
      <c r="AD107" s="1691"/>
      <c r="AE107" s="881"/>
      <c r="AF107" s="892"/>
      <c r="AH107" s="1685"/>
      <c r="AI107" s="1685"/>
      <c r="AJ107" s="413"/>
      <c r="AK107" s="413"/>
      <c r="AL107" s="413"/>
      <c r="AM107" s="413"/>
      <c r="CM107" s="425"/>
    </row>
    <row r="108" spans="3:91" outlineLevel="2" x14ac:dyDescent="0.25">
      <c r="C108" s="1186"/>
      <c r="D108" s="1187"/>
      <c r="E108" s="1187" t="str">
        <f>IFERROR(_xlfn.XLOOKUP(D108,TADIndia,'Rates &amp; Drop Downs INT'!$CH$6:$CH$747),"")</f>
        <v/>
      </c>
      <c r="F108" s="1187"/>
      <c r="G108" s="1187" t="str">
        <f>IFERROR(_xlfn.XLOOKUP(F108,'Rates &amp; Drop Downs INT'!$CI$6:$CI$747,'Rates &amp; Drop Downs INT'!$CJ$6:$CJ$747),"")</f>
        <v/>
      </c>
      <c r="H108" s="1187" t="str">
        <f>_xlfn.XLOOKUP(F108,'Rates &amp; Drop Downs INT'!$DF$6:$DF$173,'Rates &amp; Drop Downs INT'!$DG$6:$DG$173,"")</f>
        <v/>
      </c>
      <c r="I108" s="1187"/>
      <c r="J108" s="1188">
        <f t="shared" si="1"/>
        <v>0</v>
      </c>
      <c r="K108" s="1682"/>
      <c r="L108" s="1683"/>
      <c r="M108" s="1684"/>
      <c r="N108" s="1189" cm="1">
        <f t="array" ref="N108">IF($E$20="Credera US",V108,SUMPRODUCT(('Rates &amp; Drop Downs INT'!$CG$6:$CG$747=$D108)*('Rates &amp; Drop Downs INT'!$CI$6:$CI$747=$F108)*('Rates &amp; Drop Downs INT'!$CK$6:$CK$747=$K108)*('Rates &amp; Drop Downs INT'!$CM$6:$CM$747)))</f>
        <v>0</v>
      </c>
      <c r="O108" s="1676" t="str" cm="1">
        <f t="array" ref="O108">IFERROR(IF(ISBLANK(C108),"",IF($E$20="Credera US",IF(C108&lt;&gt;"CrederaUS",INDEX('Rates &amp; Drop Downs INT'!$F$7:$F$431,MATCH(1,('Rates &amp; Drop Downs INT'!$B$7:$B$431='2. Roles &amp; Pricing'!C108)*('Rates &amp; Drop Downs INT'!$C$7:$C$431='2. Roles &amp; Pricing'!K108),0)),INDEX('Rates &amp; Drop Downs INT'!$F$7:$F$431,MATCH(1,('Rates &amp; Drop Downs INT'!$B$7:$B$431='2. Roles &amp; Pricing'!C108)*('Rates &amp; Drop Downs INT'!$J$7:$J$431=N108),0))),"")),"")</f>
        <v/>
      </c>
      <c r="P108" s="1677"/>
      <c r="Q108" s="1677"/>
      <c r="R108" s="1677"/>
      <c r="S108" s="1678"/>
      <c r="T108" s="1722"/>
      <c r="U108" s="1722"/>
      <c r="V108" s="1203" t="str">
        <f>IFERROR(IF(ISBLANK(K108)," ",_xlfn.XLOOKUP(K108,'Rates &amp; Drop Downs INT'!C:C,'Rates &amp; Drop Downs INT'!J:J)),N108)</f>
        <v xml:space="preserve"> </v>
      </c>
      <c r="W108" s="1203" t="str">
        <f t="shared" si="0"/>
        <v xml:space="preserve"> </v>
      </c>
      <c r="X108" s="1203"/>
      <c r="Y108" s="880" t="s">
        <v>2271</v>
      </c>
      <c r="Z108" s="1187"/>
      <c r="AA108" s="1190"/>
      <c r="AB108" s="1274" t="str">
        <f t="shared" si="2"/>
        <v/>
      </c>
      <c r="AC108" s="1690"/>
      <c r="AD108" s="1691"/>
      <c r="AE108" s="881"/>
      <c r="AF108" s="892"/>
      <c r="AH108" s="1685"/>
      <c r="AI108" s="1685"/>
      <c r="AJ108" s="413"/>
      <c r="AK108" s="413"/>
      <c r="AL108" s="413"/>
      <c r="AM108" s="413"/>
      <c r="CM108" s="425"/>
    </row>
    <row r="109" spans="3:91" outlineLevel="2" x14ac:dyDescent="0.25">
      <c r="C109" s="1186"/>
      <c r="D109" s="1187"/>
      <c r="E109" s="1187" t="str">
        <f>IFERROR(_xlfn.XLOOKUP(D109,TADIndia,'Rates &amp; Drop Downs INT'!$CH$6:$CH$747),"")</f>
        <v/>
      </c>
      <c r="F109" s="1187"/>
      <c r="G109" s="1187" t="str">
        <f>IFERROR(_xlfn.XLOOKUP(F109,'Rates &amp; Drop Downs INT'!$CI$6:$CI$747,'Rates &amp; Drop Downs INT'!$CJ$6:$CJ$747),"")</f>
        <v/>
      </c>
      <c r="H109" s="1187" t="str">
        <f>_xlfn.XLOOKUP(F109,'Rates &amp; Drop Downs INT'!$DF$6:$DF$173,'Rates &amp; Drop Downs INT'!$DG$6:$DG$173,"")</f>
        <v/>
      </c>
      <c r="I109" s="1187"/>
      <c r="J109" s="1188">
        <f t="shared" si="1"/>
        <v>0</v>
      </c>
      <c r="K109" s="1682"/>
      <c r="L109" s="1683"/>
      <c r="M109" s="1684"/>
      <c r="N109" s="1189" cm="1">
        <f t="array" ref="N109">IF($E$20="Credera US",V109,SUMPRODUCT(('Rates &amp; Drop Downs INT'!$CG$6:$CG$747=$D109)*('Rates &amp; Drop Downs INT'!$CI$6:$CI$747=$F109)*('Rates &amp; Drop Downs INT'!$CK$6:$CK$747=$K109)*('Rates &amp; Drop Downs INT'!$CM$6:$CM$747)))</f>
        <v>0</v>
      </c>
      <c r="O109" s="1676" t="str" cm="1">
        <f t="array" ref="O109">IFERROR(IF(ISBLANK(C109),"",IF($E$20="Credera US",IF(C109&lt;&gt;"CrederaUS",INDEX('Rates &amp; Drop Downs INT'!$F$7:$F$431,MATCH(1,('Rates &amp; Drop Downs INT'!$B$7:$B$431='2. Roles &amp; Pricing'!C109)*('Rates &amp; Drop Downs INT'!$C$7:$C$431='2. Roles &amp; Pricing'!K109),0)),INDEX('Rates &amp; Drop Downs INT'!$F$7:$F$431,MATCH(1,('Rates &amp; Drop Downs INT'!$B$7:$B$431='2. Roles &amp; Pricing'!C109)*('Rates &amp; Drop Downs INT'!$J$7:$J$431=N109),0))),"")),"")</f>
        <v/>
      </c>
      <c r="P109" s="1677"/>
      <c r="Q109" s="1677"/>
      <c r="R109" s="1677"/>
      <c r="S109" s="1678"/>
      <c r="T109" s="1722"/>
      <c r="U109" s="1722"/>
      <c r="V109" s="1203" t="str">
        <f>IFERROR(IF(ISBLANK(K109)," ",_xlfn.XLOOKUP(K109,'Rates &amp; Drop Downs INT'!C:C,'Rates &amp; Drop Downs INT'!J:J)),N109)</f>
        <v xml:space="preserve"> </v>
      </c>
      <c r="W109" s="1203" t="str">
        <f t="shared" si="0"/>
        <v xml:space="preserve"> </v>
      </c>
      <c r="X109" s="1203"/>
      <c r="Y109" s="880" t="s">
        <v>2271</v>
      </c>
      <c r="Z109" s="1187"/>
      <c r="AA109" s="1190"/>
      <c r="AB109" s="1274" t="str">
        <f t="shared" si="2"/>
        <v/>
      </c>
      <c r="AC109" s="1690"/>
      <c r="AD109" s="1691"/>
      <c r="AE109" s="881"/>
      <c r="AF109" s="892"/>
      <c r="AH109" s="1685"/>
      <c r="AI109" s="1685"/>
      <c r="AJ109" s="413"/>
      <c r="AK109" s="413"/>
      <c r="AL109" s="413"/>
      <c r="AM109" s="413"/>
      <c r="CM109" s="425"/>
    </row>
    <row r="110" spans="3:91" outlineLevel="2" x14ac:dyDescent="0.25">
      <c r="C110" s="1186"/>
      <c r="D110" s="1187"/>
      <c r="E110" s="1187" t="str">
        <f>IFERROR(_xlfn.XLOOKUP(D110,TADIndia,'Rates &amp; Drop Downs INT'!$CH$6:$CH$747),"")</f>
        <v/>
      </c>
      <c r="F110" s="1187"/>
      <c r="G110" s="1187" t="str">
        <f>IFERROR(_xlfn.XLOOKUP(F110,'Rates &amp; Drop Downs INT'!$CI$6:$CI$747,'Rates &amp; Drop Downs INT'!$CJ$6:$CJ$747),"")</f>
        <v/>
      </c>
      <c r="H110" s="1187" t="str">
        <f>_xlfn.XLOOKUP(F110,'Rates &amp; Drop Downs INT'!$DF$6:$DF$173,'Rates &amp; Drop Downs INT'!$DG$6:$DG$173,"")</f>
        <v/>
      </c>
      <c r="I110" s="1187"/>
      <c r="J110" s="1188">
        <f t="shared" si="1"/>
        <v>0</v>
      </c>
      <c r="K110" s="1682"/>
      <c r="L110" s="1683"/>
      <c r="M110" s="1684"/>
      <c r="N110" s="1189" cm="1">
        <f t="array" ref="N110">IF($E$20="Credera US",V110,SUMPRODUCT(('Rates &amp; Drop Downs INT'!$CG$6:$CG$747=$D110)*('Rates &amp; Drop Downs INT'!$CI$6:$CI$747=$F110)*('Rates &amp; Drop Downs INT'!$CK$6:$CK$747=$K110)*('Rates &amp; Drop Downs INT'!$CM$6:$CM$747)))</f>
        <v>0</v>
      </c>
      <c r="O110" s="1676" t="str" cm="1">
        <f t="array" ref="O110">IFERROR(IF(ISBLANK(C110),"",IF($E$20="Credera US",IF(C110&lt;&gt;"CrederaUS",INDEX('Rates &amp; Drop Downs INT'!$F$7:$F$431,MATCH(1,('Rates &amp; Drop Downs INT'!$B$7:$B$431='2. Roles &amp; Pricing'!C110)*('Rates &amp; Drop Downs INT'!$C$7:$C$431='2. Roles &amp; Pricing'!K110),0)),INDEX('Rates &amp; Drop Downs INT'!$F$7:$F$431,MATCH(1,('Rates &amp; Drop Downs INT'!$B$7:$B$431='2. Roles &amp; Pricing'!C110)*('Rates &amp; Drop Downs INT'!$J$7:$J$431=N110),0))),"")),"")</f>
        <v/>
      </c>
      <c r="P110" s="1677"/>
      <c r="Q110" s="1677"/>
      <c r="R110" s="1677"/>
      <c r="S110" s="1678"/>
      <c r="T110" s="1722"/>
      <c r="U110" s="1722"/>
      <c r="V110" s="1203" t="str">
        <f>IFERROR(IF(ISBLANK(K110)," ",_xlfn.XLOOKUP(K110,'Rates &amp; Drop Downs INT'!C:C,'Rates &amp; Drop Downs INT'!J:J)),N110)</f>
        <v xml:space="preserve"> </v>
      </c>
      <c r="W110" s="1203" t="str">
        <f t="shared" si="0"/>
        <v xml:space="preserve"> </v>
      </c>
      <c r="X110" s="1203"/>
      <c r="Y110" s="880" t="s">
        <v>2271</v>
      </c>
      <c r="Z110" s="1187"/>
      <c r="AA110" s="1190"/>
      <c r="AB110" s="1274" t="str">
        <f t="shared" si="2"/>
        <v/>
      </c>
      <c r="AC110" s="1690"/>
      <c r="AD110" s="1691"/>
      <c r="AE110" s="881"/>
      <c r="AF110" s="892"/>
      <c r="AH110" s="1685"/>
      <c r="AI110" s="1685"/>
      <c r="AJ110" s="413"/>
      <c r="AK110" s="413"/>
      <c r="AL110" s="413"/>
      <c r="AM110" s="413"/>
      <c r="CM110" s="425"/>
    </row>
    <row r="111" spans="3:91" outlineLevel="2" x14ac:dyDescent="0.25">
      <c r="C111" s="1186"/>
      <c r="D111" s="1187"/>
      <c r="E111" s="1187" t="str">
        <f>IFERROR(_xlfn.XLOOKUP(D111,TADIndia,'Rates &amp; Drop Downs INT'!$CH$6:$CH$747),"")</f>
        <v/>
      </c>
      <c r="F111" s="1187"/>
      <c r="G111" s="1187" t="str">
        <f>IFERROR(_xlfn.XLOOKUP(F111,'Rates &amp; Drop Downs INT'!$CI$6:$CI$747,'Rates &amp; Drop Downs INT'!$CJ$6:$CJ$747),"")</f>
        <v/>
      </c>
      <c r="H111" s="1187" t="str">
        <f>_xlfn.XLOOKUP(F111,'Rates &amp; Drop Downs INT'!$DF$6:$DF$173,'Rates &amp; Drop Downs INT'!$DG$6:$DG$173,"")</f>
        <v/>
      </c>
      <c r="I111" s="1187"/>
      <c r="J111" s="1188">
        <f t="shared" si="1"/>
        <v>0</v>
      </c>
      <c r="K111" s="1682"/>
      <c r="L111" s="1683"/>
      <c r="M111" s="1684"/>
      <c r="N111" s="1189" cm="1">
        <f t="array" ref="N111">IF($E$20="Credera US",V111,SUMPRODUCT(('Rates &amp; Drop Downs INT'!$CG$6:$CG$747=$D111)*('Rates &amp; Drop Downs INT'!$CI$6:$CI$747=$F111)*('Rates &amp; Drop Downs INT'!$CK$6:$CK$747=$K111)*('Rates &amp; Drop Downs INT'!$CM$6:$CM$747)))</f>
        <v>0</v>
      </c>
      <c r="O111" s="1676" t="str" cm="1">
        <f t="array" ref="O111">IFERROR(IF(ISBLANK(C111),"",IF($E$20="Credera US",IF(C111&lt;&gt;"CrederaUS",INDEX('Rates &amp; Drop Downs INT'!$F$7:$F$431,MATCH(1,('Rates &amp; Drop Downs INT'!$B$7:$B$431='2. Roles &amp; Pricing'!C111)*('Rates &amp; Drop Downs INT'!$C$7:$C$431='2. Roles &amp; Pricing'!K111),0)),INDEX('Rates &amp; Drop Downs INT'!$F$7:$F$431,MATCH(1,('Rates &amp; Drop Downs INT'!$B$7:$B$431='2. Roles &amp; Pricing'!C111)*('Rates &amp; Drop Downs INT'!$J$7:$J$431=N111),0))),"")),"")</f>
        <v/>
      </c>
      <c r="P111" s="1677"/>
      <c r="Q111" s="1677"/>
      <c r="R111" s="1677"/>
      <c r="S111" s="1678"/>
      <c r="T111" s="1722"/>
      <c r="U111" s="1722"/>
      <c r="V111" s="1203" t="str">
        <f>IFERROR(IF(ISBLANK(K111)," ",_xlfn.XLOOKUP(K111,'Rates &amp; Drop Downs INT'!C:C,'Rates &amp; Drop Downs INT'!J:J)),N111)</f>
        <v xml:space="preserve"> </v>
      </c>
      <c r="W111" s="1203" t="str">
        <f t="shared" si="0"/>
        <v xml:space="preserve"> </v>
      </c>
      <c r="X111" s="1203"/>
      <c r="Y111" s="880" t="s">
        <v>2271</v>
      </c>
      <c r="Z111" s="1187"/>
      <c r="AA111" s="1190"/>
      <c r="AB111" s="1274" t="str">
        <f t="shared" si="2"/>
        <v/>
      </c>
      <c r="AC111" s="1690"/>
      <c r="AD111" s="1691"/>
      <c r="AE111" s="881"/>
      <c r="AF111" s="892"/>
      <c r="AH111" s="1685"/>
      <c r="AI111" s="1685"/>
      <c r="AJ111" s="413"/>
      <c r="AK111" s="413"/>
      <c r="AL111" s="413"/>
      <c r="AM111" s="413"/>
      <c r="CM111" s="425"/>
    </row>
    <row r="112" spans="3:91" outlineLevel="2" x14ac:dyDescent="0.25">
      <c r="C112" s="1186"/>
      <c r="D112" s="1187"/>
      <c r="E112" s="1187" t="str">
        <f>IFERROR(_xlfn.XLOOKUP(D112,TADIndia,'Rates &amp; Drop Downs INT'!$CH$6:$CH$747),"")</f>
        <v/>
      </c>
      <c r="F112" s="1187"/>
      <c r="G112" s="1187" t="str">
        <f>IFERROR(_xlfn.XLOOKUP(F112,'Rates &amp; Drop Downs INT'!$CI$6:$CI$747,'Rates &amp; Drop Downs INT'!$CJ$6:$CJ$747),"")</f>
        <v/>
      </c>
      <c r="H112" s="1187" t="str">
        <f>_xlfn.XLOOKUP(F112,'Rates &amp; Drop Downs INT'!$DF$6:$DF$173,'Rates &amp; Drop Downs INT'!$DG$6:$DG$173,"")</f>
        <v/>
      </c>
      <c r="I112" s="1187"/>
      <c r="J112" s="1188">
        <f t="shared" si="1"/>
        <v>0</v>
      </c>
      <c r="K112" s="1682"/>
      <c r="L112" s="1683"/>
      <c r="M112" s="1684"/>
      <c r="N112" s="1189" cm="1">
        <f t="array" ref="N112">IF($E$20="Credera US",V112,SUMPRODUCT(('Rates &amp; Drop Downs INT'!$CG$6:$CG$747=$D112)*('Rates &amp; Drop Downs INT'!$CI$6:$CI$747=$F112)*('Rates &amp; Drop Downs INT'!$CK$6:$CK$747=$K112)*('Rates &amp; Drop Downs INT'!$CM$6:$CM$747)))</f>
        <v>0</v>
      </c>
      <c r="O112" s="1676" t="str" cm="1">
        <f t="array" ref="O112">IFERROR(IF(ISBLANK(C112),"",IF($E$20="Credera US",IF(C112&lt;&gt;"CrederaUS",INDEX('Rates &amp; Drop Downs INT'!$F$7:$F$431,MATCH(1,('Rates &amp; Drop Downs INT'!$B$7:$B$431='2. Roles &amp; Pricing'!C112)*('Rates &amp; Drop Downs INT'!$C$7:$C$431='2. Roles &amp; Pricing'!K112),0)),INDEX('Rates &amp; Drop Downs INT'!$F$7:$F$431,MATCH(1,('Rates &amp; Drop Downs INT'!$B$7:$B$431='2. Roles &amp; Pricing'!C112)*('Rates &amp; Drop Downs INT'!$J$7:$J$431=N112),0))),"")),"")</f>
        <v/>
      </c>
      <c r="P112" s="1677"/>
      <c r="Q112" s="1677"/>
      <c r="R112" s="1677"/>
      <c r="S112" s="1678"/>
      <c r="T112" s="1722"/>
      <c r="U112" s="1722"/>
      <c r="V112" s="1203" t="str">
        <f>IFERROR(IF(ISBLANK(K112)," ",_xlfn.XLOOKUP(K112,'Rates &amp; Drop Downs INT'!C:C,'Rates &amp; Drop Downs INT'!J:J)),N112)</f>
        <v xml:space="preserve"> </v>
      </c>
      <c r="W112" s="1203" t="str">
        <f t="shared" si="0"/>
        <v xml:space="preserve"> </v>
      </c>
      <c r="X112" s="1203"/>
      <c r="Y112" s="880" t="s">
        <v>2271</v>
      </c>
      <c r="Z112" s="1187"/>
      <c r="AA112" s="1190"/>
      <c r="AB112" s="1274" t="str">
        <f t="shared" si="2"/>
        <v/>
      </c>
      <c r="AC112" s="1690"/>
      <c r="AD112" s="1691"/>
      <c r="AE112" s="881"/>
      <c r="AF112" s="892"/>
      <c r="AH112" s="1685"/>
      <c r="AI112" s="1685"/>
      <c r="AJ112" s="413"/>
      <c r="AK112" s="413"/>
      <c r="AL112" s="413"/>
      <c r="AM112" s="413"/>
      <c r="CM112" s="425"/>
    </row>
    <row r="113" spans="3:91" outlineLevel="2" x14ac:dyDescent="0.25">
      <c r="C113" s="1186"/>
      <c r="D113" s="1187"/>
      <c r="E113" s="1187" t="str">
        <f>IFERROR(_xlfn.XLOOKUP(D113,TADIndia,'Rates &amp; Drop Downs INT'!$CH$6:$CH$747),"")</f>
        <v/>
      </c>
      <c r="F113" s="1187"/>
      <c r="G113" s="1187" t="str">
        <f>IFERROR(_xlfn.XLOOKUP(F113,'Rates &amp; Drop Downs INT'!$CI$6:$CI$747,'Rates &amp; Drop Downs INT'!$CJ$6:$CJ$747),"")</f>
        <v/>
      </c>
      <c r="H113" s="1187" t="str">
        <f>_xlfn.XLOOKUP(F113,'Rates &amp; Drop Downs INT'!$DF$6:$DF$173,'Rates &amp; Drop Downs INT'!$DG$6:$DG$173,"")</f>
        <v/>
      </c>
      <c r="I113" s="1187"/>
      <c r="J113" s="1188">
        <f t="shared" ref="J113:J148" si="3">C113</f>
        <v>0</v>
      </c>
      <c r="K113" s="1682"/>
      <c r="L113" s="1683"/>
      <c r="M113" s="1684"/>
      <c r="N113" s="1189" cm="1">
        <f t="array" ref="N113">IF($E$20="Credera US",V113,SUMPRODUCT(('Rates &amp; Drop Downs INT'!$CG$6:$CG$747=$D113)*('Rates &amp; Drop Downs INT'!$CI$6:$CI$747=$F113)*('Rates &amp; Drop Downs INT'!$CK$6:$CK$747=$K113)*('Rates &amp; Drop Downs INT'!$CM$6:$CM$747)))</f>
        <v>0</v>
      </c>
      <c r="O113" s="1676" t="str" cm="1">
        <f t="array" ref="O113">IFERROR(IF(ISBLANK(C113),"",IF($E$20="Credera US",IF(C113&lt;&gt;"CrederaUS",INDEX('Rates &amp; Drop Downs INT'!$F$7:$F$431,MATCH(1,('Rates &amp; Drop Downs INT'!$B$7:$B$431='2. Roles &amp; Pricing'!C113)*('Rates &amp; Drop Downs INT'!$C$7:$C$431='2. Roles &amp; Pricing'!K113),0)),INDEX('Rates &amp; Drop Downs INT'!$F$7:$F$431,MATCH(1,('Rates &amp; Drop Downs INT'!$B$7:$B$431='2. Roles &amp; Pricing'!C113)*('Rates &amp; Drop Downs INT'!$J$7:$J$431=N113),0))),"")),"")</f>
        <v/>
      </c>
      <c r="P113" s="1677"/>
      <c r="Q113" s="1677"/>
      <c r="R113" s="1677"/>
      <c r="S113" s="1678"/>
      <c r="T113" s="1722"/>
      <c r="U113" s="1722"/>
      <c r="V113" s="1203" t="str">
        <f>IFERROR(IF(ISBLANK(K113)," ",_xlfn.XLOOKUP(K113,'Rates &amp; Drop Downs INT'!C:C,'Rates &amp; Drop Downs INT'!J:J)),N113)</f>
        <v xml:space="preserve"> </v>
      </c>
      <c r="W113" s="1203" t="str">
        <f t="shared" ref="W113:W147" si="4">IF(ISBLANK($K113)," ",IF(OR($C113="Credera US",$C113="TADNorthAmerica"),"Onshore","Offshore"))</f>
        <v xml:space="preserve"> </v>
      </c>
      <c r="X113" s="1203"/>
      <c r="Y113" s="880" t="s">
        <v>2271</v>
      </c>
      <c r="Z113" s="1187"/>
      <c r="AA113" s="1190"/>
      <c r="AB113" s="1274" t="str">
        <f t="shared" si="2"/>
        <v/>
      </c>
      <c r="AC113" s="1690"/>
      <c r="AD113" s="1691"/>
      <c r="AE113" s="881"/>
      <c r="AF113" s="892"/>
      <c r="AH113" s="1685"/>
      <c r="AI113" s="1685"/>
      <c r="AJ113" s="413"/>
      <c r="AK113" s="413"/>
      <c r="AL113" s="413"/>
      <c r="AM113" s="413"/>
      <c r="CM113" s="425"/>
    </row>
    <row r="114" spans="3:91" outlineLevel="2" x14ac:dyDescent="0.25">
      <c r="C114" s="1186"/>
      <c r="D114" s="1187"/>
      <c r="E114" s="1187" t="str">
        <f>IFERROR(_xlfn.XLOOKUP(D114,TADIndia,'Rates &amp; Drop Downs INT'!$CH$6:$CH$747),"")</f>
        <v/>
      </c>
      <c r="F114" s="1187"/>
      <c r="G114" s="1187" t="str">
        <f>IFERROR(_xlfn.XLOOKUP(F114,'Rates &amp; Drop Downs INT'!$CI$6:$CI$747,'Rates &amp; Drop Downs INT'!$CJ$6:$CJ$747),"")</f>
        <v/>
      </c>
      <c r="H114" s="1187" t="str">
        <f>_xlfn.XLOOKUP(F114,'Rates &amp; Drop Downs INT'!$DF$6:$DF$173,'Rates &amp; Drop Downs INT'!$DG$6:$DG$173,"")</f>
        <v/>
      </c>
      <c r="I114" s="1187"/>
      <c r="J114" s="1188">
        <f t="shared" si="3"/>
        <v>0</v>
      </c>
      <c r="K114" s="1682"/>
      <c r="L114" s="1683"/>
      <c r="M114" s="1684"/>
      <c r="N114" s="1189" cm="1">
        <f t="array" ref="N114">IF($E$20="Credera US",V114,SUMPRODUCT(('Rates &amp; Drop Downs INT'!$CG$6:$CG$747=$D114)*('Rates &amp; Drop Downs INT'!$CI$6:$CI$747=$F114)*('Rates &amp; Drop Downs INT'!$CK$6:$CK$747=$K114)*('Rates &amp; Drop Downs INT'!$CM$6:$CM$747)))</f>
        <v>0</v>
      </c>
      <c r="O114" s="1676" t="str" cm="1">
        <f t="array" ref="O114">IFERROR(IF(ISBLANK(C114),"",IF($E$20="Credera US",IF(C114&lt;&gt;"CrederaUS",INDEX('Rates &amp; Drop Downs INT'!$F$7:$F$431,MATCH(1,('Rates &amp; Drop Downs INT'!$B$7:$B$431='2. Roles &amp; Pricing'!C114)*('Rates &amp; Drop Downs INT'!$C$7:$C$431='2. Roles &amp; Pricing'!K114),0)),INDEX('Rates &amp; Drop Downs INT'!$F$7:$F$431,MATCH(1,('Rates &amp; Drop Downs INT'!$B$7:$B$431='2. Roles &amp; Pricing'!C114)*('Rates &amp; Drop Downs INT'!$J$7:$J$431=N114),0))),"")),"")</f>
        <v/>
      </c>
      <c r="P114" s="1677"/>
      <c r="Q114" s="1677"/>
      <c r="R114" s="1677"/>
      <c r="S114" s="1678"/>
      <c r="T114" s="1722"/>
      <c r="U114" s="1722"/>
      <c r="V114" s="1203" t="str">
        <f>IFERROR(IF(ISBLANK(K114)," ",_xlfn.XLOOKUP(K114,'Rates &amp; Drop Downs INT'!C:C,'Rates &amp; Drop Downs INT'!J:J)),N114)</f>
        <v xml:space="preserve"> </v>
      </c>
      <c r="W114" s="1203" t="str">
        <f t="shared" si="4"/>
        <v xml:space="preserve"> </v>
      </c>
      <c r="X114" s="1203"/>
      <c r="Y114" s="880" t="s">
        <v>2271</v>
      </c>
      <c r="Z114" s="1187"/>
      <c r="AA114" s="1190"/>
      <c r="AB114" s="1274" t="str">
        <f t="shared" si="2"/>
        <v/>
      </c>
      <c r="AC114" s="1690"/>
      <c r="AD114" s="1691"/>
      <c r="AE114" s="881"/>
      <c r="AF114" s="892"/>
      <c r="AH114" s="1685"/>
      <c r="AI114" s="1685"/>
      <c r="AJ114" s="413"/>
      <c r="AK114" s="413"/>
      <c r="AL114" s="413"/>
      <c r="AM114" s="413"/>
      <c r="CM114" s="425"/>
    </row>
    <row r="115" spans="3:91" outlineLevel="2" x14ac:dyDescent="0.25">
      <c r="C115" s="1186"/>
      <c r="D115" s="1187"/>
      <c r="E115" s="1187" t="str">
        <f>IFERROR(_xlfn.XLOOKUP(D115,TADIndia,'Rates &amp; Drop Downs INT'!$CH$6:$CH$747),"")</f>
        <v/>
      </c>
      <c r="F115" s="1187"/>
      <c r="G115" s="1187" t="str">
        <f>IFERROR(_xlfn.XLOOKUP(F115,'Rates &amp; Drop Downs INT'!$CI$6:$CI$747,'Rates &amp; Drop Downs INT'!$CJ$6:$CJ$747),"")</f>
        <v/>
      </c>
      <c r="H115" s="1187" t="str">
        <f>_xlfn.XLOOKUP(F115,'Rates &amp; Drop Downs INT'!$DF$6:$DF$173,'Rates &amp; Drop Downs INT'!$DG$6:$DG$173,"")</f>
        <v/>
      </c>
      <c r="I115" s="1187"/>
      <c r="J115" s="1188">
        <f t="shared" si="3"/>
        <v>0</v>
      </c>
      <c r="K115" s="1682"/>
      <c r="L115" s="1683"/>
      <c r="M115" s="1684"/>
      <c r="N115" s="1189" cm="1">
        <f t="array" ref="N115">IF($E$20="Credera US",V115,SUMPRODUCT(('Rates &amp; Drop Downs INT'!$CG$6:$CG$747=$D115)*('Rates &amp; Drop Downs INT'!$CI$6:$CI$747=$F115)*('Rates &amp; Drop Downs INT'!$CK$6:$CK$747=$K115)*('Rates &amp; Drop Downs INT'!$CM$6:$CM$747)))</f>
        <v>0</v>
      </c>
      <c r="O115" s="1676" t="str" cm="1">
        <f t="array" ref="O115">IFERROR(IF(ISBLANK(C115),"",IF($E$20="Credera US",IF(C115&lt;&gt;"CrederaUS",INDEX('Rates &amp; Drop Downs INT'!$F$7:$F$431,MATCH(1,('Rates &amp; Drop Downs INT'!$B$7:$B$431='2. Roles &amp; Pricing'!C115)*('Rates &amp; Drop Downs INT'!$C$7:$C$431='2. Roles &amp; Pricing'!K115),0)),INDEX('Rates &amp; Drop Downs INT'!$F$7:$F$431,MATCH(1,('Rates &amp; Drop Downs INT'!$B$7:$B$431='2. Roles &amp; Pricing'!C115)*('Rates &amp; Drop Downs INT'!$J$7:$J$431=N115),0))),"")),"")</f>
        <v/>
      </c>
      <c r="P115" s="1677"/>
      <c r="Q115" s="1677"/>
      <c r="R115" s="1677"/>
      <c r="S115" s="1678"/>
      <c r="T115" s="1722"/>
      <c r="U115" s="1722"/>
      <c r="V115" s="1203" t="str">
        <f>IFERROR(IF(ISBLANK(K115)," ",_xlfn.XLOOKUP(K115,'Rates &amp; Drop Downs INT'!C:C,'Rates &amp; Drop Downs INT'!J:J)),N115)</f>
        <v xml:space="preserve"> </v>
      </c>
      <c r="W115" s="1203" t="str">
        <f t="shared" si="4"/>
        <v xml:space="preserve"> </v>
      </c>
      <c r="X115" s="1203"/>
      <c r="Y115" s="880" t="s">
        <v>2271</v>
      </c>
      <c r="Z115" s="1187"/>
      <c r="AA115" s="1190"/>
      <c r="AB115" s="1274" t="str">
        <f t="shared" si="2"/>
        <v/>
      </c>
      <c r="AC115" s="1690"/>
      <c r="AD115" s="1691"/>
      <c r="AE115" s="881"/>
      <c r="AF115" s="892"/>
      <c r="AH115" s="1685"/>
      <c r="AI115" s="1685"/>
      <c r="AJ115" s="413"/>
      <c r="AK115" s="413"/>
      <c r="AL115" s="413"/>
      <c r="AM115" s="413"/>
      <c r="CM115" s="425"/>
    </row>
    <row r="116" spans="3:91" outlineLevel="2" x14ac:dyDescent="0.25">
      <c r="C116" s="1186"/>
      <c r="D116" s="1187"/>
      <c r="E116" s="1187" t="str">
        <f>IFERROR(_xlfn.XLOOKUP(D116,TADIndia,'Rates &amp; Drop Downs INT'!$CH$6:$CH$747),"")</f>
        <v/>
      </c>
      <c r="F116" s="1187"/>
      <c r="G116" s="1187" t="str">
        <f>IFERROR(_xlfn.XLOOKUP(F116,'Rates &amp; Drop Downs INT'!$CI$6:$CI$747,'Rates &amp; Drop Downs INT'!$CJ$6:$CJ$747),"")</f>
        <v/>
      </c>
      <c r="H116" s="1187" t="str">
        <f>_xlfn.XLOOKUP(F116,'Rates &amp; Drop Downs INT'!$DF$6:$DF$173,'Rates &amp; Drop Downs INT'!$DG$6:$DG$173,"")</f>
        <v/>
      </c>
      <c r="I116" s="1187"/>
      <c r="J116" s="1188">
        <f t="shared" si="3"/>
        <v>0</v>
      </c>
      <c r="K116" s="1682"/>
      <c r="L116" s="1683"/>
      <c r="M116" s="1684"/>
      <c r="N116" s="1189" cm="1">
        <f t="array" ref="N116">IF($E$20="Credera US",V116,SUMPRODUCT(('Rates &amp; Drop Downs INT'!$CG$6:$CG$747=$D116)*('Rates &amp; Drop Downs INT'!$CI$6:$CI$747=$F116)*('Rates &amp; Drop Downs INT'!$CK$6:$CK$747=$K116)*('Rates &amp; Drop Downs INT'!$CM$6:$CM$747)))</f>
        <v>0</v>
      </c>
      <c r="O116" s="1676" t="str" cm="1">
        <f t="array" ref="O116">IFERROR(IF(ISBLANK(C116),"",IF($E$20="Credera US",IF(C116&lt;&gt;"CrederaUS",INDEX('Rates &amp; Drop Downs INT'!$F$7:$F$431,MATCH(1,('Rates &amp; Drop Downs INT'!$B$7:$B$431='2. Roles &amp; Pricing'!C116)*('Rates &amp; Drop Downs INT'!$C$7:$C$431='2. Roles &amp; Pricing'!K116),0)),INDEX('Rates &amp; Drop Downs INT'!$F$7:$F$431,MATCH(1,('Rates &amp; Drop Downs INT'!$B$7:$B$431='2. Roles &amp; Pricing'!C116)*('Rates &amp; Drop Downs INT'!$J$7:$J$431=N116),0))),"")),"")</f>
        <v/>
      </c>
      <c r="P116" s="1677"/>
      <c r="Q116" s="1677"/>
      <c r="R116" s="1677"/>
      <c r="S116" s="1678"/>
      <c r="T116" s="1722"/>
      <c r="U116" s="1722"/>
      <c r="V116" s="1203" t="str">
        <f>IFERROR(IF(ISBLANK(K116)," ",_xlfn.XLOOKUP(K116,'Rates &amp; Drop Downs INT'!C:C,'Rates &amp; Drop Downs INT'!J:J)),N116)</f>
        <v xml:space="preserve"> </v>
      </c>
      <c r="W116" s="1203" t="str">
        <f t="shared" si="4"/>
        <v xml:space="preserve"> </v>
      </c>
      <c r="X116" s="1203"/>
      <c r="Y116" s="880" t="s">
        <v>2271</v>
      </c>
      <c r="Z116" s="1187"/>
      <c r="AA116" s="1190"/>
      <c r="AB116" s="1274" t="str">
        <f t="shared" si="2"/>
        <v/>
      </c>
      <c r="AC116" s="1690"/>
      <c r="AD116" s="1691"/>
      <c r="AE116" s="881"/>
      <c r="AF116" s="892"/>
      <c r="AH116" s="1685"/>
      <c r="AI116" s="1685"/>
      <c r="AJ116" s="413"/>
      <c r="AK116" s="413"/>
      <c r="AL116" s="413"/>
      <c r="AM116" s="413"/>
      <c r="CM116" s="425"/>
    </row>
    <row r="117" spans="3:91" outlineLevel="2" x14ac:dyDescent="0.25">
      <c r="C117" s="1186"/>
      <c r="D117" s="1187"/>
      <c r="E117" s="1187" t="str">
        <f>IFERROR(_xlfn.XLOOKUP(D117,TADIndia,'Rates &amp; Drop Downs INT'!$CH$6:$CH$747),"")</f>
        <v/>
      </c>
      <c r="F117" s="1187"/>
      <c r="G117" s="1187" t="str">
        <f>IFERROR(_xlfn.XLOOKUP(F117,'Rates &amp; Drop Downs INT'!$CI$6:$CI$747,'Rates &amp; Drop Downs INT'!$CJ$6:$CJ$747),"")</f>
        <v/>
      </c>
      <c r="H117" s="1187" t="str">
        <f>_xlfn.XLOOKUP(F117,'Rates &amp; Drop Downs INT'!$DF$6:$DF$173,'Rates &amp; Drop Downs INT'!$DG$6:$DG$173,"")</f>
        <v/>
      </c>
      <c r="I117" s="1187"/>
      <c r="J117" s="1188">
        <f t="shared" si="3"/>
        <v>0</v>
      </c>
      <c r="K117" s="1682"/>
      <c r="L117" s="1683"/>
      <c r="M117" s="1684"/>
      <c r="N117" s="1189" cm="1">
        <f t="array" ref="N117">IF($E$20="Credera US",V117,SUMPRODUCT(('Rates &amp; Drop Downs INT'!$CG$6:$CG$747=$D117)*('Rates &amp; Drop Downs INT'!$CI$6:$CI$747=$F117)*('Rates &amp; Drop Downs INT'!$CK$6:$CK$747=$K117)*('Rates &amp; Drop Downs INT'!$CM$6:$CM$747)))</f>
        <v>0</v>
      </c>
      <c r="O117" s="1676" t="str" cm="1">
        <f t="array" ref="O117">IFERROR(IF(ISBLANK(C117),"",IF($E$20="Credera US",IF(C117&lt;&gt;"CrederaUS",INDEX('Rates &amp; Drop Downs INT'!$F$7:$F$431,MATCH(1,('Rates &amp; Drop Downs INT'!$B$7:$B$431='2. Roles &amp; Pricing'!C117)*('Rates &amp; Drop Downs INT'!$C$7:$C$431='2. Roles &amp; Pricing'!K117),0)),INDEX('Rates &amp; Drop Downs INT'!$F$7:$F$431,MATCH(1,('Rates &amp; Drop Downs INT'!$B$7:$B$431='2. Roles &amp; Pricing'!C117)*('Rates &amp; Drop Downs INT'!$J$7:$J$431=N117),0))),"")),"")</f>
        <v/>
      </c>
      <c r="P117" s="1677"/>
      <c r="Q117" s="1677"/>
      <c r="R117" s="1677"/>
      <c r="S117" s="1678"/>
      <c r="T117" s="1722"/>
      <c r="U117" s="1722"/>
      <c r="V117" s="1203" t="str">
        <f>IFERROR(IF(ISBLANK(K117)," ",_xlfn.XLOOKUP(K117,'Rates &amp; Drop Downs INT'!C:C,'Rates &amp; Drop Downs INT'!J:J)),N117)</f>
        <v xml:space="preserve"> </v>
      </c>
      <c r="W117" s="1203" t="str">
        <f t="shared" si="4"/>
        <v xml:space="preserve"> </v>
      </c>
      <c r="X117" s="1203"/>
      <c r="Y117" s="880" t="s">
        <v>2271</v>
      </c>
      <c r="Z117" s="1187"/>
      <c r="AA117" s="1190"/>
      <c r="AB117" s="1274" t="str">
        <f t="shared" si="2"/>
        <v/>
      </c>
      <c r="AC117" s="1690"/>
      <c r="AD117" s="1691"/>
      <c r="AE117" s="881"/>
      <c r="AF117" s="892"/>
      <c r="AH117" s="1685"/>
      <c r="AI117" s="1685"/>
      <c r="AJ117" s="413"/>
      <c r="AK117" s="413"/>
      <c r="AL117" s="413"/>
      <c r="AM117" s="413"/>
      <c r="CM117" s="425"/>
    </row>
    <row r="118" spans="3:91" outlineLevel="2" x14ac:dyDescent="0.25">
      <c r="C118" s="1186"/>
      <c r="D118" s="1187"/>
      <c r="E118" s="1187" t="str">
        <f>IFERROR(_xlfn.XLOOKUP(D118,TADIndia,'Rates &amp; Drop Downs INT'!$CH$6:$CH$747),"")</f>
        <v/>
      </c>
      <c r="F118" s="1187"/>
      <c r="G118" s="1187" t="str">
        <f>IFERROR(_xlfn.XLOOKUP(F118,'Rates &amp; Drop Downs INT'!$CI$6:$CI$747,'Rates &amp; Drop Downs INT'!$CJ$6:$CJ$747),"")</f>
        <v/>
      </c>
      <c r="H118" s="1187" t="str">
        <f>_xlfn.XLOOKUP(F118,'Rates &amp; Drop Downs INT'!$DF$6:$DF$173,'Rates &amp; Drop Downs INT'!$DG$6:$DG$173,"")</f>
        <v/>
      </c>
      <c r="I118" s="1187"/>
      <c r="J118" s="1188">
        <f t="shared" si="3"/>
        <v>0</v>
      </c>
      <c r="K118" s="1682"/>
      <c r="L118" s="1683"/>
      <c r="M118" s="1684"/>
      <c r="N118" s="1189" cm="1">
        <f t="array" ref="N118">IF($E$20="Credera US",V118,SUMPRODUCT(('Rates &amp; Drop Downs INT'!$CG$6:$CG$747=$D118)*('Rates &amp; Drop Downs INT'!$CI$6:$CI$747=$F118)*('Rates &amp; Drop Downs INT'!$CK$6:$CK$747=$K118)*('Rates &amp; Drop Downs INT'!$CM$6:$CM$747)))</f>
        <v>0</v>
      </c>
      <c r="O118" s="1676" t="str" cm="1">
        <f t="array" ref="O118">IFERROR(IF(ISBLANK(C118),"",IF($E$20="Credera US",IF(C118&lt;&gt;"CrederaUS",INDEX('Rates &amp; Drop Downs INT'!$F$7:$F$431,MATCH(1,('Rates &amp; Drop Downs INT'!$B$7:$B$431='2. Roles &amp; Pricing'!C118)*('Rates &amp; Drop Downs INT'!$C$7:$C$431='2. Roles &amp; Pricing'!K118),0)),INDEX('Rates &amp; Drop Downs INT'!$F$7:$F$431,MATCH(1,('Rates &amp; Drop Downs INT'!$B$7:$B$431='2. Roles &amp; Pricing'!C118)*('Rates &amp; Drop Downs INT'!$J$7:$J$431=N118),0))),"")),"")</f>
        <v/>
      </c>
      <c r="P118" s="1677"/>
      <c r="Q118" s="1677"/>
      <c r="R118" s="1677"/>
      <c r="S118" s="1678"/>
      <c r="T118" s="1722"/>
      <c r="U118" s="1722"/>
      <c r="V118" s="1203" t="str">
        <f>IFERROR(IF(ISBLANK(K118)," ",_xlfn.XLOOKUP(K118,'Rates &amp; Drop Downs INT'!C:C,'Rates &amp; Drop Downs INT'!J:J)),N118)</f>
        <v xml:space="preserve"> </v>
      </c>
      <c r="W118" s="1203" t="str">
        <f t="shared" si="4"/>
        <v xml:space="preserve"> </v>
      </c>
      <c r="X118" s="1203"/>
      <c r="Y118" s="880" t="s">
        <v>2271</v>
      </c>
      <c r="Z118" s="1187"/>
      <c r="AA118" s="1190"/>
      <c r="AB118" s="1274" t="str">
        <f t="shared" si="2"/>
        <v/>
      </c>
      <c r="AC118" s="1690"/>
      <c r="AD118" s="1691"/>
      <c r="AE118" s="881"/>
      <c r="AF118" s="892"/>
      <c r="AH118" s="1685"/>
      <c r="AI118" s="1685"/>
      <c r="AJ118" s="413"/>
      <c r="AK118" s="413"/>
      <c r="AL118" s="413"/>
      <c r="AM118" s="413"/>
      <c r="CM118" s="425"/>
    </row>
    <row r="119" spans="3:91" outlineLevel="2" x14ac:dyDescent="0.25">
      <c r="C119" s="1186"/>
      <c r="D119" s="1187"/>
      <c r="E119" s="1187" t="str">
        <f>IFERROR(_xlfn.XLOOKUP(D119,TADIndia,'Rates &amp; Drop Downs INT'!$CH$6:$CH$747),"")</f>
        <v/>
      </c>
      <c r="F119" s="1187"/>
      <c r="G119" s="1187" t="str">
        <f>IFERROR(_xlfn.XLOOKUP(F119,'Rates &amp; Drop Downs INT'!$CI$6:$CI$747,'Rates &amp; Drop Downs INT'!$CJ$6:$CJ$747),"")</f>
        <v/>
      </c>
      <c r="H119" s="1187" t="str">
        <f>_xlfn.XLOOKUP(F119,'Rates &amp; Drop Downs INT'!$DF$6:$DF$173,'Rates &amp; Drop Downs INT'!$DG$6:$DG$173,"")</f>
        <v/>
      </c>
      <c r="I119" s="1187"/>
      <c r="J119" s="1188">
        <f t="shared" si="3"/>
        <v>0</v>
      </c>
      <c r="K119" s="1682"/>
      <c r="L119" s="1683"/>
      <c r="M119" s="1684"/>
      <c r="N119" s="1189" cm="1">
        <f t="array" ref="N119">IF($E$20="Credera US",V119,SUMPRODUCT(('Rates &amp; Drop Downs INT'!$CG$6:$CG$747=$D119)*('Rates &amp; Drop Downs INT'!$CI$6:$CI$747=$F119)*('Rates &amp; Drop Downs INT'!$CK$6:$CK$747=$K119)*('Rates &amp; Drop Downs INT'!$CM$6:$CM$747)))</f>
        <v>0</v>
      </c>
      <c r="O119" s="1676" t="str" cm="1">
        <f t="array" ref="O119">IFERROR(IF(ISBLANK(C119),"",IF($E$20="Credera US",IF(C119&lt;&gt;"CrederaUS",INDEX('Rates &amp; Drop Downs INT'!$F$7:$F$431,MATCH(1,('Rates &amp; Drop Downs INT'!$B$7:$B$431='2. Roles &amp; Pricing'!C119)*('Rates &amp; Drop Downs INT'!$C$7:$C$431='2. Roles &amp; Pricing'!K119),0)),INDEX('Rates &amp; Drop Downs INT'!$F$7:$F$431,MATCH(1,('Rates &amp; Drop Downs INT'!$B$7:$B$431='2. Roles &amp; Pricing'!C119)*('Rates &amp; Drop Downs INT'!$J$7:$J$431=N119),0))),"")),"")</f>
        <v/>
      </c>
      <c r="P119" s="1677"/>
      <c r="Q119" s="1677"/>
      <c r="R119" s="1677"/>
      <c r="S119" s="1678"/>
      <c r="T119" s="1722"/>
      <c r="U119" s="1722"/>
      <c r="V119" s="1203" t="str">
        <f>IFERROR(IF(ISBLANK(K119)," ",_xlfn.XLOOKUP(K119,'Rates &amp; Drop Downs INT'!C:C,'Rates &amp; Drop Downs INT'!J:J)),N119)</f>
        <v xml:space="preserve"> </v>
      </c>
      <c r="W119" s="1203" t="str">
        <f t="shared" si="4"/>
        <v xml:space="preserve"> </v>
      </c>
      <c r="X119" s="1203"/>
      <c r="Y119" s="880" t="s">
        <v>2271</v>
      </c>
      <c r="Z119" s="1187"/>
      <c r="AA119" s="1190"/>
      <c r="AB119" s="1274" t="str">
        <f t="shared" si="2"/>
        <v/>
      </c>
      <c r="AC119" s="1690"/>
      <c r="AD119" s="1691"/>
      <c r="AE119" s="881"/>
      <c r="AF119" s="892"/>
      <c r="AH119" s="1685"/>
      <c r="AI119" s="1685"/>
      <c r="AJ119" s="413"/>
      <c r="AK119" s="413"/>
      <c r="AL119" s="413"/>
      <c r="AM119" s="413"/>
      <c r="CM119" s="425"/>
    </row>
    <row r="120" spans="3:91" outlineLevel="2" x14ac:dyDescent="0.25">
      <c r="C120" s="1186"/>
      <c r="D120" s="1187"/>
      <c r="E120" s="1187" t="str">
        <f>IFERROR(_xlfn.XLOOKUP(D120,TADIndia,'Rates &amp; Drop Downs INT'!$CH$6:$CH$747),"")</f>
        <v/>
      </c>
      <c r="F120" s="1187"/>
      <c r="G120" s="1187" t="str">
        <f>IFERROR(_xlfn.XLOOKUP(F120,'Rates &amp; Drop Downs INT'!$CI$6:$CI$747,'Rates &amp; Drop Downs INT'!$CJ$6:$CJ$747),"")</f>
        <v/>
      </c>
      <c r="H120" s="1187" t="str">
        <f>_xlfn.XLOOKUP(F120,'Rates &amp; Drop Downs INT'!$DF$6:$DF$173,'Rates &amp; Drop Downs INT'!$DG$6:$DG$173,"")</f>
        <v/>
      </c>
      <c r="I120" s="1187"/>
      <c r="J120" s="1188">
        <f t="shared" si="3"/>
        <v>0</v>
      </c>
      <c r="K120" s="1682"/>
      <c r="L120" s="1683"/>
      <c r="M120" s="1684"/>
      <c r="N120" s="1189" cm="1">
        <f t="array" ref="N120">IF($E$20="Credera US",V120,SUMPRODUCT(('Rates &amp; Drop Downs INT'!$CG$6:$CG$747=$D120)*('Rates &amp; Drop Downs INT'!$CI$6:$CI$747=$F120)*('Rates &amp; Drop Downs INT'!$CK$6:$CK$747=$K120)*('Rates &amp; Drop Downs INT'!$CM$6:$CM$747)))</f>
        <v>0</v>
      </c>
      <c r="O120" s="1676" t="str" cm="1">
        <f t="array" ref="O120">IFERROR(IF(ISBLANK(C120),"",IF($E$20="Credera US",IF(C120&lt;&gt;"CrederaUS",INDEX('Rates &amp; Drop Downs INT'!$F$7:$F$431,MATCH(1,('Rates &amp; Drop Downs INT'!$B$7:$B$431='2. Roles &amp; Pricing'!C120)*('Rates &amp; Drop Downs INT'!$C$7:$C$431='2. Roles &amp; Pricing'!K120),0)),INDEX('Rates &amp; Drop Downs INT'!$F$7:$F$431,MATCH(1,('Rates &amp; Drop Downs INT'!$B$7:$B$431='2. Roles &amp; Pricing'!C120)*('Rates &amp; Drop Downs INT'!$J$7:$J$431=N120),0))),"")),"")</f>
        <v/>
      </c>
      <c r="P120" s="1677"/>
      <c r="Q120" s="1677"/>
      <c r="R120" s="1677"/>
      <c r="S120" s="1678"/>
      <c r="T120" s="1722"/>
      <c r="U120" s="1722"/>
      <c r="V120" s="1203" t="str">
        <f>IFERROR(IF(ISBLANK(K120)," ",_xlfn.XLOOKUP(K120,'Rates &amp; Drop Downs INT'!C:C,'Rates &amp; Drop Downs INT'!J:J)),N120)</f>
        <v xml:space="preserve"> </v>
      </c>
      <c r="W120" s="1203" t="str">
        <f t="shared" si="4"/>
        <v xml:space="preserve"> </v>
      </c>
      <c r="X120" s="1203"/>
      <c r="Y120" s="880" t="s">
        <v>2271</v>
      </c>
      <c r="Z120" s="1187"/>
      <c r="AA120" s="1190"/>
      <c r="AB120" s="1274" t="str">
        <f t="shared" si="2"/>
        <v/>
      </c>
      <c r="AC120" s="1690"/>
      <c r="AD120" s="1691"/>
      <c r="AE120" s="881"/>
      <c r="AF120" s="892"/>
      <c r="AH120" s="1685"/>
      <c r="AI120" s="1685"/>
      <c r="AJ120" s="413"/>
      <c r="AK120" s="413"/>
      <c r="AL120" s="413"/>
      <c r="AM120" s="413"/>
      <c r="CM120" s="425"/>
    </row>
    <row r="121" spans="3:91" outlineLevel="2" x14ac:dyDescent="0.25">
      <c r="C121" s="1186"/>
      <c r="D121" s="1187"/>
      <c r="E121" s="1187" t="str">
        <f>IFERROR(_xlfn.XLOOKUP(D121,TADIndia,'Rates &amp; Drop Downs INT'!$CH$6:$CH$747),"")</f>
        <v/>
      </c>
      <c r="F121" s="1187"/>
      <c r="G121" s="1187" t="str">
        <f>IFERROR(_xlfn.XLOOKUP(F121,'Rates &amp; Drop Downs INT'!$CI$6:$CI$747,'Rates &amp; Drop Downs INT'!$CJ$6:$CJ$747),"")</f>
        <v/>
      </c>
      <c r="H121" s="1187" t="str">
        <f>_xlfn.XLOOKUP(F121,'Rates &amp; Drop Downs INT'!$DF$6:$DF$173,'Rates &amp; Drop Downs INT'!$DG$6:$DG$173,"")</f>
        <v/>
      </c>
      <c r="I121" s="1187"/>
      <c r="J121" s="1188">
        <f t="shared" si="3"/>
        <v>0</v>
      </c>
      <c r="K121" s="1682"/>
      <c r="L121" s="1683"/>
      <c r="M121" s="1684"/>
      <c r="N121" s="1189" cm="1">
        <f t="array" ref="N121">IF($E$20="Credera US",V121,SUMPRODUCT(('Rates &amp; Drop Downs INT'!$CG$6:$CG$747=$D121)*('Rates &amp; Drop Downs INT'!$CI$6:$CI$747=$F121)*('Rates &amp; Drop Downs INT'!$CK$6:$CK$747=$K121)*('Rates &amp; Drop Downs INT'!$CM$6:$CM$747)))</f>
        <v>0</v>
      </c>
      <c r="O121" s="1676" t="str" cm="1">
        <f t="array" ref="O121">IFERROR(IF(ISBLANK(C121),"",IF($E$20="Credera US",IF(C121&lt;&gt;"CrederaUS",INDEX('Rates &amp; Drop Downs INT'!$F$7:$F$431,MATCH(1,('Rates &amp; Drop Downs INT'!$B$7:$B$431='2. Roles &amp; Pricing'!C121)*('Rates &amp; Drop Downs INT'!$C$7:$C$431='2. Roles &amp; Pricing'!K121),0)),INDEX('Rates &amp; Drop Downs INT'!$F$7:$F$431,MATCH(1,('Rates &amp; Drop Downs INT'!$B$7:$B$431='2. Roles &amp; Pricing'!C121)*('Rates &amp; Drop Downs INT'!$J$7:$J$431=N121),0))),"")),"")</f>
        <v/>
      </c>
      <c r="P121" s="1677"/>
      <c r="Q121" s="1677"/>
      <c r="R121" s="1677"/>
      <c r="S121" s="1678"/>
      <c r="T121" s="1722"/>
      <c r="U121" s="1722"/>
      <c r="V121" s="1203" t="str">
        <f>IFERROR(IF(ISBLANK(K121)," ",_xlfn.XLOOKUP(K121,'Rates &amp; Drop Downs INT'!C:C,'Rates &amp; Drop Downs INT'!J:J)),N121)</f>
        <v xml:space="preserve"> </v>
      </c>
      <c r="W121" s="1203" t="str">
        <f t="shared" si="4"/>
        <v xml:space="preserve"> </v>
      </c>
      <c r="X121" s="1203"/>
      <c r="Y121" s="880" t="s">
        <v>2271</v>
      </c>
      <c r="Z121" s="1187"/>
      <c r="AA121" s="1190"/>
      <c r="AB121" s="1274" t="str">
        <f t="shared" si="2"/>
        <v/>
      </c>
      <c r="AC121" s="1690"/>
      <c r="AD121" s="1691"/>
      <c r="AE121" s="881"/>
      <c r="AF121" s="892"/>
      <c r="AH121" s="1685"/>
      <c r="AI121" s="1685"/>
      <c r="AJ121" s="413"/>
      <c r="AK121" s="413"/>
      <c r="AL121" s="413"/>
      <c r="AM121" s="413"/>
      <c r="CM121" s="425"/>
    </row>
    <row r="122" spans="3:91" outlineLevel="2" x14ac:dyDescent="0.25">
      <c r="C122" s="1186"/>
      <c r="D122" s="1187"/>
      <c r="E122" s="1187" t="str">
        <f>IFERROR(_xlfn.XLOOKUP(D122,TADIndia,'Rates &amp; Drop Downs INT'!$CH$6:$CH$747),"")</f>
        <v/>
      </c>
      <c r="F122" s="1187"/>
      <c r="G122" s="1187" t="str">
        <f>IFERROR(_xlfn.XLOOKUP(F122,'Rates &amp; Drop Downs INT'!$CI$6:$CI$747,'Rates &amp; Drop Downs INT'!$CJ$6:$CJ$747),"")</f>
        <v/>
      </c>
      <c r="H122" s="1187" t="str">
        <f>_xlfn.XLOOKUP(F122,'Rates &amp; Drop Downs INT'!$DF$6:$DF$173,'Rates &amp; Drop Downs INT'!$DG$6:$DG$173,"")</f>
        <v/>
      </c>
      <c r="I122" s="1187"/>
      <c r="J122" s="1188">
        <f t="shared" si="3"/>
        <v>0</v>
      </c>
      <c r="K122" s="1682"/>
      <c r="L122" s="1683"/>
      <c r="M122" s="1684"/>
      <c r="N122" s="1189" cm="1">
        <f t="array" ref="N122">IF($E$20="Credera US",V122,SUMPRODUCT(('Rates &amp; Drop Downs INT'!$CG$6:$CG$747=$D122)*('Rates &amp; Drop Downs INT'!$CI$6:$CI$747=$F122)*('Rates &amp; Drop Downs INT'!$CK$6:$CK$747=$K122)*('Rates &amp; Drop Downs INT'!$CM$6:$CM$747)))</f>
        <v>0</v>
      </c>
      <c r="O122" s="1676" t="str" cm="1">
        <f t="array" ref="O122">IFERROR(IF(ISBLANK(C122),"",IF($E$20="Credera US",IF(C122&lt;&gt;"CrederaUS",INDEX('Rates &amp; Drop Downs INT'!$F$7:$F$431,MATCH(1,('Rates &amp; Drop Downs INT'!$B$7:$B$431='2. Roles &amp; Pricing'!C122)*('Rates &amp; Drop Downs INT'!$C$7:$C$431='2. Roles &amp; Pricing'!K122),0)),INDEX('Rates &amp; Drop Downs INT'!$F$7:$F$431,MATCH(1,('Rates &amp; Drop Downs INT'!$B$7:$B$431='2. Roles &amp; Pricing'!C122)*('Rates &amp; Drop Downs INT'!$J$7:$J$431=N122),0))),"")),"")</f>
        <v/>
      </c>
      <c r="P122" s="1677"/>
      <c r="Q122" s="1677"/>
      <c r="R122" s="1677"/>
      <c r="S122" s="1678"/>
      <c r="T122" s="1722"/>
      <c r="U122" s="1722"/>
      <c r="V122" s="1203" t="str">
        <f>IFERROR(IF(ISBLANK(K122)," ",_xlfn.XLOOKUP(K122,'Rates &amp; Drop Downs INT'!C:C,'Rates &amp; Drop Downs INT'!J:J)),N122)</f>
        <v xml:space="preserve"> </v>
      </c>
      <c r="W122" s="1203" t="str">
        <f t="shared" si="4"/>
        <v xml:space="preserve"> </v>
      </c>
      <c r="X122" s="1203"/>
      <c r="Y122" s="880" t="s">
        <v>2271</v>
      </c>
      <c r="Z122" s="1187"/>
      <c r="AA122" s="1190"/>
      <c r="AB122" s="1274" t="str">
        <f t="shared" si="2"/>
        <v/>
      </c>
      <c r="AC122" s="1690"/>
      <c r="AD122" s="1691"/>
      <c r="AE122" s="881"/>
      <c r="AF122" s="892"/>
      <c r="AH122" s="1685"/>
      <c r="AI122" s="1685"/>
      <c r="AJ122" s="413"/>
      <c r="AK122" s="413"/>
      <c r="AL122" s="413"/>
      <c r="AM122" s="413"/>
      <c r="CM122" s="425"/>
    </row>
    <row r="123" spans="3:91" outlineLevel="3" x14ac:dyDescent="0.25">
      <c r="C123" s="1186"/>
      <c r="D123" s="1187"/>
      <c r="E123" s="1187" t="str">
        <f>IFERROR(_xlfn.XLOOKUP(D123,TADIndia,'Rates &amp; Drop Downs INT'!$CH$6:$CH$747),"")</f>
        <v/>
      </c>
      <c r="F123" s="1187"/>
      <c r="G123" s="1187" t="str">
        <f>IFERROR(_xlfn.XLOOKUP(F123,'Rates &amp; Drop Downs INT'!$CI$6:$CI$747,'Rates &amp; Drop Downs INT'!$CJ$6:$CJ$747),"")</f>
        <v/>
      </c>
      <c r="H123" s="1187" t="str">
        <f>_xlfn.XLOOKUP(F123,'Rates &amp; Drop Downs INT'!$DF$6:$DF$173,'Rates &amp; Drop Downs INT'!$DG$6:$DG$173,"")</f>
        <v/>
      </c>
      <c r="I123" s="1187"/>
      <c r="J123" s="1188">
        <f t="shared" si="3"/>
        <v>0</v>
      </c>
      <c r="K123" s="1682"/>
      <c r="L123" s="1683"/>
      <c r="M123" s="1684"/>
      <c r="N123" s="1189" cm="1">
        <f t="array" ref="N123">IF($E$20="Credera US",V123,SUMPRODUCT(('Rates &amp; Drop Downs INT'!$CG$6:$CG$747=$D123)*('Rates &amp; Drop Downs INT'!$CI$6:$CI$747=$F123)*('Rates &amp; Drop Downs INT'!$CK$6:$CK$747=$K123)*('Rates &amp; Drop Downs INT'!$CM$6:$CM$747)))</f>
        <v>0</v>
      </c>
      <c r="O123" s="1676" t="str" cm="1">
        <f t="array" ref="O123">IFERROR(IF(ISBLANK(C123),"",IF($E$20="Credera US",IF(C123&lt;&gt;"CrederaUS",INDEX('Rates &amp; Drop Downs INT'!$F$7:$F$431,MATCH(1,('Rates &amp; Drop Downs INT'!$B$7:$B$431='2. Roles &amp; Pricing'!C123)*('Rates &amp; Drop Downs INT'!$C$7:$C$431='2. Roles &amp; Pricing'!K123),0)),INDEX('Rates &amp; Drop Downs INT'!$F$7:$F$431,MATCH(1,('Rates &amp; Drop Downs INT'!$B$7:$B$431='2. Roles &amp; Pricing'!C123)*('Rates &amp; Drop Downs INT'!$J$7:$J$431=N123),0))),"")),"")</f>
        <v/>
      </c>
      <c r="P123" s="1677"/>
      <c r="Q123" s="1677"/>
      <c r="R123" s="1677"/>
      <c r="S123" s="1678"/>
      <c r="T123" s="1722"/>
      <c r="U123" s="1722"/>
      <c r="V123" s="1203" t="str">
        <f>IFERROR(IF(ISBLANK(K123)," ",_xlfn.XLOOKUP(K123,'Rates &amp; Drop Downs INT'!C:C,'Rates &amp; Drop Downs INT'!J:J)),N123)</f>
        <v xml:space="preserve"> </v>
      </c>
      <c r="W123" s="1203" t="str">
        <f t="shared" si="4"/>
        <v xml:space="preserve"> </v>
      </c>
      <c r="X123" s="1203"/>
      <c r="Y123" s="880" t="s">
        <v>2271</v>
      </c>
      <c r="Z123" s="1187"/>
      <c r="AA123" s="1190"/>
      <c r="AB123" s="1274" t="str">
        <f t="shared" si="2"/>
        <v/>
      </c>
      <c r="AC123" s="1690"/>
      <c r="AD123" s="1691"/>
      <c r="AE123" s="881"/>
      <c r="AF123" s="892"/>
      <c r="AH123" s="1685"/>
      <c r="AI123" s="1685"/>
      <c r="AJ123" s="413"/>
      <c r="AK123" s="413"/>
      <c r="AL123" s="413"/>
      <c r="AM123" s="413"/>
      <c r="CM123" s="425"/>
    </row>
    <row r="124" spans="3:91" outlineLevel="3" x14ac:dyDescent="0.25">
      <c r="C124" s="1186"/>
      <c r="D124" s="1187"/>
      <c r="E124" s="1187" t="str">
        <f>IFERROR(_xlfn.XLOOKUP(D124,TADIndia,'Rates &amp; Drop Downs INT'!$CH$6:$CH$747),"")</f>
        <v/>
      </c>
      <c r="F124" s="1187"/>
      <c r="G124" s="1187" t="str">
        <f>IFERROR(_xlfn.XLOOKUP(F124,'Rates &amp; Drop Downs INT'!$CI$6:$CI$747,'Rates &amp; Drop Downs INT'!$CJ$6:$CJ$747),"")</f>
        <v/>
      </c>
      <c r="H124" s="1187" t="str">
        <f>_xlfn.XLOOKUP(F124,'Rates &amp; Drop Downs INT'!$DF$6:$DF$173,'Rates &amp; Drop Downs INT'!$DG$6:$DG$173,"")</f>
        <v/>
      </c>
      <c r="I124" s="1187"/>
      <c r="J124" s="1188">
        <f t="shared" si="3"/>
        <v>0</v>
      </c>
      <c r="K124" s="1682"/>
      <c r="L124" s="1683"/>
      <c r="M124" s="1684"/>
      <c r="N124" s="1189" cm="1">
        <f t="array" ref="N124">IF($E$20="Credera US",V124,SUMPRODUCT(('Rates &amp; Drop Downs INT'!$CG$6:$CG$747=$D124)*('Rates &amp; Drop Downs INT'!$CI$6:$CI$747=$F124)*('Rates &amp; Drop Downs INT'!$CK$6:$CK$747=$K124)*('Rates &amp; Drop Downs INT'!$CM$6:$CM$747)))</f>
        <v>0</v>
      </c>
      <c r="O124" s="1676" t="str" cm="1">
        <f t="array" ref="O124">IFERROR(IF(ISBLANK(C124),"",IF($E$20="Credera US",IF(C124&lt;&gt;"CrederaUS",INDEX('Rates &amp; Drop Downs INT'!$F$7:$F$431,MATCH(1,('Rates &amp; Drop Downs INT'!$B$7:$B$431='2. Roles &amp; Pricing'!C124)*('Rates &amp; Drop Downs INT'!$C$7:$C$431='2. Roles &amp; Pricing'!K124),0)),INDEX('Rates &amp; Drop Downs INT'!$F$7:$F$431,MATCH(1,('Rates &amp; Drop Downs INT'!$B$7:$B$431='2. Roles &amp; Pricing'!C124)*('Rates &amp; Drop Downs INT'!$J$7:$J$431=N124),0))),"")),"")</f>
        <v/>
      </c>
      <c r="P124" s="1677"/>
      <c r="Q124" s="1677"/>
      <c r="R124" s="1677"/>
      <c r="S124" s="1678"/>
      <c r="T124" s="1722"/>
      <c r="U124" s="1722"/>
      <c r="V124" s="1203" t="str">
        <f>IFERROR(IF(ISBLANK(K124)," ",_xlfn.XLOOKUP(K124,'Rates &amp; Drop Downs INT'!C:C,'Rates &amp; Drop Downs INT'!J:J)),N124)</f>
        <v xml:space="preserve"> </v>
      </c>
      <c r="W124" s="1203" t="str">
        <f t="shared" si="4"/>
        <v xml:space="preserve"> </v>
      </c>
      <c r="X124" s="1203"/>
      <c r="Y124" s="880" t="s">
        <v>2271</v>
      </c>
      <c r="Z124" s="1187"/>
      <c r="AA124" s="1190"/>
      <c r="AB124" s="1274" t="str">
        <f t="shared" si="2"/>
        <v/>
      </c>
      <c r="AC124" s="1690"/>
      <c r="AD124" s="1691"/>
      <c r="AE124" s="881"/>
      <c r="AF124" s="892"/>
      <c r="AH124" s="1685"/>
      <c r="AI124" s="1685"/>
      <c r="AJ124" s="413"/>
      <c r="AK124" s="413"/>
      <c r="AL124" s="413"/>
      <c r="AM124" s="413"/>
      <c r="CM124" s="425"/>
    </row>
    <row r="125" spans="3:91" outlineLevel="3" x14ac:dyDescent="0.25">
      <c r="C125" s="1186"/>
      <c r="D125" s="1187"/>
      <c r="E125" s="1187" t="str">
        <f>IFERROR(_xlfn.XLOOKUP(D125,TADIndia,'Rates &amp; Drop Downs INT'!$CH$6:$CH$747),"")</f>
        <v/>
      </c>
      <c r="F125" s="1187"/>
      <c r="G125" s="1187" t="str">
        <f>IFERROR(_xlfn.XLOOKUP(F125,'Rates &amp; Drop Downs INT'!$CI$6:$CI$747,'Rates &amp; Drop Downs INT'!$CJ$6:$CJ$747),"")</f>
        <v/>
      </c>
      <c r="H125" s="1187" t="str">
        <f>_xlfn.XLOOKUP(F125,'Rates &amp; Drop Downs INT'!$DF$6:$DF$173,'Rates &amp; Drop Downs INT'!$DG$6:$DG$173,"")</f>
        <v/>
      </c>
      <c r="I125" s="1187"/>
      <c r="J125" s="1188">
        <f t="shared" si="3"/>
        <v>0</v>
      </c>
      <c r="K125" s="1682"/>
      <c r="L125" s="1683"/>
      <c r="M125" s="1684"/>
      <c r="N125" s="1189" cm="1">
        <f t="array" ref="N125">IF($E$20="Credera US",V125,SUMPRODUCT(('Rates &amp; Drop Downs INT'!$CG$6:$CG$747=$D125)*('Rates &amp; Drop Downs INT'!$CI$6:$CI$747=$F125)*('Rates &amp; Drop Downs INT'!$CK$6:$CK$747=$K125)*('Rates &amp; Drop Downs INT'!$CM$6:$CM$747)))</f>
        <v>0</v>
      </c>
      <c r="O125" s="1676" t="str" cm="1">
        <f t="array" ref="O125">IFERROR(IF(ISBLANK(C125),"",IF($E$20="Credera US",IF(C125&lt;&gt;"CrederaUS",INDEX('Rates &amp; Drop Downs INT'!$F$7:$F$431,MATCH(1,('Rates &amp; Drop Downs INT'!$B$7:$B$431='2. Roles &amp; Pricing'!C125)*('Rates &amp; Drop Downs INT'!$C$7:$C$431='2. Roles &amp; Pricing'!K125),0)),INDEX('Rates &amp; Drop Downs INT'!$F$7:$F$431,MATCH(1,('Rates &amp; Drop Downs INT'!$B$7:$B$431='2. Roles &amp; Pricing'!C125)*('Rates &amp; Drop Downs INT'!$J$7:$J$431=N125),0))),"")),"")</f>
        <v/>
      </c>
      <c r="P125" s="1677"/>
      <c r="Q125" s="1677"/>
      <c r="R125" s="1677"/>
      <c r="S125" s="1678"/>
      <c r="T125" s="1722"/>
      <c r="U125" s="1722"/>
      <c r="V125" s="1203" t="str">
        <f>IFERROR(IF(ISBLANK(K125)," ",_xlfn.XLOOKUP(K125,'Rates &amp; Drop Downs INT'!C:C,'Rates &amp; Drop Downs INT'!J:J)),N125)</f>
        <v xml:space="preserve"> </v>
      </c>
      <c r="W125" s="1203" t="str">
        <f t="shared" si="4"/>
        <v xml:space="preserve"> </v>
      </c>
      <c r="X125" s="1203"/>
      <c r="Y125" s="880" t="s">
        <v>2271</v>
      </c>
      <c r="Z125" s="1187"/>
      <c r="AA125" s="1190"/>
      <c r="AB125" s="1274" t="str">
        <f t="shared" si="2"/>
        <v/>
      </c>
      <c r="AC125" s="1690"/>
      <c r="AD125" s="1691"/>
      <c r="AE125" s="881"/>
      <c r="AF125" s="892"/>
      <c r="AH125" s="1685"/>
      <c r="AI125" s="1685"/>
      <c r="AJ125" s="413"/>
      <c r="AK125" s="413"/>
      <c r="AL125" s="413"/>
      <c r="AM125" s="413"/>
      <c r="CM125" s="425"/>
    </row>
    <row r="126" spans="3:91" outlineLevel="3" x14ac:dyDescent="0.25">
      <c r="C126" s="1186"/>
      <c r="D126" s="1187"/>
      <c r="E126" s="1187" t="str">
        <f>IFERROR(_xlfn.XLOOKUP(D126,TADIndia,'Rates &amp; Drop Downs INT'!$CH$6:$CH$747),"")</f>
        <v/>
      </c>
      <c r="F126" s="1187"/>
      <c r="G126" s="1187" t="str">
        <f>IFERROR(_xlfn.XLOOKUP(F126,'Rates &amp; Drop Downs INT'!$CI$6:$CI$747,'Rates &amp; Drop Downs INT'!$CJ$6:$CJ$747),"")</f>
        <v/>
      </c>
      <c r="H126" s="1187" t="str">
        <f>_xlfn.XLOOKUP(F126,'Rates &amp; Drop Downs INT'!$DF$6:$DF$173,'Rates &amp; Drop Downs INT'!$DG$6:$DG$173,"")</f>
        <v/>
      </c>
      <c r="I126" s="1187"/>
      <c r="J126" s="1188">
        <f t="shared" si="3"/>
        <v>0</v>
      </c>
      <c r="K126" s="1682"/>
      <c r="L126" s="1683"/>
      <c r="M126" s="1684"/>
      <c r="N126" s="1189" cm="1">
        <f t="array" ref="N126">IF($E$20="Credera US",V126,SUMPRODUCT(('Rates &amp; Drop Downs INT'!$CG$6:$CG$747=$D126)*('Rates &amp; Drop Downs INT'!$CI$6:$CI$747=$F126)*('Rates &amp; Drop Downs INT'!$CK$6:$CK$747=$K126)*('Rates &amp; Drop Downs INT'!$CM$6:$CM$747)))</f>
        <v>0</v>
      </c>
      <c r="O126" s="1676" t="str" cm="1">
        <f t="array" ref="O126">IFERROR(IF(ISBLANK(C126),"",IF($E$20="Credera US",IF(C126&lt;&gt;"CrederaUS",INDEX('Rates &amp; Drop Downs INT'!$F$7:$F$431,MATCH(1,('Rates &amp; Drop Downs INT'!$B$7:$B$431='2. Roles &amp; Pricing'!C126)*('Rates &amp; Drop Downs INT'!$C$7:$C$431='2. Roles &amp; Pricing'!K126),0)),INDEX('Rates &amp; Drop Downs INT'!$F$7:$F$431,MATCH(1,('Rates &amp; Drop Downs INT'!$B$7:$B$431='2. Roles &amp; Pricing'!C126)*('Rates &amp; Drop Downs INT'!$J$7:$J$431=N126),0))),"")),"")</f>
        <v/>
      </c>
      <c r="P126" s="1677"/>
      <c r="Q126" s="1677"/>
      <c r="R126" s="1677"/>
      <c r="S126" s="1678"/>
      <c r="T126" s="1722"/>
      <c r="U126" s="1722"/>
      <c r="V126" s="1203" t="str">
        <f>IFERROR(IF(ISBLANK(K126)," ",_xlfn.XLOOKUP(K126,'Rates &amp; Drop Downs INT'!C:C,'Rates &amp; Drop Downs INT'!J:J)),N126)</f>
        <v xml:space="preserve"> </v>
      </c>
      <c r="W126" s="1203" t="str">
        <f t="shared" si="4"/>
        <v xml:space="preserve"> </v>
      </c>
      <c r="X126" s="1203"/>
      <c r="Y126" s="880" t="s">
        <v>2271</v>
      </c>
      <c r="Z126" s="1187"/>
      <c r="AA126" s="1190"/>
      <c r="AB126" s="1274" t="str">
        <f t="shared" si="2"/>
        <v/>
      </c>
      <c r="AC126" s="1690"/>
      <c r="AD126" s="1691"/>
      <c r="AE126" s="881"/>
      <c r="AF126" s="892"/>
      <c r="AH126" s="1685"/>
      <c r="AI126" s="1685"/>
      <c r="AJ126" s="413"/>
      <c r="AK126" s="413"/>
      <c r="AL126" s="413"/>
      <c r="AM126" s="413"/>
      <c r="CM126" s="425"/>
    </row>
    <row r="127" spans="3:91" outlineLevel="3" x14ac:dyDescent="0.25">
      <c r="C127" s="1186"/>
      <c r="D127" s="1187"/>
      <c r="E127" s="1187" t="str">
        <f>IFERROR(_xlfn.XLOOKUP(D127,TADIndia,'Rates &amp; Drop Downs INT'!$CH$6:$CH$747),"")</f>
        <v/>
      </c>
      <c r="F127" s="1187"/>
      <c r="G127" s="1187" t="str">
        <f>IFERROR(_xlfn.XLOOKUP(F127,'Rates &amp; Drop Downs INT'!$CI$6:$CI$747,'Rates &amp; Drop Downs INT'!$CJ$6:$CJ$747),"")</f>
        <v/>
      </c>
      <c r="H127" s="1187" t="str">
        <f>_xlfn.XLOOKUP(F127,'Rates &amp; Drop Downs INT'!$DF$6:$DF$173,'Rates &amp; Drop Downs INT'!$DG$6:$DG$173,"")</f>
        <v/>
      </c>
      <c r="I127" s="1187"/>
      <c r="J127" s="1188">
        <f t="shared" si="3"/>
        <v>0</v>
      </c>
      <c r="K127" s="1682"/>
      <c r="L127" s="1683"/>
      <c r="M127" s="1684"/>
      <c r="N127" s="1189" cm="1">
        <f t="array" ref="N127">IF($E$20="Credera US",V127,SUMPRODUCT(('Rates &amp; Drop Downs INT'!$CG$6:$CG$747=$D127)*('Rates &amp; Drop Downs INT'!$CI$6:$CI$747=$F127)*('Rates &amp; Drop Downs INT'!$CK$6:$CK$747=$K127)*('Rates &amp; Drop Downs INT'!$CM$6:$CM$747)))</f>
        <v>0</v>
      </c>
      <c r="O127" s="1676" t="str" cm="1">
        <f t="array" ref="O127">IFERROR(IF(ISBLANK(C127),"",IF($E$20="Credera US",IF(C127&lt;&gt;"CrederaUS",INDEX('Rates &amp; Drop Downs INT'!$F$7:$F$431,MATCH(1,('Rates &amp; Drop Downs INT'!$B$7:$B$431='2. Roles &amp; Pricing'!C127)*('Rates &amp; Drop Downs INT'!$C$7:$C$431='2. Roles &amp; Pricing'!K127),0)),INDEX('Rates &amp; Drop Downs INT'!$F$7:$F$431,MATCH(1,('Rates &amp; Drop Downs INT'!$B$7:$B$431='2. Roles &amp; Pricing'!C127)*('Rates &amp; Drop Downs INT'!$J$7:$J$431=N127),0))),"")),"")</f>
        <v/>
      </c>
      <c r="P127" s="1677"/>
      <c r="Q127" s="1677"/>
      <c r="R127" s="1677"/>
      <c r="S127" s="1678"/>
      <c r="T127" s="1722"/>
      <c r="U127" s="1722"/>
      <c r="V127" s="1203" t="str">
        <f>IFERROR(IF(ISBLANK(K127)," ",_xlfn.XLOOKUP(K127,'Rates &amp; Drop Downs INT'!C:C,'Rates &amp; Drop Downs INT'!J:J)),N127)</f>
        <v xml:space="preserve"> </v>
      </c>
      <c r="W127" s="1203" t="str">
        <f t="shared" si="4"/>
        <v xml:space="preserve"> </v>
      </c>
      <c r="X127" s="1203"/>
      <c r="Y127" s="880" t="s">
        <v>2271</v>
      </c>
      <c r="Z127" s="1187"/>
      <c r="AA127" s="1190"/>
      <c r="AB127" s="1274" t="str">
        <f t="shared" si="2"/>
        <v/>
      </c>
      <c r="AC127" s="1690"/>
      <c r="AD127" s="1691"/>
      <c r="AE127" s="881"/>
      <c r="AF127" s="892"/>
      <c r="AH127" s="1685"/>
      <c r="AI127" s="1685"/>
      <c r="AJ127" s="413"/>
      <c r="AK127" s="413"/>
      <c r="AL127" s="413"/>
      <c r="AM127" s="413"/>
      <c r="CM127" s="425"/>
    </row>
    <row r="128" spans="3:91" outlineLevel="3" x14ac:dyDescent="0.25">
      <c r="C128" s="1186"/>
      <c r="D128" s="1187"/>
      <c r="E128" s="1187" t="str">
        <f>IFERROR(_xlfn.XLOOKUP(D128,TADIndia,'Rates &amp; Drop Downs INT'!$CH$6:$CH$747),"")</f>
        <v/>
      </c>
      <c r="F128" s="1187"/>
      <c r="G128" s="1187" t="str">
        <f>IFERROR(_xlfn.XLOOKUP(F128,'Rates &amp; Drop Downs INT'!$CI$6:$CI$747,'Rates &amp; Drop Downs INT'!$CJ$6:$CJ$747),"")</f>
        <v/>
      </c>
      <c r="H128" s="1187" t="str">
        <f>_xlfn.XLOOKUP(F128,'Rates &amp; Drop Downs INT'!$DF$6:$DF$173,'Rates &amp; Drop Downs INT'!$DG$6:$DG$173,"")</f>
        <v/>
      </c>
      <c r="I128" s="1187"/>
      <c r="J128" s="1188">
        <f t="shared" si="3"/>
        <v>0</v>
      </c>
      <c r="K128" s="1682"/>
      <c r="L128" s="1683"/>
      <c r="M128" s="1684"/>
      <c r="N128" s="1189" cm="1">
        <f t="array" ref="N128">IF($E$20="Credera US",V128,SUMPRODUCT(('Rates &amp; Drop Downs INT'!$CG$6:$CG$747=$D128)*('Rates &amp; Drop Downs INT'!$CI$6:$CI$747=$F128)*('Rates &amp; Drop Downs INT'!$CK$6:$CK$747=$K128)*('Rates &amp; Drop Downs INT'!$CM$6:$CM$747)))</f>
        <v>0</v>
      </c>
      <c r="O128" s="1676" t="str" cm="1">
        <f t="array" ref="O128">IFERROR(IF(ISBLANK(C128),"",IF($E$20="Credera US",IF(C128&lt;&gt;"CrederaUS",INDEX('Rates &amp; Drop Downs INT'!$F$7:$F$431,MATCH(1,('Rates &amp; Drop Downs INT'!$B$7:$B$431='2. Roles &amp; Pricing'!C128)*('Rates &amp; Drop Downs INT'!$C$7:$C$431='2. Roles &amp; Pricing'!K128),0)),INDEX('Rates &amp; Drop Downs INT'!$F$7:$F$431,MATCH(1,('Rates &amp; Drop Downs INT'!$B$7:$B$431='2. Roles &amp; Pricing'!C128)*('Rates &amp; Drop Downs INT'!$J$7:$J$431=N128),0))),"")),"")</f>
        <v/>
      </c>
      <c r="P128" s="1677"/>
      <c r="Q128" s="1677"/>
      <c r="R128" s="1677"/>
      <c r="S128" s="1678"/>
      <c r="T128" s="1722"/>
      <c r="U128" s="1722"/>
      <c r="V128" s="1203" t="str">
        <f>IFERROR(IF(ISBLANK(K128)," ",_xlfn.XLOOKUP(K128,'Rates &amp; Drop Downs INT'!C:C,'Rates &amp; Drop Downs INT'!J:J)),N128)</f>
        <v xml:space="preserve"> </v>
      </c>
      <c r="W128" s="1203" t="str">
        <f t="shared" si="4"/>
        <v xml:space="preserve"> </v>
      </c>
      <c r="X128" s="1203"/>
      <c r="Y128" s="880" t="s">
        <v>2271</v>
      </c>
      <c r="Z128" s="1187"/>
      <c r="AA128" s="1190"/>
      <c r="AB128" s="1274" t="str">
        <f t="shared" si="2"/>
        <v/>
      </c>
      <c r="AC128" s="1690"/>
      <c r="AD128" s="1691"/>
      <c r="AE128" s="881"/>
      <c r="AF128" s="892"/>
      <c r="AH128" s="1685"/>
      <c r="AI128" s="1685"/>
      <c r="AJ128" s="413"/>
      <c r="AK128" s="413"/>
      <c r="AL128" s="413"/>
      <c r="AM128" s="413"/>
      <c r="CM128" s="425"/>
    </row>
    <row r="129" spans="3:91" outlineLevel="3" x14ac:dyDescent="0.25">
      <c r="C129" s="1186"/>
      <c r="D129" s="1187"/>
      <c r="E129" s="1187" t="str">
        <f>IFERROR(_xlfn.XLOOKUP(D129,TADIndia,'Rates &amp; Drop Downs INT'!$CH$6:$CH$747),"")</f>
        <v/>
      </c>
      <c r="F129" s="1187"/>
      <c r="G129" s="1187" t="str">
        <f>IFERROR(_xlfn.XLOOKUP(F129,'Rates &amp; Drop Downs INT'!$CI$6:$CI$747,'Rates &amp; Drop Downs INT'!$CJ$6:$CJ$747),"")</f>
        <v/>
      </c>
      <c r="H129" s="1187" t="str">
        <f>_xlfn.XLOOKUP(F129,'Rates &amp; Drop Downs INT'!$DF$6:$DF$173,'Rates &amp; Drop Downs INT'!$DG$6:$DG$173,"")</f>
        <v/>
      </c>
      <c r="I129" s="1187"/>
      <c r="J129" s="1188">
        <f t="shared" si="3"/>
        <v>0</v>
      </c>
      <c r="K129" s="1682"/>
      <c r="L129" s="1683"/>
      <c r="M129" s="1684"/>
      <c r="N129" s="1189" cm="1">
        <f t="array" ref="N129">IF($E$20="Credera US",V129,SUMPRODUCT(('Rates &amp; Drop Downs INT'!$CG$6:$CG$747=$D129)*('Rates &amp; Drop Downs INT'!$CI$6:$CI$747=$F129)*('Rates &amp; Drop Downs INT'!$CK$6:$CK$747=$K129)*('Rates &amp; Drop Downs INT'!$CM$6:$CM$747)))</f>
        <v>0</v>
      </c>
      <c r="O129" s="1676" t="str" cm="1">
        <f t="array" ref="O129">IFERROR(IF(ISBLANK(C129),"",IF($E$20="Credera US",IF(C129&lt;&gt;"CrederaUS",INDEX('Rates &amp; Drop Downs INT'!$F$7:$F$431,MATCH(1,('Rates &amp; Drop Downs INT'!$B$7:$B$431='2. Roles &amp; Pricing'!C129)*('Rates &amp; Drop Downs INT'!$C$7:$C$431='2. Roles &amp; Pricing'!K129),0)),INDEX('Rates &amp; Drop Downs INT'!$F$7:$F$431,MATCH(1,('Rates &amp; Drop Downs INT'!$B$7:$B$431='2. Roles &amp; Pricing'!C129)*('Rates &amp; Drop Downs INT'!$J$7:$J$431=N129),0))),"")),"")</f>
        <v/>
      </c>
      <c r="P129" s="1677"/>
      <c r="Q129" s="1677"/>
      <c r="R129" s="1677"/>
      <c r="S129" s="1678"/>
      <c r="T129" s="1722"/>
      <c r="U129" s="1722"/>
      <c r="V129" s="1203" t="str">
        <f>IFERROR(IF(ISBLANK(K129)," ",_xlfn.XLOOKUP(K129,'Rates &amp; Drop Downs INT'!C:C,'Rates &amp; Drop Downs INT'!J:J)),N129)</f>
        <v xml:space="preserve"> </v>
      </c>
      <c r="W129" s="1203" t="str">
        <f t="shared" si="4"/>
        <v xml:space="preserve"> </v>
      </c>
      <c r="X129" s="1203"/>
      <c r="Y129" s="880" t="s">
        <v>2271</v>
      </c>
      <c r="Z129" s="1187"/>
      <c r="AA129" s="1190"/>
      <c r="AB129" s="1274" t="str">
        <f t="shared" si="2"/>
        <v/>
      </c>
      <c r="AC129" s="1690"/>
      <c r="AD129" s="1691"/>
      <c r="AE129" s="881"/>
      <c r="AF129" s="892"/>
      <c r="AH129" s="1685"/>
      <c r="AI129" s="1685"/>
      <c r="AJ129" s="413"/>
      <c r="AK129" s="413"/>
      <c r="AL129" s="413"/>
      <c r="AM129" s="413"/>
      <c r="CM129" s="425"/>
    </row>
    <row r="130" spans="3:91" outlineLevel="3" x14ac:dyDescent="0.25">
      <c r="C130" s="1186"/>
      <c r="D130" s="1187"/>
      <c r="E130" s="1187" t="str">
        <f>IFERROR(_xlfn.XLOOKUP(D130,TADIndia,'Rates &amp; Drop Downs INT'!$CH$6:$CH$747),"")</f>
        <v/>
      </c>
      <c r="F130" s="1187"/>
      <c r="G130" s="1187" t="str">
        <f>IFERROR(_xlfn.XLOOKUP(F130,'Rates &amp; Drop Downs INT'!$CI$6:$CI$747,'Rates &amp; Drop Downs INT'!$CJ$6:$CJ$747),"")</f>
        <v/>
      </c>
      <c r="H130" s="1187" t="str">
        <f>_xlfn.XLOOKUP(F130,'Rates &amp; Drop Downs INT'!$DF$6:$DF$173,'Rates &amp; Drop Downs INT'!$DG$6:$DG$173,"")</f>
        <v/>
      </c>
      <c r="I130" s="1187"/>
      <c r="J130" s="1188">
        <f t="shared" si="3"/>
        <v>0</v>
      </c>
      <c r="K130" s="1682"/>
      <c r="L130" s="1683"/>
      <c r="M130" s="1684"/>
      <c r="N130" s="1189" cm="1">
        <f t="array" ref="N130">IF($E$20="Credera US",V130,SUMPRODUCT(('Rates &amp; Drop Downs INT'!$CG$6:$CG$747=$D130)*('Rates &amp; Drop Downs INT'!$CI$6:$CI$747=$F130)*('Rates &amp; Drop Downs INT'!$CK$6:$CK$747=$K130)*('Rates &amp; Drop Downs INT'!$CM$6:$CM$747)))</f>
        <v>0</v>
      </c>
      <c r="O130" s="1676" t="str" cm="1">
        <f t="array" ref="O130">IFERROR(IF(ISBLANK(C130),"",IF($E$20="Credera US",IF(C130&lt;&gt;"CrederaUS",INDEX('Rates &amp; Drop Downs INT'!$F$7:$F$431,MATCH(1,('Rates &amp; Drop Downs INT'!$B$7:$B$431='2. Roles &amp; Pricing'!C130)*('Rates &amp; Drop Downs INT'!$C$7:$C$431='2. Roles &amp; Pricing'!K130),0)),INDEX('Rates &amp; Drop Downs INT'!$F$7:$F$431,MATCH(1,('Rates &amp; Drop Downs INT'!$B$7:$B$431='2. Roles &amp; Pricing'!C130)*('Rates &amp; Drop Downs INT'!$J$7:$J$431=N130),0))),"")),"")</f>
        <v/>
      </c>
      <c r="P130" s="1677"/>
      <c r="Q130" s="1677"/>
      <c r="R130" s="1677"/>
      <c r="S130" s="1678"/>
      <c r="T130" s="1722"/>
      <c r="U130" s="1722"/>
      <c r="V130" s="1203" t="str">
        <f>IFERROR(IF(ISBLANK(K130)," ",_xlfn.XLOOKUP(K130,'Rates &amp; Drop Downs INT'!C:C,'Rates &amp; Drop Downs INT'!J:J)),N130)</f>
        <v xml:space="preserve"> </v>
      </c>
      <c r="W130" s="1203" t="str">
        <f t="shared" si="4"/>
        <v xml:space="preserve"> </v>
      </c>
      <c r="X130" s="1203"/>
      <c r="Y130" s="880" t="s">
        <v>2271</v>
      </c>
      <c r="Z130" s="1187"/>
      <c r="AA130" s="1190"/>
      <c r="AB130" s="1274" t="str">
        <f t="shared" si="2"/>
        <v/>
      </c>
      <c r="AC130" s="1690"/>
      <c r="AD130" s="1691"/>
      <c r="AE130" s="881"/>
      <c r="AF130" s="892"/>
      <c r="AH130" s="1685"/>
      <c r="AI130" s="1685"/>
      <c r="AJ130" s="413"/>
      <c r="AK130" s="413"/>
      <c r="AL130" s="413"/>
      <c r="AM130" s="413"/>
      <c r="CM130" s="425"/>
    </row>
    <row r="131" spans="3:91" outlineLevel="3" x14ac:dyDescent="0.25">
      <c r="C131" s="1186"/>
      <c r="D131" s="1187"/>
      <c r="E131" s="1187" t="str">
        <f>IFERROR(_xlfn.XLOOKUP(D131,TADIndia,'Rates &amp; Drop Downs INT'!$CH$6:$CH$747),"")</f>
        <v/>
      </c>
      <c r="F131" s="1187"/>
      <c r="G131" s="1187" t="str">
        <f>IFERROR(_xlfn.XLOOKUP(F131,'Rates &amp; Drop Downs INT'!$CI$6:$CI$747,'Rates &amp; Drop Downs INT'!$CJ$6:$CJ$747),"")</f>
        <v/>
      </c>
      <c r="H131" s="1187" t="str">
        <f>_xlfn.XLOOKUP(F131,'Rates &amp; Drop Downs INT'!$DF$6:$DF$173,'Rates &amp; Drop Downs INT'!$DG$6:$DG$173,"")</f>
        <v/>
      </c>
      <c r="I131" s="1187"/>
      <c r="J131" s="1188">
        <f t="shared" si="3"/>
        <v>0</v>
      </c>
      <c r="K131" s="1682"/>
      <c r="L131" s="1683"/>
      <c r="M131" s="1684"/>
      <c r="N131" s="1189" cm="1">
        <f t="array" ref="N131">IF($E$20="Credera US",V131,SUMPRODUCT(('Rates &amp; Drop Downs INT'!$CG$6:$CG$747=$D131)*('Rates &amp; Drop Downs INT'!$CI$6:$CI$747=$F131)*('Rates &amp; Drop Downs INT'!$CK$6:$CK$747=$K131)*('Rates &amp; Drop Downs INT'!$CM$6:$CM$747)))</f>
        <v>0</v>
      </c>
      <c r="O131" s="1676" t="str" cm="1">
        <f t="array" ref="O131">IFERROR(IF(ISBLANK(C131),"",IF($E$20="Credera US",IF(C131&lt;&gt;"CrederaUS",INDEX('Rates &amp; Drop Downs INT'!$F$7:$F$431,MATCH(1,('Rates &amp; Drop Downs INT'!$B$7:$B$431='2. Roles &amp; Pricing'!C131)*('Rates &amp; Drop Downs INT'!$C$7:$C$431='2. Roles &amp; Pricing'!K131),0)),INDEX('Rates &amp; Drop Downs INT'!$F$7:$F$431,MATCH(1,('Rates &amp; Drop Downs INT'!$B$7:$B$431='2. Roles &amp; Pricing'!C131)*('Rates &amp; Drop Downs INT'!$J$7:$J$431=N131),0))),"")),"")</f>
        <v/>
      </c>
      <c r="P131" s="1677"/>
      <c r="Q131" s="1677"/>
      <c r="R131" s="1677"/>
      <c r="S131" s="1678"/>
      <c r="T131" s="1722"/>
      <c r="U131" s="1722"/>
      <c r="V131" s="1203" t="str">
        <f>IFERROR(IF(ISBLANK(K131)," ",_xlfn.XLOOKUP(K131,'Rates &amp; Drop Downs INT'!C:C,'Rates &amp; Drop Downs INT'!J:J)),N131)</f>
        <v xml:space="preserve"> </v>
      </c>
      <c r="W131" s="1203" t="str">
        <f t="shared" si="4"/>
        <v xml:space="preserve"> </v>
      </c>
      <c r="X131" s="1203"/>
      <c r="Y131" s="880" t="s">
        <v>2271</v>
      </c>
      <c r="Z131" s="1187"/>
      <c r="AA131" s="1190"/>
      <c r="AB131" s="1274" t="str">
        <f t="shared" ref="AB131:AB147" si="5">IF(COUNTIF($D253:$BC253,"&gt;0")=0,"",COUNTIF($D253:$BC253,"&gt;0"))</f>
        <v/>
      </c>
      <c r="AC131" s="1690"/>
      <c r="AD131" s="1691"/>
      <c r="AE131" s="881"/>
      <c r="AF131" s="892"/>
      <c r="AH131" s="1685"/>
      <c r="AI131" s="1685"/>
      <c r="AJ131" s="413"/>
      <c r="AK131" s="413"/>
      <c r="AL131" s="413"/>
      <c r="AM131" s="413"/>
      <c r="CM131" s="425"/>
    </row>
    <row r="132" spans="3:91" outlineLevel="3" x14ac:dyDescent="0.25">
      <c r="C132" s="1186"/>
      <c r="D132" s="1187"/>
      <c r="E132" s="1187" t="str">
        <f>IFERROR(_xlfn.XLOOKUP(D132,TADIndia,'Rates &amp; Drop Downs INT'!$CH$6:$CH$747),"")</f>
        <v/>
      </c>
      <c r="F132" s="1187"/>
      <c r="G132" s="1187" t="str">
        <f>IFERROR(_xlfn.XLOOKUP(F132,'Rates &amp; Drop Downs INT'!$CI$6:$CI$747,'Rates &amp; Drop Downs INT'!$CJ$6:$CJ$747),"")</f>
        <v/>
      </c>
      <c r="H132" s="1187" t="str">
        <f>_xlfn.XLOOKUP(F132,'Rates &amp; Drop Downs INT'!$DF$6:$DF$173,'Rates &amp; Drop Downs INT'!$DG$6:$DG$173,"")</f>
        <v/>
      </c>
      <c r="I132" s="1187"/>
      <c r="J132" s="1188">
        <f t="shared" si="3"/>
        <v>0</v>
      </c>
      <c r="K132" s="1682"/>
      <c r="L132" s="1683"/>
      <c r="M132" s="1684"/>
      <c r="N132" s="1189" cm="1">
        <f t="array" ref="N132">IF($E$20="Credera US",V132,SUMPRODUCT(('Rates &amp; Drop Downs INT'!$CG$6:$CG$747=$D132)*('Rates &amp; Drop Downs INT'!$CI$6:$CI$747=$F132)*('Rates &amp; Drop Downs INT'!$CK$6:$CK$747=$K132)*('Rates &amp; Drop Downs INT'!$CM$6:$CM$747)))</f>
        <v>0</v>
      </c>
      <c r="O132" s="1676" t="str" cm="1">
        <f t="array" ref="O132">IFERROR(IF(ISBLANK(C132),"",IF($E$20="Credera US",IF(C132&lt;&gt;"CrederaUS",INDEX('Rates &amp; Drop Downs INT'!$F$7:$F$431,MATCH(1,('Rates &amp; Drop Downs INT'!$B$7:$B$431='2. Roles &amp; Pricing'!C132)*('Rates &amp; Drop Downs INT'!$C$7:$C$431='2. Roles &amp; Pricing'!K132),0)),INDEX('Rates &amp; Drop Downs INT'!$F$7:$F$431,MATCH(1,('Rates &amp; Drop Downs INT'!$B$7:$B$431='2. Roles &amp; Pricing'!C132)*('Rates &amp; Drop Downs INT'!$J$7:$J$431=N132),0))),"")),"")</f>
        <v/>
      </c>
      <c r="P132" s="1677"/>
      <c r="Q132" s="1677"/>
      <c r="R132" s="1677"/>
      <c r="S132" s="1678"/>
      <c r="T132" s="1722"/>
      <c r="U132" s="1722"/>
      <c r="V132" s="1203" t="str">
        <f>IFERROR(IF(ISBLANK(K132)," ",_xlfn.XLOOKUP(K132,'Rates &amp; Drop Downs INT'!C:C,'Rates &amp; Drop Downs INT'!J:J)),N132)</f>
        <v xml:space="preserve"> </v>
      </c>
      <c r="W132" s="1203" t="str">
        <f t="shared" si="4"/>
        <v xml:space="preserve"> </v>
      </c>
      <c r="X132" s="1203"/>
      <c r="Y132" s="880" t="s">
        <v>2271</v>
      </c>
      <c r="Z132" s="1187"/>
      <c r="AA132" s="1190"/>
      <c r="AB132" s="1274" t="str">
        <f t="shared" si="5"/>
        <v/>
      </c>
      <c r="AC132" s="1690"/>
      <c r="AD132" s="1691"/>
      <c r="AE132" s="881"/>
      <c r="AF132" s="892"/>
      <c r="AH132" s="1685"/>
      <c r="AI132" s="1685"/>
      <c r="AJ132" s="413"/>
      <c r="AK132" s="413"/>
      <c r="AL132" s="413"/>
      <c r="AM132" s="413"/>
      <c r="CM132" s="425"/>
    </row>
    <row r="133" spans="3:91" outlineLevel="3" x14ac:dyDescent="0.25">
      <c r="C133" s="1186"/>
      <c r="D133" s="1187"/>
      <c r="E133" s="1187" t="str">
        <f>IFERROR(_xlfn.XLOOKUP(D133,TADIndia,'Rates &amp; Drop Downs INT'!$CH$6:$CH$747),"")</f>
        <v/>
      </c>
      <c r="F133" s="1187"/>
      <c r="G133" s="1187" t="str">
        <f>IFERROR(_xlfn.XLOOKUP(F133,'Rates &amp; Drop Downs INT'!$CI$6:$CI$747,'Rates &amp; Drop Downs INT'!$CJ$6:$CJ$747),"")</f>
        <v/>
      </c>
      <c r="H133" s="1187" t="str">
        <f>_xlfn.XLOOKUP(F133,'Rates &amp; Drop Downs INT'!$DF$6:$DF$173,'Rates &amp; Drop Downs INT'!$DG$6:$DG$173,"")</f>
        <v/>
      </c>
      <c r="I133" s="1187"/>
      <c r="J133" s="1188">
        <f t="shared" si="3"/>
        <v>0</v>
      </c>
      <c r="K133" s="1682"/>
      <c r="L133" s="1683"/>
      <c r="M133" s="1684"/>
      <c r="N133" s="1189" cm="1">
        <f t="array" ref="N133">IF($E$20="Credera US",V133,SUMPRODUCT(('Rates &amp; Drop Downs INT'!$CG$6:$CG$747=$D133)*('Rates &amp; Drop Downs INT'!$CI$6:$CI$747=$F133)*('Rates &amp; Drop Downs INT'!$CK$6:$CK$747=$K133)*('Rates &amp; Drop Downs INT'!$CM$6:$CM$747)))</f>
        <v>0</v>
      </c>
      <c r="O133" s="1676" t="str" cm="1">
        <f t="array" ref="O133">IFERROR(IF(ISBLANK(C133),"",IF($E$20="Credera US",IF(C133&lt;&gt;"CrederaUS",INDEX('Rates &amp; Drop Downs INT'!$F$7:$F$431,MATCH(1,('Rates &amp; Drop Downs INT'!$B$7:$B$431='2. Roles &amp; Pricing'!C133)*('Rates &amp; Drop Downs INT'!$C$7:$C$431='2. Roles &amp; Pricing'!K133),0)),INDEX('Rates &amp; Drop Downs INT'!$F$7:$F$431,MATCH(1,('Rates &amp; Drop Downs INT'!$B$7:$B$431='2. Roles &amp; Pricing'!C133)*('Rates &amp; Drop Downs INT'!$J$7:$J$431=N133),0))),"")),"")</f>
        <v/>
      </c>
      <c r="P133" s="1677"/>
      <c r="Q133" s="1677"/>
      <c r="R133" s="1677"/>
      <c r="S133" s="1678"/>
      <c r="T133" s="1722"/>
      <c r="U133" s="1722"/>
      <c r="V133" s="1203" t="str">
        <f>IFERROR(IF(ISBLANK(K133)," ",_xlfn.XLOOKUP(K133,'Rates &amp; Drop Downs INT'!C:C,'Rates &amp; Drop Downs INT'!J:J)),N133)</f>
        <v xml:space="preserve"> </v>
      </c>
      <c r="W133" s="1203" t="str">
        <f t="shared" si="4"/>
        <v xml:space="preserve"> </v>
      </c>
      <c r="X133" s="1203"/>
      <c r="Y133" s="880" t="s">
        <v>2271</v>
      </c>
      <c r="Z133" s="1187"/>
      <c r="AA133" s="1190"/>
      <c r="AB133" s="1274" t="str">
        <f t="shared" si="5"/>
        <v/>
      </c>
      <c r="AC133" s="1690"/>
      <c r="AD133" s="1691"/>
      <c r="AE133" s="881"/>
      <c r="AF133" s="892"/>
      <c r="AH133" s="1685"/>
      <c r="AI133" s="1685"/>
      <c r="AJ133" s="413"/>
      <c r="AK133" s="413"/>
      <c r="AL133" s="413"/>
      <c r="AM133" s="413"/>
      <c r="CM133" s="425"/>
    </row>
    <row r="134" spans="3:91" outlineLevel="3" x14ac:dyDescent="0.25">
      <c r="C134" s="1186"/>
      <c r="D134" s="1187"/>
      <c r="E134" s="1187" t="str">
        <f>IFERROR(_xlfn.XLOOKUP(D134,TADIndia,'Rates &amp; Drop Downs INT'!$CH$6:$CH$747),"")</f>
        <v/>
      </c>
      <c r="F134" s="1187"/>
      <c r="G134" s="1187" t="str">
        <f>IFERROR(_xlfn.XLOOKUP(F134,'Rates &amp; Drop Downs INT'!$CI$6:$CI$747,'Rates &amp; Drop Downs INT'!$CJ$6:$CJ$747),"")</f>
        <v/>
      </c>
      <c r="H134" s="1187" t="str">
        <f>_xlfn.XLOOKUP(F134,'Rates &amp; Drop Downs INT'!$DF$6:$DF$173,'Rates &amp; Drop Downs INT'!$DG$6:$DG$173,"")</f>
        <v/>
      </c>
      <c r="I134" s="1187"/>
      <c r="J134" s="1188">
        <f t="shared" si="3"/>
        <v>0</v>
      </c>
      <c r="K134" s="1682"/>
      <c r="L134" s="1683"/>
      <c r="M134" s="1684"/>
      <c r="N134" s="1189" cm="1">
        <f t="array" ref="N134">IF($E$20="Credera US",V134,SUMPRODUCT(('Rates &amp; Drop Downs INT'!$CG$6:$CG$747=$D134)*('Rates &amp; Drop Downs INT'!$CI$6:$CI$747=$F134)*('Rates &amp; Drop Downs INT'!$CK$6:$CK$747=$K134)*('Rates &amp; Drop Downs INT'!$CM$6:$CM$747)))</f>
        <v>0</v>
      </c>
      <c r="O134" s="1676" t="str" cm="1">
        <f t="array" ref="O134">IFERROR(IF(ISBLANK(C134),"",IF($E$20="Credera US",IF(C134&lt;&gt;"CrederaUS",INDEX('Rates &amp; Drop Downs INT'!$F$7:$F$431,MATCH(1,('Rates &amp; Drop Downs INT'!$B$7:$B$431='2. Roles &amp; Pricing'!C134)*('Rates &amp; Drop Downs INT'!$C$7:$C$431='2. Roles &amp; Pricing'!K134),0)),INDEX('Rates &amp; Drop Downs INT'!$F$7:$F$431,MATCH(1,('Rates &amp; Drop Downs INT'!$B$7:$B$431='2. Roles &amp; Pricing'!C134)*('Rates &amp; Drop Downs INT'!$J$7:$J$431=N134),0))),"")),"")</f>
        <v/>
      </c>
      <c r="P134" s="1677"/>
      <c r="Q134" s="1677"/>
      <c r="R134" s="1677"/>
      <c r="S134" s="1678"/>
      <c r="T134" s="1722"/>
      <c r="U134" s="1722"/>
      <c r="V134" s="1203" t="str">
        <f>IFERROR(IF(ISBLANK(K134)," ",_xlfn.XLOOKUP(K134,'Rates &amp; Drop Downs INT'!C:C,'Rates &amp; Drop Downs INT'!J:J)),N134)</f>
        <v xml:space="preserve"> </v>
      </c>
      <c r="W134" s="1203" t="str">
        <f t="shared" si="4"/>
        <v xml:space="preserve"> </v>
      </c>
      <c r="X134" s="1203"/>
      <c r="Y134" s="880" t="s">
        <v>2271</v>
      </c>
      <c r="Z134" s="1187"/>
      <c r="AA134" s="1190"/>
      <c r="AB134" s="1274" t="str">
        <f t="shared" si="5"/>
        <v/>
      </c>
      <c r="AC134" s="1690"/>
      <c r="AD134" s="1691"/>
      <c r="AE134" s="881"/>
      <c r="AF134" s="892"/>
      <c r="AH134" s="1685"/>
      <c r="AI134" s="1685"/>
      <c r="AJ134" s="413"/>
      <c r="AK134" s="413"/>
      <c r="AL134" s="413"/>
      <c r="AM134" s="413"/>
      <c r="CM134" s="425"/>
    </row>
    <row r="135" spans="3:91" outlineLevel="3" x14ac:dyDescent="0.25">
      <c r="C135" s="1186"/>
      <c r="D135" s="1187"/>
      <c r="E135" s="1187" t="str">
        <f>IFERROR(_xlfn.XLOOKUP(D135,TADIndia,'Rates &amp; Drop Downs INT'!$CH$6:$CH$747),"")</f>
        <v/>
      </c>
      <c r="F135" s="1187"/>
      <c r="G135" s="1187" t="str">
        <f>IFERROR(_xlfn.XLOOKUP(F135,'Rates &amp; Drop Downs INT'!$CI$6:$CI$747,'Rates &amp; Drop Downs INT'!$CJ$6:$CJ$747),"")</f>
        <v/>
      </c>
      <c r="H135" s="1187" t="str">
        <f>_xlfn.XLOOKUP(F135,'Rates &amp; Drop Downs INT'!$DF$6:$DF$173,'Rates &amp; Drop Downs INT'!$DG$6:$DG$173,"")</f>
        <v/>
      </c>
      <c r="I135" s="1187"/>
      <c r="J135" s="1188">
        <f t="shared" si="3"/>
        <v>0</v>
      </c>
      <c r="K135" s="1682"/>
      <c r="L135" s="1683"/>
      <c r="M135" s="1684"/>
      <c r="N135" s="1189" cm="1">
        <f t="array" ref="N135">IF($E$20="Credera US",V135,SUMPRODUCT(('Rates &amp; Drop Downs INT'!$CG$6:$CG$747=$D135)*('Rates &amp; Drop Downs INT'!$CI$6:$CI$747=$F135)*('Rates &amp; Drop Downs INT'!$CK$6:$CK$747=$K135)*('Rates &amp; Drop Downs INT'!$CM$6:$CM$747)))</f>
        <v>0</v>
      </c>
      <c r="O135" s="1676" t="str" cm="1">
        <f t="array" ref="O135">IFERROR(IF(ISBLANK(C135),"",IF($E$20="Credera US",IF(C135&lt;&gt;"CrederaUS",INDEX('Rates &amp; Drop Downs INT'!$F$7:$F$431,MATCH(1,('Rates &amp; Drop Downs INT'!$B$7:$B$431='2. Roles &amp; Pricing'!C135)*('Rates &amp; Drop Downs INT'!$C$7:$C$431='2. Roles &amp; Pricing'!K135),0)),INDEX('Rates &amp; Drop Downs INT'!$F$7:$F$431,MATCH(1,('Rates &amp; Drop Downs INT'!$B$7:$B$431='2. Roles &amp; Pricing'!C135)*('Rates &amp; Drop Downs INT'!$J$7:$J$431=N135),0))),"")),"")</f>
        <v/>
      </c>
      <c r="P135" s="1677"/>
      <c r="Q135" s="1677"/>
      <c r="R135" s="1677"/>
      <c r="S135" s="1678"/>
      <c r="T135" s="1722"/>
      <c r="U135" s="1722"/>
      <c r="V135" s="1203" t="str">
        <f>IFERROR(IF(ISBLANK(K135)," ",_xlfn.XLOOKUP(K135,'Rates &amp; Drop Downs INT'!C:C,'Rates &amp; Drop Downs INT'!J:J)),N135)</f>
        <v xml:space="preserve"> </v>
      </c>
      <c r="W135" s="1203" t="str">
        <f t="shared" si="4"/>
        <v xml:space="preserve"> </v>
      </c>
      <c r="X135" s="1203"/>
      <c r="Y135" s="880" t="s">
        <v>2271</v>
      </c>
      <c r="Z135" s="1187"/>
      <c r="AA135" s="1190"/>
      <c r="AB135" s="1274" t="str">
        <f t="shared" si="5"/>
        <v/>
      </c>
      <c r="AC135" s="1690"/>
      <c r="AD135" s="1691"/>
      <c r="AE135" s="881"/>
      <c r="AF135" s="892"/>
      <c r="AH135" s="1685"/>
      <c r="AI135" s="1685"/>
      <c r="AJ135" s="413"/>
      <c r="AK135" s="413"/>
      <c r="AL135" s="413"/>
      <c r="AM135" s="413"/>
      <c r="CM135" s="425"/>
    </row>
    <row r="136" spans="3:91" outlineLevel="3" x14ac:dyDescent="0.25">
      <c r="C136" s="1186"/>
      <c r="D136" s="1187"/>
      <c r="E136" s="1187" t="str">
        <f>IFERROR(_xlfn.XLOOKUP(D136,TADIndia,'Rates &amp; Drop Downs INT'!$CH$6:$CH$747),"")</f>
        <v/>
      </c>
      <c r="F136" s="1187"/>
      <c r="G136" s="1187" t="str">
        <f>IFERROR(_xlfn.XLOOKUP(F136,'Rates &amp; Drop Downs INT'!$CI$6:$CI$747,'Rates &amp; Drop Downs INT'!$CJ$6:$CJ$747),"")</f>
        <v/>
      </c>
      <c r="H136" s="1187" t="str">
        <f>_xlfn.XLOOKUP(F136,'Rates &amp; Drop Downs INT'!$DF$6:$DF$173,'Rates &amp; Drop Downs INT'!$DG$6:$DG$173,"")</f>
        <v/>
      </c>
      <c r="I136" s="1187"/>
      <c r="J136" s="1188">
        <f t="shared" si="3"/>
        <v>0</v>
      </c>
      <c r="K136" s="1682"/>
      <c r="L136" s="1683"/>
      <c r="M136" s="1684"/>
      <c r="N136" s="1189" cm="1">
        <f t="array" ref="N136">IF($E$20="Credera US",V136,SUMPRODUCT(('Rates &amp; Drop Downs INT'!$CG$6:$CG$747=$D136)*('Rates &amp; Drop Downs INT'!$CI$6:$CI$747=$F136)*('Rates &amp; Drop Downs INT'!$CK$6:$CK$747=$K136)*('Rates &amp; Drop Downs INT'!$CM$6:$CM$747)))</f>
        <v>0</v>
      </c>
      <c r="O136" s="1676" t="str" cm="1">
        <f t="array" ref="O136">IFERROR(IF(ISBLANK(C136),"",IF($E$20="Credera US",IF(C136&lt;&gt;"CrederaUS",INDEX('Rates &amp; Drop Downs INT'!$F$7:$F$431,MATCH(1,('Rates &amp; Drop Downs INT'!$B$7:$B$431='2. Roles &amp; Pricing'!C136)*('Rates &amp; Drop Downs INT'!$C$7:$C$431='2. Roles &amp; Pricing'!K136),0)),INDEX('Rates &amp; Drop Downs INT'!$F$7:$F$431,MATCH(1,('Rates &amp; Drop Downs INT'!$B$7:$B$431='2. Roles &amp; Pricing'!C136)*('Rates &amp; Drop Downs INT'!$J$7:$J$431=N136),0))),"")),"")</f>
        <v/>
      </c>
      <c r="P136" s="1677"/>
      <c r="Q136" s="1677"/>
      <c r="R136" s="1677"/>
      <c r="S136" s="1678"/>
      <c r="T136" s="1722"/>
      <c r="U136" s="1722"/>
      <c r="V136" s="1203" t="str">
        <f>IFERROR(IF(ISBLANK(K136)," ",_xlfn.XLOOKUP(K136,'Rates &amp; Drop Downs INT'!C:C,'Rates &amp; Drop Downs INT'!J:J)),N136)</f>
        <v xml:space="preserve"> </v>
      </c>
      <c r="W136" s="1203" t="str">
        <f t="shared" si="4"/>
        <v xml:space="preserve"> </v>
      </c>
      <c r="X136" s="1203"/>
      <c r="Y136" s="880" t="s">
        <v>2271</v>
      </c>
      <c r="Z136" s="1187"/>
      <c r="AA136" s="1190"/>
      <c r="AB136" s="1274" t="str">
        <f t="shared" si="5"/>
        <v/>
      </c>
      <c r="AC136" s="1690"/>
      <c r="AD136" s="1691"/>
      <c r="AE136" s="881"/>
      <c r="AF136" s="892"/>
      <c r="AH136" s="1685"/>
      <c r="AI136" s="1685"/>
      <c r="AJ136" s="413"/>
      <c r="AK136" s="413"/>
      <c r="AL136" s="413"/>
      <c r="AM136" s="413"/>
      <c r="CM136" s="425"/>
    </row>
    <row r="137" spans="3:91" outlineLevel="3" x14ac:dyDescent="0.25">
      <c r="C137" s="1186"/>
      <c r="D137" s="1187"/>
      <c r="E137" s="1187" t="str">
        <f>IFERROR(_xlfn.XLOOKUP(D137,TADIndia,'Rates &amp; Drop Downs INT'!$CH$6:$CH$747),"")</f>
        <v/>
      </c>
      <c r="F137" s="1187"/>
      <c r="G137" s="1187" t="str">
        <f>IFERROR(_xlfn.XLOOKUP(F137,'Rates &amp; Drop Downs INT'!$CI$6:$CI$747,'Rates &amp; Drop Downs INT'!$CJ$6:$CJ$747),"")</f>
        <v/>
      </c>
      <c r="H137" s="1187" t="str">
        <f>_xlfn.XLOOKUP(F137,'Rates &amp; Drop Downs INT'!$DF$6:$DF$173,'Rates &amp; Drop Downs INT'!$DG$6:$DG$173,"")</f>
        <v/>
      </c>
      <c r="I137" s="1187"/>
      <c r="J137" s="1188">
        <f t="shared" si="3"/>
        <v>0</v>
      </c>
      <c r="K137" s="1682"/>
      <c r="L137" s="1683"/>
      <c r="M137" s="1684"/>
      <c r="N137" s="1189" cm="1">
        <f t="array" ref="N137">IF($E$20="Credera US",V137,SUMPRODUCT(('Rates &amp; Drop Downs INT'!$CG$6:$CG$747=$D137)*('Rates &amp; Drop Downs INT'!$CI$6:$CI$747=$F137)*('Rates &amp; Drop Downs INT'!$CK$6:$CK$747=$K137)*('Rates &amp; Drop Downs INT'!$CM$6:$CM$747)))</f>
        <v>0</v>
      </c>
      <c r="O137" s="1676" t="str" cm="1">
        <f t="array" ref="O137">IFERROR(IF(ISBLANK(C137),"",IF($E$20="Credera US",IF(C137&lt;&gt;"CrederaUS",INDEX('Rates &amp; Drop Downs INT'!$F$7:$F$431,MATCH(1,('Rates &amp; Drop Downs INT'!$B$7:$B$431='2. Roles &amp; Pricing'!C137)*('Rates &amp; Drop Downs INT'!$C$7:$C$431='2. Roles &amp; Pricing'!K137),0)),INDEX('Rates &amp; Drop Downs INT'!$F$7:$F$431,MATCH(1,('Rates &amp; Drop Downs INT'!$B$7:$B$431='2. Roles &amp; Pricing'!C137)*('Rates &amp; Drop Downs INT'!$J$7:$J$431=N137),0))),"")),"")</f>
        <v/>
      </c>
      <c r="P137" s="1677"/>
      <c r="Q137" s="1677"/>
      <c r="R137" s="1677"/>
      <c r="S137" s="1678"/>
      <c r="T137" s="1722"/>
      <c r="U137" s="1722"/>
      <c r="V137" s="1203" t="str">
        <f>IFERROR(IF(ISBLANK(K137)," ",_xlfn.XLOOKUP(K137,'Rates &amp; Drop Downs INT'!C:C,'Rates &amp; Drop Downs INT'!J:J)),N137)</f>
        <v xml:space="preserve"> </v>
      </c>
      <c r="W137" s="1203" t="str">
        <f t="shared" si="4"/>
        <v xml:space="preserve"> </v>
      </c>
      <c r="X137" s="1203"/>
      <c r="Y137" s="880" t="s">
        <v>2271</v>
      </c>
      <c r="Z137" s="1187"/>
      <c r="AA137" s="1190"/>
      <c r="AB137" s="1274" t="str">
        <f t="shared" si="5"/>
        <v/>
      </c>
      <c r="AC137" s="1690"/>
      <c r="AD137" s="1691"/>
      <c r="AE137" s="881"/>
      <c r="AF137" s="892"/>
      <c r="AH137" s="1685"/>
      <c r="AI137" s="1685"/>
      <c r="AJ137" s="413"/>
      <c r="AK137" s="413"/>
      <c r="AL137" s="413"/>
      <c r="AM137" s="413"/>
      <c r="CM137" s="425"/>
    </row>
    <row r="138" spans="3:91" outlineLevel="3" x14ac:dyDescent="0.25">
      <c r="C138" s="1186"/>
      <c r="D138" s="1187"/>
      <c r="E138" s="1187" t="str">
        <f>IFERROR(_xlfn.XLOOKUP(D138,TADIndia,'Rates &amp; Drop Downs INT'!$CH$6:$CH$747),"")</f>
        <v/>
      </c>
      <c r="F138" s="1187"/>
      <c r="G138" s="1187" t="str">
        <f>IFERROR(_xlfn.XLOOKUP(F138,'Rates &amp; Drop Downs INT'!$CI$6:$CI$747,'Rates &amp; Drop Downs INT'!$CJ$6:$CJ$747),"")</f>
        <v/>
      </c>
      <c r="H138" s="1187" t="str">
        <f>_xlfn.XLOOKUP(F138,'Rates &amp; Drop Downs INT'!$DF$6:$DF$173,'Rates &amp; Drop Downs INT'!$DG$6:$DG$173,"")</f>
        <v/>
      </c>
      <c r="I138" s="1187"/>
      <c r="J138" s="1188">
        <f t="shared" si="3"/>
        <v>0</v>
      </c>
      <c r="K138" s="1682"/>
      <c r="L138" s="1683"/>
      <c r="M138" s="1684"/>
      <c r="N138" s="1189" cm="1">
        <f t="array" ref="N138">IF($E$20="Credera US",V138,SUMPRODUCT(('Rates &amp; Drop Downs INT'!$CG$6:$CG$747=$D138)*('Rates &amp; Drop Downs INT'!$CI$6:$CI$747=$F138)*('Rates &amp; Drop Downs INT'!$CK$6:$CK$747=$K138)*('Rates &amp; Drop Downs INT'!$CM$6:$CM$747)))</f>
        <v>0</v>
      </c>
      <c r="O138" s="1676" t="str" cm="1">
        <f t="array" ref="O138">IFERROR(IF(ISBLANK(C138),"",IF($E$20="Credera US",IF(C138&lt;&gt;"CrederaUS",INDEX('Rates &amp; Drop Downs INT'!$F$7:$F$431,MATCH(1,('Rates &amp; Drop Downs INT'!$B$7:$B$431='2. Roles &amp; Pricing'!C138)*('Rates &amp; Drop Downs INT'!$C$7:$C$431='2. Roles &amp; Pricing'!K138),0)),INDEX('Rates &amp; Drop Downs INT'!$F$7:$F$431,MATCH(1,('Rates &amp; Drop Downs INT'!$B$7:$B$431='2. Roles &amp; Pricing'!C138)*('Rates &amp; Drop Downs INT'!$J$7:$J$431=N138),0))),"")),"")</f>
        <v/>
      </c>
      <c r="P138" s="1677"/>
      <c r="Q138" s="1677"/>
      <c r="R138" s="1677"/>
      <c r="S138" s="1678"/>
      <c r="T138" s="1722"/>
      <c r="U138" s="1722"/>
      <c r="V138" s="1203" t="str">
        <f>IFERROR(IF(ISBLANK(K138)," ",_xlfn.XLOOKUP(K138,'Rates &amp; Drop Downs INT'!C:C,'Rates &amp; Drop Downs INT'!J:J)),N138)</f>
        <v xml:space="preserve"> </v>
      </c>
      <c r="W138" s="1203" t="str">
        <f t="shared" si="4"/>
        <v xml:space="preserve"> </v>
      </c>
      <c r="X138" s="1203"/>
      <c r="Y138" s="880" t="s">
        <v>2271</v>
      </c>
      <c r="Z138" s="1187"/>
      <c r="AA138" s="1190"/>
      <c r="AB138" s="1274" t="str">
        <f t="shared" si="5"/>
        <v/>
      </c>
      <c r="AC138" s="1690"/>
      <c r="AD138" s="1691"/>
      <c r="AE138" s="881"/>
      <c r="AF138" s="892"/>
      <c r="AH138" s="1685"/>
      <c r="AI138" s="1685"/>
      <c r="AJ138" s="413"/>
      <c r="AK138" s="413"/>
      <c r="AL138" s="413"/>
      <c r="AM138" s="413"/>
      <c r="CM138" s="425"/>
    </row>
    <row r="139" spans="3:91" outlineLevel="3" x14ac:dyDescent="0.25">
      <c r="C139" s="1186"/>
      <c r="D139" s="1187"/>
      <c r="E139" s="1187" t="str">
        <f>IFERROR(_xlfn.XLOOKUP(D139,TADIndia,'Rates &amp; Drop Downs INT'!$CH$6:$CH$747),"")</f>
        <v/>
      </c>
      <c r="F139" s="1187"/>
      <c r="G139" s="1187" t="str">
        <f>IFERROR(_xlfn.XLOOKUP(F139,'Rates &amp; Drop Downs INT'!$CI$6:$CI$747,'Rates &amp; Drop Downs INT'!$CJ$6:$CJ$747),"")</f>
        <v/>
      </c>
      <c r="H139" s="1187" t="str">
        <f>_xlfn.XLOOKUP(F139,'Rates &amp; Drop Downs INT'!$DF$6:$DF$173,'Rates &amp; Drop Downs INT'!$DG$6:$DG$173,"")</f>
        <v/>
      </c>
      <c r="I139" s="1187"/>
      <c r="J139" s="1188">
        <f t="shared" si="3"/>
        <v>0</v>
      </c>
      <c r="K139" s="1682"/>
      <c r="L139" s="1683"/>
      <c r="M139" s="1684"/>
      <c r="N139" s="1189" cm="1">
        <f t="array" ref="N139">IF($E$20="Credera US",V139,SUMPRODUCT(('Rates &amp; Drop Downs INT'!$CG$6:$CG$747=$D139)*('Rates &amp; Drop Downs INT'!$CI$6:$CI$747=$F139)*('Rates &amp; Drop Downs INT'!$CK$6:$CK$747=$K139)*('Rates &amp; Drop Downs INT'!$CM$6:$CM$747)))</f>
        <v>0</v>
      </c>
      <c r="O139" s="1676" t="str" cm="1">
        <f t="array" ref="O139">IFERROR(IF(ISBLANK(C139),"",IF($E$20="Credera US",IF(C139&lt;&gt;"CrederaUS",INDEX('Rates &amp; Drop Downs INT'!$F$7:$F$431,MATCH(1,('Rates &amp; Drop Downs INT'!$B$7:$B$431='2. Roles &amp; Pricing'!C139)*('Rates &amp; Drop Downs INT'!$C$7:$C$431='2. Roles &amp; Pricing'!K139),0)),INDEX('Rates &amp; Drop Downs INT'!$F$7:$F$431,MATCH(1,('Rates &amp; Drop Downs INT'!$B$7:$B$431='2. Roles &amp; Pricing'!C139)*('Rates &amp; Drop Downs INT'!$J$7:$J$431=N139),0))),"")),"")</f>
        <v/>
      </c>
      <c r="P139" s="1677"/>
      <c r="Q139" s="1677"/>
      <c r="R139" s="1677"/>
      <c r="S139" s="1678"/>
      <c r="T139" s="1722"/>
      <c r="U139" s="1722"/>
      <c r="V139" s="1203" t="str">
        <f>IFERROR(IF(ISBLANK(K139)," ",_xlfn.XLOOKUP(K139,'Rates &amp; Drop Downs INT'!C:C,'Rates &amp; Drop Downs INT'!J:J)),N139)</f>
        <v xml:space="preserve"> </v>
      </c>
      <c r="W139" s="1203" t="str">
        <f t="shared" si="4"/>
        <v xml:space="preserve"> </v>
      </c>
      <c r="X139" s="1203"/>
      <c r="Y139" s="880" t="s">
        <v>2271</v>
      </c>
      <c r="Z139" s="1187"/>
      <c r="AA139" s="1190"/>
      <c r="AB139" s="1274" t="str">
        <f t="shared" si="5"/>
        <v/>
      </c>
      <c r="AC139" s="1690"/>
      <c r="AD139" s="1691"/>
      <c r="AE139" s="881"/>
      <c r="AF139" s="892"/>
      <c r="AH139" s="1685"/>
      <c r="AI139" s="1685"/>
      <c r="AJ139" s="413"/>
      <c r="AK139" s="413"/>
      <c r="AL139" s="413"/>
      <c r="AM139" s="413"/>
      <c r="CM139" s="425"/>
    </row>
    <row r="140" spans="3:91" outlineLevel="3" x14ac:dyDescent="0.25">
      <c r="C140" s="1186"/>
      <c r="D140" s="1187"/>
      <c r="E140" s="1187" t="str">
        <f>IFERROR(_xlfn.XLOOKUP(D140,TADIndia,'Rates &amp; Drop Downs INT'!$CH$6:$CH$747),"")</f>
        <v/>
      </c>
      <c r="F140" s="1187"/>
      <c r="G140" s="1187" t="str">
        <f>IFERROR(_xlfn.XLOOKUP(F140,'Rates &amp; Drop Downs INT'!$CI$6:$CI$747,'Rates &amp; Drop Downs INT'!$CJ$6:$CJ$747),"")</f>
        <v/>
      </c>
      <c r="H140" s="1187" t="str">
        <f>_xlfn.XLOOKUP(F140,'Rates &amp; Drop Downs INT'!$DF$6:$DF$173,'Rates &amp; Drop Downs INT'!$DG$6:$DG$173,"")</f>
        <v/>
      </c>
      <c r="I140" s="1187"/>
      <c r="J140" s="1188">
        <f t="shared" si="3"/>
        <v>0</v>
      </c>
      <c r="K140" s="1682"/>
      <c r="L140" s="1683"/>
      <c r="M140" s="1684"/>
      <c r="N140" s="1189" cm="1">
        <f t="array" ref="N140">IF($E$20="Credera US",V140,SUMPRODUCT(('Rates &amp; Drop Downs INT'!$CG$6:$CG$747=$D140)*('Rates &amp; Drop Downs INT'!$CI$6:$CI$747=$F140)*('Rates &amp; Drop Downs INT'!$CK$6:$CK$747=$K140)*('Rates &amp; Drop Downs INT'!$CM$6:$CM$747)))</f>
        <v>0</v>
      </c>
      <c r="O140" s="1676" t="str" cm="1">
        <f t="array" ref="O140">IFERROR(IF(ISBLANK(C140),"",IF($E$20="Credera US",IF(C140&lt;&gt;"CrederaUS",INDEX('Rates &amp; Drop Downs INT'!$F$7:$F$431,MATCH(1,('Rates &amp; Drop Downs INT'!$B$7:$B$431='2. Roles &amp; Pricing'!C140)*('Rates &amp; Drop Downs INT'!$C$7:$C$431='2. Roles &amp; Pricing'!K140),0)),INDEX('Rates &amp; Drop Downs INT'!$F$7:$F$431,MATCH(1,('Rates &amp; Drop Downs INT'!$B$7:$B$431='2. Roles &amp; Pricing'!C140)*('Rates &amp; Drop Downs INT'!$J$7:$J$431=N140),0))),"")),"")</f>
        <v/>
      </c>
      <c r="P140" s="1677"/>
      <c r="Q140" s="1677"/>
      <c r="R140" s="1677"/>
      <c r="S140" s="1678"/>
      <c r="T140" s="1722"/>
      <c r="U140" s="1722"/>
      <c r="V140" s="1203" t="str">
        <f>IFERROR(IF(ISBLANK(K140)," ",_xlfn.XLOOKUP(K140,'Rates &amp; Drop Downs INT'!C:C,'Rates &amp; Drop Downs INT'!J:J)),N140)</f>
        <v xml:space="preserve"> </v>
      </c>
      <c r="W140" s="1203" t="str">
        <f t="shared" si="4"/>
        <v xml:space="preserve"> </v>
      </c>
      <c r="X140" s="1203"/>
      <c r="Y140" s="880" t="s">
        <v>2271</v>
      </c>
      <c r="Z140" s="1187"/>
      <c r="AA140" s="1190"/>
      <c r="AB140" s="1274" t="str">
        <f t="shared" si="5"/>
        <v/>
      </c>
      <c r="AC140" s="1690"/>
      <c r="AD140" s="1691"/>
      <c r="AE140" s="881"/>
      <c r="AF140" s="892"/>
      <c r="AH140" s="1685"/>
      <c r="AI140" s="1685"/>
      <c r="AJ140" s="413"/>
      <c r="AK140" s="413"/>
      <c r="AL140" s="413"/>
      <c r="AM140" s="413"/>
      <c r="CM140" s="425"/>
    </row>
    <row r="141" spans="3:91" outlineLevel="3" x14ac:dyDescent="0.25">
      <c r="C141" s="1186"/>
      <c r="D141" s="1187"/>
      <c r="E141" s="1187" t="str">
        <f>IFERROR(_xlfn.XLOOKUP(D141,TADIndia,'Rates &amp; Drop Downs INT'!$CH$6:$CH$747),"")</f>
        <v/>
      </c>
      <c r="F141" s="1187"/>
      <c r="G141" s="1187" t="str">
        <f>IFERROR(_xlfn.XLOOKUP(F141,'Rates &amp; Drop Downs INT'!$CI$6:$CI$747,'Rates &amp; Drop Downs INT'!$CJ$6:$CJ$747),"")</f>
        <v/>
      </c>
      <c r="H141" s="1187" t="str">
        <f>_xlfn.XLOOKUP(F141,'Rates &amp; Drop Downs INT'!$DF$6:$DF$173,'Rates &amp; Drop Downs INT'!$DG$6:$DG$173,"")</f>
        <v/>
      </c>
      <c r="I141" s="1187"/>
      <c r="J141" s="1188">
        <f t="shared" si="3"/>
        <v>0</v>
      </c>
      <c r="K141" s="1682"/>
      <c r="L141" s="1683"/>
      <c r="M141" s="1684"/>
      <c r="N141" s="1189" cm="1">
        <f t="array" ref="N141">IF($E$20="Credera US",V141,SUMPRODUCT(('Rates &amp; Drop Downs INT'!$CG$6:$CG$747=$D141)*('Rates &amp; Drop Downs INT'!$CI$6:$CI$747=$F141)*('Rates &amp; Drop Downs INT'!$CK$6:$CK$747=$K141)*('Rates &amp; Drop Downs INT'!$CM$6:$CM$747)))</f>
        <v>0</v>
      </c>
      <c r="O141" s="1676" t="str" cm="1">
        <f t="array" ref="O141">IFERROR(IF(ISBLANK(C141),"",IF($E$20="Credera US",IF(C141&lt;&gt;"CrederaUS",INDEX('Rates &amp; Drop Downs INT'!$F$7:$F$431,MATCH(1,('Rates &amp; Drop Downs INT'!$B$7:$B$431='2. Roles &amp; Pricing'!C141)*('Rates &amp; Drop Downs INT'!$C$7:$C$431='2. Roles &amp; Pricing'!K141),0)),INDEX('Rates &amp; Drop Downs INT'!$F$7:$F$431,MATCH(1,('Rates &amp; Drop Downs INT'!$B$7:$B$431='2. Roles &amp; Pricing'!C141)*('Rates &amp; Drop Downs INT'!$J$7:$J$431=N141),0))),"")),"")</f>
        <v/>
      </c>
      <c r="P141" s="1677"/>
      <c r="Q141" s="1677"/>
      <c r="R141" s="1677"/>
      <c r="S141" s="1678"/>
      <c r="T141" s="1722"/>
      <c r="U141" s="1722"/>
      <c r="V141" s="1203" t="str">
        <f>IFERROR(IF(ISBLANK(K141)," ",_xlfn.XLOOKUP(K141,'Rates &amp; Drop Downs INT'!C:C,'Rates &amp; Drop Downs INT'!J:J)),N141)</f>
        <v xml:space="preserve"> </v>
      </c>
      <c r="W141" s="1203" t="str">
        <f t="shared" si="4"/>
        <v xml:space="preserve"> </v>
      </c>
      <c r="X141" s="1203"/>
      <c r="Y141" s="880" t="s">
        <v>2271</v>
      </c>
      <c r="Z141" s="1187"/>
      <c r="AA141" s="1190"/>
      <c r="AB141" s="1274" t="str">
        <f t="shared" si="5"/>
        <v/>
      </c>
      <c r="AC141" s="1690"/>
      <c r="AD141" s="1691"/>
      <c r="AE141" s="881"/>
      <c r="AF141" s="892"/>
      <c r="AH141" s="1685"/>
      <c r="AI141" s="1685"/>
      <c r="AJ141" s="413"/>
      <c r="AK141" s="413"/>
      <c r="AL141" s="413"/>
      <c r="AM141" s="413"/>
      <c r="CM141" s="425"/>
    </row>
    <row r="142" spans="3:91" outlineLevel="3" x14ac:dyDescent="0.25">
      <c r="C142" s="1186"/>
      <c r="D142" s="1187"/>
      <c r="E142" s="1187" t="str">
        <f>IFERROR(_xlfn.XLOOKUP(D142,TADIndia,'Rates &amp; Drop Downs INT'!$CH$6:$CH$747),"")</f>
        <v/>
      </c>
      <c r="F142" s="1187"/>
      <c r="G142" s="1187" t="str">
        <f>IFERROR(_xlfn.XLOOKUP(F142,'Rates &amp; Drop Downs INT'!$CI$6:$CI$747,'Rates &amp; Drop Downs INT'!$CJ$6:$CJ$747),"")</f>
        <v/>
      </c>
      <c r="H142" s="1187" t="str">
        <f>_xlfn.XLOOKUP(F142,'Rates &amp; Drop Downs INT'!$DF$6:$DF$173,'Rates &amp; Drop Downs INT'!$DG$6:$DG$173,"")</f>
        <v/>
      </c>
      <c r="I142" s="1187"/>
      <c r="J142" s="1188">
        <f t="shared" si="3"/>
        <v>0</v>
      </c>
      <c r="K142" s="1682"/>
      <c r="L142" s="1683"/>
      <c r="M142" s="1684"/>
      <c r="N142" s="1189" cm="1">
        <f t="array" ref="N142">IF($E$20="Credera US",V142,SUMPRODUCT(('Rates &amp; Drop Downs INT'!$CG$6:$CG$747=$D142)*('Rates &amp; Drop Downs INT'!$CI$6:$CI$747=$F142)*('Rates &amp; Drop Downs INT'!$CK$6:$CK$747=$K142)*('Rates &amp; Drop Downs INT'!$CM$6:$CM$747)))</f>
        <v>0</v>
      </c>
      <c r="O142" s="1676" t="str" cm="1">
        <f t="array" ref="O142">IFERROR(IF(ISBLANK(C142),"",IF($E$20="Credera US",IF(C142&lt;&gt;"CrederaUS",INDEX('Rates &amp; Drop Downs INT'!$F$7:$F$431,MATCH(1,('Rates &amp; Drop Downs INT'!$B$7:$B$431='2. Roles &amp; Pricing'!C142)*('Rates &amp; Drop Downs INT'!$C$7:$C$431='2. Roles &amp; Pricing'!K142),0)),INDEX('Rates &amp; Drop Downs INT'!$F$7:$F$431,MATCH(1,('Rates &amp; Drop Downs INT'!$B$7:$B$431='2. Roles &amp; Pricing'!C142)*('Rates &amp; Drop Downs INT'!$J$7:$J$431=N142),0))),"")),"")</f>
        <v/>
      </c>
      <c r="P142" s="1677"/>
      <c r="Q142" s="1677"/>
      <c r="R142" s="1677"/>
      <c r="S142" s="1678"/>
      <c r="T142" s="1722"/>
      <c r="U142" s="1722"/>
      <c r="V142" s="1203" t="str">
        <f>IFERROR(IF(ISBLANK(K142)," ",_xlfn.XLOOKUP(K142,'Rates &amp; Drop Downs INT'!C:C,'Rates &amp; Drop Downs INT'!J:J)),N142)</f>
        <v xml:space="preserve"> </v>
      </c>
      <c r="W142" s="1203" t="str">
        <f t="shared" si="4"/>
        <v xml:space="preserve"> </v>
      </c>
      <c r="X142" s="1203"/>
      <c r="Y142" s="880" t="s">
        <v>2271</v>
      </c>
      <c r="Z142" s="1187"/>
      <c r="AA142" s="1190"/>
      <c r="AB142" s="1274" t="str">
        <f t="shared" si="5"/>
        <v/>
      </c>
      <c r="AC142" s="1690"/>
      <c r="AD142" s="1691"/>
      <c r="AE142" s="881"/>
      <c r="AF142" s="892"/>
      <c r="AH142" s="1685"/>
      <c r="AI142" s="1685"/>
      <c r="AJ142" s="413"/>
      <c r="AK142" s="413"/>
      <c r="AL142" s="413"/>
      <c r="AM142" s="413"/>
      <c r="CM142" s="425"/>
    </row>
    <row r="143" spans="3:91" outlineLevel="3" x14ac:dyDescent="0.25">
      <c r="C143" s="1186"/>
      <c r="D143" s="1187"/>
      <c r="E143" s="1187" t="str">
        <f>IFERROR(_xlfn.XLOOKUP(D143,TADIndia,'Rates &amp; Drop Downs INT'!$CH$6:$CH$747),"")</f>
        <v/>
      </c>
      <c r="F143" s="1187"/>
      <c r="G143" s="1187" t="str">
        <f>IFERROR(_xlfn.XLOOKUP(F143,'Rates &amp; Drop Downs INT'!$CI$6:$CI$747,'Rates &amp; Drop Downs INT'!$CJ$6:$CJ$747),"")</f>
        <v/>
      </c>
      <c r="H143" s="1187" t="str">
        <f>_xlfn.XLOOKUP(F143,'Rates &amp; Drop Downs INT'!$DF$6:$DF$173,'Rates &amp; Drop Downs INT'!$DG$6:$DG$173,"")</f>
        <v/>
      </c>
      <c r="I143" s="1187"/>
      <c r="J143" s="1188">
        <f t="shared" si="3"/>
        <v>0</v>
      </c>
      <c r="K143" s="1682"/>
      <c r="L143" s="1683"/>
      <c r="M143" s="1684"/>
      <c r="N143" s="1189" cm="1">
        <f t="array" ref="N143">IF($E$20="Credera US",V143,SUMPRODUCT(('Rates &amp; Drop Downs INT'!$CG$6:$CG$747=$D143)*('Rates &amp; Drop Downs INT'!$CI$6:$CI$747=$F143)*('Rates &amp; Drop Downs INT'!$CK$6:$CK$747=$K143)*('Rates &amp; Drop Downs INT'!$CM$6:$CM$747)))</f>
        <v>0</v>
      </c>
      <c r="O143" s="1676" t="str" cm="1">
        <f t="array" ref="O143">IFERROR(IF(ISBLANK(C143),"",IF($E$20="Credera US",IF(C143&lt;&gt;"CrederaUS",INDEX('Rates &amp; Drop Downs INT'!$F$7:$F$431,MATCH(1,('Rates &amp; Drop Downs INT'!$B$7:$B$431='2. Roles &amp; Pricing'!C143)*('Rates &amp; Drop Downs INT'!$C$7:$C$431='2. Roles &amp; Pricing'!K143),0)),INDEX('Rates &amp; Drop Downs INT'!$F$7:$F$431,MATCH(1,('Rates &amp; Drop Downs INT'!$B$7:$B$431='2. Roles &amp; Pricing'!C143)*('Rates &amp; Drop Downs INT'!$J$7:$J$431=N143),0))),"")),"")</f>
        <v/>
      </c>
      <c r="P143" s="1677"/>
      <c r="Q143" s="1677"/>
      <c r="R143" s="1677"/>
      <c r="S143" s="1678"/>
      <c r="T143" s="1722"/>
      <c r="U143" s="1722"/>
      <c r="V143" s="1203" t="str">
        <f>IFERROR(IF(ISBLANK(K143)," ",_xlfn.XLOOKUP(K143,'Rates &amp; Drop Downs INT'!C:C,'Rates &amp; Drop Downs INT'!J:J)),N143)</f>
        <v xml:space="preserve"> </v>
      </c>
      <c r="W143" s="1203" t="str">
        <f t="shared" si="4"/>
        <v xml:space="preserve"> </v>
      </c>
      <c r="X143" s="1203"/>
      <c r="Y143" s="880" t="s">
        <v>2271</v>
      </c>
      <c r="Z143" s="1187"/>
      <c r="AA143" s="1190"/>
      <c r="AB143" s="1274" t="str">
        <f t="shared" si="5"/>
        <v/>
      </c>
      <c r="AC143" s="1690"/>
      <c r="AD143" s="1691"/>
      <c r="AE143" s="881"/>
      <c r="AF143" s="892"/>
      <c r="AH143" s="1685"/>
      <c r="AI143" s="1685"/>
      <c r="AJ143" s="413"/>
      <c r="AK143" s="413"/>
      <c r="AL143" s="413"/>
      <c r="AM143" s="413"/>
      <c r="CM143" s="425"/>
    </row>
    <row r="144" spans="3:91" outlineLevel="3" x14ac:dyDescent="0.25">
      <c r="C144" s="1186"/>
      <c r="D144" s="1187"/>
      <c r="E144" s="1187" t="str">
        <f>IFERROR(_xlfn.XLOOKUP(D144,TADIndia,'Rates &amp; Drop Downs INT'!$CH$6:$CH$747),"")</f>
        <v/>
      </c>
      <c r="F144" s="1187"/>
      <c r="G144" s="1187" t="str">
        <f>IFERROR(_xlfn.XLOOKUP(F144,'Rates &amp; Drop Downs INT'!$CI$6:$CI$747,'Rates &amp; Drop Downs INT'!$CJ$6:$CJ$747),"")</f>
        <v/>
      </c>
      <c r="H144" s="1187" t="str">
        <f>_xlfn.XLOOKUP(F144,'Rates &amp; Drop Downs INT'!$DF$6:$DF$173,'Rates &amp; Drop Downs INT'!$DG$6:$DG$173,"")</f>
        <v/>
      </c>
      <c r="I144" s="1187"/>
      <c r="J144" s="1188">
        <f t="shared" si="3"/>
        <v>0</v>
      </c>
      <c r="K144" s="1682"/>
      <c r="L144" s="1683"/>
      <c r="M144" s="1684"/>
      <c r="N144" s="1189" cm="1">
        <f t="array" ref="N144">IF($E$20="Credera US",V144,SUMPRODUCT(('Rates &amp; Drop Downs INT'!$CG$6:$CG$747=$D144)*('Rates &amp; Drop Downs INT'!$CI$6:$CI$747=$F144)*('Rates &amp; Drop Downs INT'!$CK$6:$CK$747=$K144)*('Rates &amp; Drop Downs INT'!$CM$6:$CM$747)))</f>
        <v>0</v>
      </c>
      <c r="O144" s="1676" t="str" cm="1">
        <f t="array" ref="O144">IFERROR(IF(ISBLANK(C144),"",IF($E$20="Credera US",IF(C144&lt;&gt;"CrederaUS",INDEX('Rates &amp; Drop Downs INT'!$F$7:$F$431,MATCH(1,('Rates &amp; Drop Downs INT'!$B$7:$B$431='2. Roles &amp; Pricing'!C144)*('Rates &amp; Drop Downs INT'!$C$7:$C$431='2. Roles &amp; Pricing'!K144),0)),INDEX('Rates &amp; Drop Downs INT'!$F$7:$F$431,MATCH(1,('Rates &amp; Drop Downs INT'!$B$7:$B$431='2. Roles &amp; Pricing'!C144)*('Rates &amp; Drop Downs INT'!$J$7:$J$431=N144),0))),"")),"")</f>
        <v/>
      </c>
      <c r="P144" s="1677"/>
      <c r="Q144" s="1677"/>
      <c r="R144" s="1677"/>
      <c r="S144" s="1678"/>
      <c r="T144" s="1722"/>
      <c r="U144" s="1722"/>
      <c r="V144" s="1203" t="str">
        <f>IFERROR(IF(ISBLANK(K144)," ",_xlfn.XLOOKUP(K144,'Rates &amp; Drop Downs INT'!C:C,'Rates &amp; Drop Downs INT'!J:J)),N144)</f>
        <v xml:space="preserve"> </v>
      </c>
      <c r="W144" s="1203" t="str">
        <f t="shared" si="4"/>
        <v xml:space="preserve"> </v>
      </c>
      <c r="X144" s="1203"/>
      <c r="Y144" s="880" t="s">
        <v>2271</v>
      </c>
      <c r="Z144" s="1187"/>
      <c r="AA144" s="1190"/>
      <c r="AB144" s="1274" t="str">
        <f t="shared" si="5"/>
        <v/>
      </c>
      <c r="AC144" s="1690"/>
      <c r="AD144" s="1691"/>
      <c r="AE144" s="881"/>
      <c r="AF144" s="892"/>
      <c r="AH144" s="1685"/>
      <c r="AI144" s="1685"/>
      <c r="AJ144" s="413"/>
      <c r="AK144" s="413"/>
      <c r="AL144" s="413"/>
      <c r="AM144" s="413"/>
      <c r="CM144" s="425"/>
    </row>
    <row r="145" spans="1:97" outlineLevel="3" x14ac:dyDescent="0.25">
      <c r="C145" s="1186"/>
      <c r="D145" s="1187"/>
      <c r="E145" s="1187" t="str">
        <f>IFERROR(_xlfn.XLOOKUP(D145,TADIndia,'Rates &amp; Drop Downs INT'!$CH$6:$CH$747),"")</f>
        <v/>
      </c>
      <c r="F145" s="1187"/>
      <c r="G145" s="1187" t="str">
        <f>IFERROR(_xlfn.XLOOKUP(F145,'Rates &amp; Drop Downs INT'!$CI$6:$CI$747,'Rates &amp; Drop Downs INT'!$CJ$6:$CJ$747),"")</f>
        <v/>
      </c>
      <c r="H145" s="1187" t="str">
        <f>_xlfn.XLOOKUP(F145,'Rates &amp; Drop Downs INT'!$DF$6:$DF$173,'Rates &amp; Drop Downs INT'!$DG$6:$DG$173,"")</f>
        <v/>
      </c>
      <c r="I145" s="1187"/>
      <c r="J145" s="1188">
        <f t="shared" si="3"/>
        <v>0</v>
      </c>
      <c r="K145" s="1682"/>
      <c r="L145" s="1683"/>
      <c r="M145" s="1684"/>
      <c r="N145" s="1189" cm="1">
        <f t="array" ref="N145">IF($E$20="Credera US",V145,SUMPRODUCT(('Rates &amp; Drop Downs INT'!$CG$6:$CG$747=$D145)*('Rates &amp; Drop Downs INT'!$CI$6:$CI$747=$F145)*('Rates &amp; Drop Downs INT'!$CK$6:$CK$747=$K145)*('Rates &amp; Drop Downs INT'!$CM$6:$CM$747)))</f>
        <v>0</v>
      </c>
      <c r="O145" s="1676" t="str" cm="1">
        <f t="array" ref="O145">IFERROR(IF(ISBLANK(C145),"",IF($E$20="Credera US",IF(C145&lt;&gt;"CrederaUS",INDEX('Rates &amp; Drop Downs INT'!$F$7:$F$431,MATCH(1,('Rates &amp; Drop Downs INT'!$B$7:$B$431='2. Roles &amp; Pricing'!C145)*('Rates &amp; Drop Downs INT'!$C$7:$C$431='2. Roles &amp; Pricing'!K145),0)),INDEX('Rates &amp; Drop Downs INT'!$F$7:$F$431,MATCH(1,('Rates &amp; Drop Downs INT'!$B$7:$B$431='2. Roles &amp; Pricing'!C145)*('Rates &amp; Drop Downs INT'!$J$7:$J$431=N145),0))),"")),"")</f>
        <v/>
      </c>
      <c r="P145" s="1677"/>
      <c r="Q145" s="1677"/>
      <c r="R145" s="1677"/>
      <c r="S145" s="1678"/>
      <c r="T145" s="1722"/>
      <c r="U145" s="1722"/>
      <c r="V145" s="1203" t="str">
        <f>IFERROR(IF(ISBLANK(K145)," ",_xlfn.XLOOKUP(K145,'Rates &amp; Drop Downs INT'!C:C,'Rates &amp; Drop Downs INT'!J:J)),N145)</f>
        <v xml:space="preserve"> </v>
      </c>
      <c r="W145" s="1203" t="str">
        <f t="shared" si="4"/>
        <v xml:space="preserve"> </v>
      </c>
      <c r="X145" s="1203"/>
      <c r="Y145" s="880" t="s">
        <v>2271</v>
      </c>
      <c r="Z145" s="1187"/>
      <c r="AA145" s="1190"/>
      <c r="AB145" s="1274" t="str">
        <f t="shared" si="5"/>
        <v/>
      </c>
      <c r="AC145" s="1690"/>
      <c r="AD145" s="1691"/>
      <c r="AE145" s="881"/>
      <c r="AF145" s="892"/>
      <c r="AH145" s="1685"/>
      <c r="AI145" s="1685"/>
      <c r="AJ145" s="413"/>
      <c r="AK145" s="413"/>
      <c r="AL145" s="413"/>
      <c r="AM145" s="413"/>
      <c r="CM145" s="425"/>
    </row>
    <row r="146" spans="1:97" outlineLevel="3" x14ac:dyDescent="0.25">
      <c r="C146" s="1186"/>
      <c r="D146" s="1187"/>
      <c r="E146" s="1187" t="str">
        <f>IFERROR(_xlfn.XLOOKUP(D146,TADIndia,'Rates &amp; Drop Downs INT'!$CH$6:$CH$747),"")</f>
        <v/>
      </c>
      <c r="F146" s="1187"/>
      <c r="G146" s="1187" t="str">
        <f>IFERROR(_xlfn.XLOOKUP(F146,'Rates &amp; Drop Downs INT'!$CI$6:$CI$747,'Rates &amp; Drop Downs INT'!$CJ$6:$CJ$747),"")</f>
        <v/>
      </c>
      <c r="H146" s="1187" t="str">
        <f>_xlfn.XLOOKUP(F146,'Rates &amp; Drop Downs INT'!$DF$6:$DF$173,'Rates &amp; Drop Downs INT'!$DG$6:$DG$173,"")</f>
        <v/>
      </c>
      <c r="I146" s="1187"/>
      <c r="J146" s="1188">
        <f t="shared" si="3"/>
        <v>0</v>
      </c>
      <c r="K146" s="1682"/>
      <c r="L146" s="1683"/>
      <c r="M146" s="1684"/>
      <c r="N146" s="1189" cm="1">
        <f t="array" ref="N146">IF($E$20="Credera US",V146,SUMPRODUCT(('Rates &amp; Drop Downs INT'!$CG$6:$CG$747=$D146)*('Rates &amp; Drop Downs INT'!$CI$6:$CI$747=$F146)*('Rates &amp; Drop Downs INT'!$CK$6:$CK$747=$K146)*('Rates &amp; Drop Downs INT'!$CM$6:$CM$747)))</f>
        <v>0</v>
      </c>
      <c r="O146" s="1676" t="str" cm="1">
        <f t="array" ref="O146">IFERROR(IF(ISBLANK(C146),"",IF($E$20="Credera US",IF(C146&lt;&gt;"CrederaUS",INDEX('Rates &amp; Drop Downs INT'!$F$7:$F$431,MATCH(1,('Rates &amp; Drop Downs INT'!$B$7:$B$431='2. Roles &amp; Pricing'!C146)*('Rates &amp; Drop Downs INT'!$C$7:$C$431='2. Roles &amp; Pricing'!K146),0)),INDEX('Rates &amp; Drop Downs INT'!$F$7:$F$431,MATCH(1,('Rates &amp; Drop Downs INT'!$B$7:$B$431='2. Roles &amp; Pricing'!C146)*('Rates &amp; Drop Downs INT'!$J$7:$J$431=N146),0))),"")),"")</f>
        <v/>
      </c>
      <c r="P146" s="1677"/>
      <c r="Q146" s="1677"/>
      <c r="R146" s="1677"/>
      <c r="S146" s="1678"/>
      <c r="T146" s="1722"/>
      <c r="U146" s="1722"/>
      <c r="V146" s="1203" t="str">
        <f>IFERROR(IF(ISBLANK(K146)," ",_xlfn.XLOOKUP(K146,'Rates &amp; Drop Downs INT'!C:C,'Rates &amp; Drop Downs INT'!J:J)),N146)</f>
        <v xml:space="preserve"> </v>
      </c>
      <c r="W146" s="1203" t="str">
        <f t="shared" si="4"/>
        <v xml:space="preserve"> </v>
      </c>
      <c r="X146" s="1203"/>
      <c r="Y146" s="880" t="s">
        <v>2271</v>
      </c>
      <c r="Z146" s="1187"/>
      <c r="AA146" s="1190"/>
      <c r="AB146" s="1274" t="str">
        <f t="shared" si="5"/>
        <v/>
      </c>
      <c r="AC146" s="1690"/>
      <c r="AD146" s="1691"/>
      <c r="AE146" s="881"/>
      <c r="AF146" s="892"/>
      <c r="AH146" s="1685"/>
      <c r="AI146" s="1685"/>
      <c r="AJ146" s="413"/>
      <c r="AK146" s="413"/>
      <c r="AL146" s="413"/>
      <c r="AM146" s="413"/>
      <c r="CM146" s="425"/>
    </row>
    <row r="147" spans="1:97" outlineLevel="3" x14ac:dyDescent="0.25">
      <c r="C147" s="1191"/>
      <c r="D147" s="1192"/>
      <c r="E147" s="1192" t="str">
        <f>IFERROR(_xlfn.XLOOKUP(D147,TADIndia,'Rates &amp; Drop Downs INT'!$CH$6:$CH$747),"")</f>
        <v/>
      </c>
      <c r="F147" s="1192"/>
      <c r="G147" s="1192" t="str">
        <f>IFERROR(_xlfn.XLOOKUP(F147,'Rates &amp; Drop Downs INT'!$CI$6:$CI$747,'Rates &amp; Drop Downs INT'!$CJ$6:$CJ$747),"")</f>
        <v/>
      </c>
      <c r="H147" s="1192" t="str">
        <f>_xlfn.XLOOKUP(F147,'Rates &amp; Drop Downs INT'!$DF$6:$DF$173,'Rates &amp; Drop Downs INT'!$DG$6:$DG$173,"")</f>
        <v/>
      </c>
      <c r="I147" s="1192"/>
      <c r="J147" s="1193">
        <f t="shared" si="3"/>
        <v>0</v>
      </c>
      <c r="K147" s="1682"/>
      <c r="L147" s="1683"/>
      <c r="M147" s="1684"/>
      <c r="N147" s="1194" cm="1">
        <f t="array" ref="N147">IF($E$20="Credera US",V147,SUMPRODUCT(('Rates &amp; Drop Downs INT'!$CG$6:$CG$747=$D147)*('Rates &amp; Drop Downs INT'!$CI$6:$CI$747=$F147)*('Rates &amp; Drop Downs INT'!$CK$6:$CK$747=$K147)*('Rates &amp; Drop Downs INT'!$CM$6:$CM$747)))</f>
        <v>0</v>
      </c>
      <c r="O147" s="1679" t="str" cm="1">
        <f t="array" ref="O147">IFERROR(IF(ISBLANK(C147),"",IF($E$20="Credera US",IF(C147&lt;&gt;"CrederaUS",INDEX('Rates &amp; Drop Downs INT'!$F$7:$F$431,MATCH(1,('Rates &amp; Drop Downs INT'!$B$7:$B$431='2. Roles &amp; Pricing'!C147)*('Rates &amp; Drop Downs INT'!$C$7:$C$431='2. Roles &amp; Pricing'!K147),0)),INDEX('Rates &amp; Drop Downs INT'!$F$7:$F$431,MATCH(1,('Rates &amp; Drop Downs INT'!$B$7:$B$431='2. Roles &amp; Pricing'!C147)*('Rates &amp; Drop Downs INT'!$J$7:$J$431=N147),0))),"")),"")</f>
        <v/>
      </c>
      <c r="P147" s="1680"/>
      <c r="Q147" s="1680"/>
      <c r="R147" s="1680"/>
      <c r="S147" s="1681"/>
      <c r="T147" s="1723"/>
      <c r="U147" s="1723"/>
      <c r="V147" s="1204" t="str">
        <f>IFERROR(IF(ISBLANK(K147)," ",_xlfn.XLOOKUP(K147,'Rates &amp; Drop Downs INT'!C:C,'Rates &amp; Drop Downs INT'!J:J)),N147)</f>
        <v xml:space="preserve"> </v>
      </c>
      <c r="W147" s="1204" t="str">
        <f t="shared" si="4"/>
        <v xml:space="preserve"> </v>
      </c>
      <c r="X147" s="1204"/>
      <c r="Y147" s="893" t="s">
        <v>2271</v>
      </c>
      <c r="Z147" s="1192"/>
      <c r="AA147" s="1195"/>
      <c r="AB147" s="1275" t="str">
        <f t="shared" si="5"/>
        <v/>
      </c>
      <c r="AC147" s="1734"/>
      <c r="AD147" s="1735"/>
      <c r="AE147" s="894"/>
      <c r="AF147" s="895"/>
      <c r="AH147" s="1685"/>
      <c r="AI147" s="1685"/>
      <c r="AJ147" s="413"/>
      <c r="AK147" s="413"/>
      <c r="AL147" s="413"/>
      <c r="AM147" s="413"/>
      <c r="CM147" s="425"/>
    </row>
    <row r="148" spans="1:97" s="406" customFormat="1" x14ac:dyDescent="0.25">
      <c r="B148" s="406" t="s">
        <v>2235</v>
      </c>
      <c r="C148" s="1196" t="s">
        <v>2238</v>
      </c>
      <c r="D148" s="1196"/>
      <c r="E148" s="1196"/>
      <c r="F148" s="1196"/>
      <c r="G148" s="1196"/>
      <c r="H148" s="1196" t="str">
        <f>_xlfn.XLOOKUP(F148,'Rates &amp; Drop Downs INT'!$DF$6:$DF$173,'Rates &amp; Drop Downs INT'!$DG$6:$DG$173,"")</f>
        <v/>
      </c>
      <c r="I148" s="1196"/>
      <c r="J148" s="1196" t="str">
        <f t="shared" si="3"/>
        <v>Click "+" to add additional rows</v>
      </c>
      <c r="K148" s="1196"/>
      <c r="L148" s="1196"/>
      <c r="M148" s="1196"/>
      <c r="N148" s="1196"/>
      <c r="O148" s="1196"/>
      <c r="P148" s="1196"/>
      <c r="Q148" s="1196"/>
      <c r="R148" s="1196"/>
      <c r="S148" s="1196"/>
      <c r="T148" s="1196"/>
      <c r="U148" s="1196"/>
      <c r="V148" s="1196"/>
      <c r="W148" s="1197"/>
      <c r="X148" s="1197"/>
      <c r="Y148" s="1198"/>
      <c r="Z148" s="1197"/>
      <c r="AA148" s="1197"/>
      <c r="AB148" s="1197"/>
      <c r="AC148" s="1197"/>
      <c r="AD148" s="1197"/>
      <c r="AE148" s="1197"/>
      <c r="AF148" s="1199"/>
      <c r="AG148" s="1200"/>
      <c r="AH148" s="1200"/>
      <c r="AI148" s="1200"/>
      <c r="AJ148" s="1200"/>
      <c r="AK148" s="1200"/>
      <c r="AL148" s="1200"/>
      <c r="AM148" s="1200"/>
      <c r="CM148" s="1201"/>
      <c r="CS148" s="486"/>
    </row>
    <row r="149" spans="1:97" x14ac:dyDescent="0.25">
      <c r="C149" s="522"/>
      <c r="D149" s="522"/>
      <c r="E149" s="522"/>
      <c r="F149" s="522"/>
      <c r="G149" s="522"/>
      <c r="H149" s="522"/>
      <c r="I149" s="522"/>
      <c r="J149" s="522"/>
      <c r="K149" s="522"/>
      <c r="L149" s="522"/>
      <c r="M149" s="522"/>
      <c r="N149" s="522"/>
      <c r="O149" s="522"/>
      <c r="P149" s="522"/>
      <c r="Q149" s="522"/>
      <c r="R149" s="522"/>
      <c r="S149" s="522"/>
      <c r="T149" s="522"/>
      <c r="U149" s="522"/>
      <c r="V149" s="522"/>
      <c r="W149" s="448"/>
      <c r="X149" s="448"/>
      <c r="Y149" s="448"/>
      <c r="Z149" s="448"/>
      <c r="AA149" s="448"/>
      <c r="AB149" s="448"/>
      <c r="AC149" s="448"/>
      <c r="AD149" s="448"/>
      <c r="AE149" s="448"/>
      <c r="AF149" s="504"/>
      <c r="AG149" s="399"/>
      <c r="AH149" s="399"/>
      <c r="AI149" s="399"/>
      <c r="AJ149" s="458"/>
      <c r="AK149" s="458"/>
      <c r="AL149" s="458"/>
      <c r="AM149" s="458"/>
      <c r="CM149" s="425"/>
      <c r="CS149" s="487"/>
    </row>
    <row r="150" spans="1:97" s="403" customFormat="1" ht="17.399999999999999" x14ac:dyDescent="0.25">
      <c r="A150" s="395"/>
      <c r="B150" s="395"/>
      <c r="C150" s="801" t="s">
        <v>2320</v>
      </c>
      <c r="Y150" s="409"/>
      <c r="Z150" s="409"/>
      <c r="AA150" s="715"/>
      <c r="AB150" s="715"/>
      <c r="AC150" s="715"/>
      <c r="AD150" s="715"/>
      <c r="AE150" s="715"/>
      <c r="AI150" s="559"/>
      <c r="AJ150" s="716"/>
      <c r="AK150" s="716"/>
      <c r="AL150" s="716"/>
      <c r="AM150" s="716"/>
      <c r="CM150" s="717"/>
    </row>
    <row r="151" spans="1:97" s="624" customFormat="1" ht="31.05" customHeight="1" x14ac:dyDescent="0.3">
      <c r="C151" s="1672" t="s">
        <v>3234</v>
      </c>
      <c r="D151" s="1672"/>
      <c r="E151" s="1672"/>
      <c r="F151" s="1672"/>
      <c r="G151" s="1672"/>
      <c r="H151" s="1673"/>
      <c r="I151" s="1672"/>
      <c r="J151" s="1672"/>
      <c r="K151" s="1672"/>
      <c r="L151" s="1672"/>
      <c r="M151" s="1672"/>
      <c r="N151" s="1672"/>
      <c r="O151" s="1263"/>
      <c r="P151" s="1263"/>
      <c r="Q151" s="1263"/>
      <c r="R151" s="1224"/>
      <c r="S151" s="1224"/>
      <c r="Y151" s="838"/>
      <c r="Z151" s="838"/>
      <c r="AA151" s="839"/>
      <c r="AB151" s="839"/>
      <c r="AC151" s="839"/>
      <c r="AD151" s="839"/>
      <c r="AE151" s="839"/>
      <c r="AI151" s="837"/>
      <c r="AJ151" s="822"/>
      <c r="AK151" s="822"/>
      <c r="AL151" s="822"/>
      <c r="AM151" s="822"/>
      <c r="CM151" s="840"/>
    </row>
    <row r="152" spans="1:97" s="624" customFormat="1" ht="13.95" customHeight="1" x14ac:dyDescent="0.3">
      <c r="C152" s="1729" t="s">
        <v>3582</v>
      </c>
      <c r="D152" s="1729"/>
      <c r="E152" s="1729"/>
      <c r="F152" s="1729"/>
      <c r="G152" s="1729"/>
      <c r="H152" s="1729"/>
      <c r="I152" s="1729"/>
      <c r="J152" s="1729"/>
      <c r="K152" s="1729"/>
      <c r="L152" s="1729"/>
      <c r="M152" s="1729"/>
      <c r="N152" s="1729"/>
      <c r="O152" s="1729"/>
      <c r="P152" s="1729"/>
      <c r="Y152" s="838"/>
      <c r="Z152" s="838"/>
      <c r="AA152" s="839"/>
      <c r="AB152" s="839"/>
      <c r="AC152" s="839"/>
      <c r="AD152" s="839"/>
      <c r="AE152" s="839"/>
      <c r="AI152" s="837"/>
      <c r="AJ152" s="822"/>
      <c r="AK152" s="822"/>
      <c r="AL152" s="822"/>
      <c r="AM152" s="822"/>
      <c r="CM152" s="840"/>
    </row>
    <row r="153" spans="1:97" s="624" customFormat="1" x14ac:dyDescent="0.3">
      <c r="C153" s="624" t="s">
        <v>2317</v>
      </c>
      <c r="Y153" s="838"/>
      <c r="Z153" s="838"/>
      <c r="AA153" s="839"/>
      <c r="AB153" s="839"/>
      <c r="AC153" s="839"/>
      <c r="AD153" s="839"/>
      <c r="AE153" s="839"/>
      <c r="AI153" s="837"/>
      <c r="AJ153" s="822"/>
      <c r="AK153" s="822"/>
      <c r="AL153" s="822"/>
      <c r="AM153" s="822"/>
      <c r="CM153" s="840"/>
    </row>
    <row r="154" spans="1:97" s="624" customFormat="1" x14ac:dyDescent="0.3">
      <c r="C154" s="1708" t="s">
        <v>2318</v>
      </c>
      <c r="D154" s="1708"/>
      <c r="E154" s="1708"/>
      <c r="F154" s="1708"/>
      <c r="G154" s="1708"/>
      <c r="H154" s="1708"/>
      <c r="I154" s="1708"/>
      <c r="J154" s="1708"/>
      <c r="K154" s="1708"/>
      <c r="L154" s="1708"/>
      <c r="M154" s="1708"/>
      <c r="N154" s="1708"/>
      <c r="Y154" s="838"/>
      <c r="Z154" s="838"/>
      <c r="AA154" s="839"/>
      <c r="AB154" s="839"/>
      <c r="AC154" s="839"/>
      <c r="AD154" s="839"/>
      <c r="AE154" s="839"/>
      <c r="AI154" s="837"/>
      <c r="AJ154" s="822"/>
      <c r="AK154" s="822"/>
      <c r="AL154" s="822"/>
      <c r="AM154" s="822"/>
      <c r="CM154" s="840"/>
    </row>
    <row r="155" spans="1:97" ht="22.05" customHeight="1" x14ac:dyDescent="0.25">
      <c r="C155" s="1708" t="s">
        <v>2319</v>
      </c>
      <c r="D155" s="1708"/>
      <c r="E155" s="1708"/>
      <c r="F155" s="1708"/>
      <c r="G155" s="1708"/>
      <c r="H155" s="1708"/>
      <c r="I155" s="1708"/>
      <c r="J155" s="1708"/>
      <c r="K155" s="1708"/>
      <c r="L155" s="1708"/>
      <c r="M155" s="1708"/>
      <c r="N155" s="1708"/>
      <c r="O155" s="413"/>
      <c r="P155" s="413"/>
      <c r="Q155" s="413"/>
      <c r="R155" s="413"/>
      <c r="S155" s="413"/>
      <c r="T155" s="413"/>
      <c r="U155" s="413"/>
      <c r="V155" s="413"/>
      <c r="W155" s="413"/>
      <c r="X155" s="413"/>
      <c r="Y155" s="413"/>
      <c r="Z155" s="413"/>
      <c r="AA155" s="399"/>
      <c r="AB155" s="458"/>
      <c r="AC155" s="413"/>
      <c r="AD155" s="413"/>
      <c r="AE155" s="413"/>
      <c r="AF155" s="413"/>
      <c r="AG155" s="458"/>
      <c r="AH155" s="458"/>
      <c r="AI155" s="458"/>
      <c r="CI155" s="425"/>
      <c r="CJ155" s="523"/>
      <c r="CK155" s="523"/>
      <c r="CL155" s="523"/>
      <c r="CM155" s="523"/>
      <c r="CN155" s="523"/>
    </row>
    <row r="156" spans="1:97" ht="22.95" hidden="1" customHeight="1" x14ac:dyDescent="0.25">
      <c r="C156" s="524"/>
      <c r="D156" s="524" t="str">
        <f t="shared" ref="D156:K156" si="6">IF(E160&gt;1,CONCATENATE("*Week has ",E160," Holidays*",""),IF(E160=1,"*Week has 1 Holiday*",""))</f>
        <v/>
      </c>
      <c r="E156" s="524" t="str">
        <f t="shared" si="6"/>
        <v/>
      </c>
      <c r="F156" s="524" t="str">
        <f t="shared" si="6"/>
        <v/>
      </c>
      <c r="G156" s="524" t="str">
        <f>IF(I160&gt;1,CONCATENATE("*Week has ",I160," Holidays*",""),IF(I160=1,"*Week has 1 Holiday*",""))</f>
        <v/>
      </c>
      <c r="H156" s="524"/>
      <c r="I156" s="524" t="str">
        <f t="shared" si="6"/>
        <v/>
      </c>
      <c r="J156" s="524" t="str">
        <f t="shared" si="6"/>
        <v/>
      </c>
      <c r="K156" s="524" t="str">
        <f t="shared" si="6"/>
        <v/>
      </c>
      <c r="L156" s="524"/>
      <c r="M156" s="524"/>
      <c r="N156" s="524" t="str">
        <f>IF(M160&gt;1,CONCATENATE("*Week has ",M160," Holidays*",""),IF(M160=1,"*Week has 1 Holiday*",""))</f>
        <v/>
      </c>
      <c r="O156" s="524" t="str">
        <f>IF(N160&gt;1,CONCATENATE("*Week has ",N160," Holidays*",""),IF(N160=1,"*Week has 1 Holiday*",""))</f>
        <v/>
      </c>
      <c r="P156" s="524" t="str">
        <f>IF(O160&gt;1,CONCATENATE("*Week has ",O160," Holidays*",""),IF(O160=1,"*Week has 1 Holiday*",""))</f>
        <v/>
      </c>
      <c r="Q156" s="524" t="str">
        <f>IF(P160&gt;1,CONCATENATE("*Week has ",P160," Holidays*",""),IF(P160=1,"*Week has 1 Holiday*",""))</f>
        <v/>
      </c>
      <c r="R156" s="524"/>
      <c r="S156" s="524"/>
      <c r="T156" s="524" t="str">
        <f>IF(Q160&gt;1,CONCATENATE("*Week has ",Q160," Holidays*",""),IF(Q160=1,"*Week has 1 Holiday*",""))</f>
        <v/>
      </c>
      <c r="U156" s="524"/>
      <c r="V156" s="524" t="str">
        <f t="shared" ref="V156:W156" si="7">IF(R160&gt;1,CONCATENATE("*Week has ",R160," Holidays*",""),IF(R160=1,"*Week has 1 Holiday*",""))</f>
        <v/>
      </c>
      <c r="W156" s="524" t="str">
        <f t="shared" si="7"/>
        <v/>
      </c>
      <c r="X156" s="524"/>
      <c r="Y156" s="524" t="str">
        <f>IF(T160&gt;1,CONCATENATE("*Week has ",T160," Holidays*",""),IF(T160=1,"*Week has 1 Holiday*",""))</f>
        <v/>
      </c>
      <c r="Z156" s="524" t="str">
        <f>IF(U160&gt;1,CONCATENATE("*Week has ",U160," Holidays*",""),IF(U160=1,"*Week has 1 Holiday*",""))</f>
        <v/>
      </c>
      <c r="AA156" s="524" t="str">
        <f>IF(V160&gt;1,CONCATENATE("*Week has ",V160," Holidays*",""),IF(V160=1,"*Week has 1 Holiday*",""))</f>
        <v/>
      </c>
      <c r="AB156" s="524" t="str">
        <f>IF(W160&gt;1,CONCATENATE("*Week has ",W160," Holidays*",""),IF(W160=1,"*Week has 1 Holiday*",""))</f>
        <v/>
      </c>
      <c r="AC156" s="524" t="e">
        <f>IF(#REF!&gt;1,CONCATENATE("*Week has ",#REF!," Holidays*",""),IF(#REF!=1,"*Week has 1 Holiday*",""))</f>
        <v>#REF!</v>
      </c>
      <c r="AD156" s="524" t="e">
        <f>IF(#REF!&gt;1,CONCATENATE("*Week has ",#REF!," Holidays*",""),IF(#REF!=1,"*Week has 1 Holiday*",""))</f>
        <v>#REF!</v>
      </c>
      <c r="AE156" s="524" t="e">
        <f>IF(#REF!&gt;1,CONCATENATE("*Week has ",#REF!," Holidays*",""),IF(#REF!=1,"*Week has 1 Holiday*",""))</f>
        <v>#REF!</v>
      </c>
      <c r="AG156" s="524" t="str">
        <f>IF(Y160&gt;1,CONCATENATE("*Week has ",Y160," Holidays*",""),IF(Y160=1,"*Week has 1 Holiday*",""))</f>
        <v/>
      </c>
      <c r="AH156" s="524" t="str">
        <f>IF(Z160&gt;1,CONCATENATE("*Week has ",Z160," Holidays*",""),IF(Z160=1,"*Week has 1 Holiday*",""))</f>
        <v/>
      </c>
      <c r="AI156" s="524" t="str">
        <f>IF(AA160&gt;1,CONCATENATE("*Week has ",AA160," Holidays*",""),IF(AA160=1,"*Week has 1 Holiday*",""))</f>
        <v/>
      </c>
      <c r="AJ156" s="524" t="str">
        <f>IF(AB160&gt;1,CONCATENATE("*Week has ",AB160," Holidays*",""),IF(AB160=1,"*Week has 1 Holiday*",""))</f>
        <v/>
      </c>
      <c r="AK156" s="524" t="str">
        <f>IF(AC160&gt;1,CONCATENATE("*Week has ",AC160," Holidays*",""),IF(AC160=1,"*Week has 1 Holiday*",""))</f>
        <v/>
      </c>
      <c r="AL156" s="524" t="str">
        <f t="shared" ref="AL156:BN156" si="8">IF(AH160&gt;1,CONCATENATE("*Week has ",AH160," Holidays*",""),IF(AH160=1,"*Week has 1 Holiday*",""))</f>
        <v/>
      </c>
      <c r="AM156" s="524" t="str">
        <f t="shared" si="8"/>
        <v/>
      </c>
      <c r="AN156" s="524" t="str">
        <f t="shared" si="8"/>
        <v/>
      </c>
      <c r="AO156" s="524" t="str">
        <f t="shared" si="8"/>
        <v/>
      </c>
      <c r="AP156" s="524" t="str">
        <f t="shared" si="8"/>
        <v/>
      </c>
      <c r="AQ156" s="524" t="str">
        <f t="shared" si="8"/>
        <v/>
      </c>
      <c r="AR156" s="524" t="str">
        <f t="shared" si="8"/>
        <v/>
      </c>
      <c r="AS156" s="524" t="str">
        <f t="shared" si="8"/>
        <v/>
      </c>
      <c r="AT156" s="524" t="str">
        <f t="shared" si="8"/>
        <v/>
      </c>
      <c r="AU156" s="524" t="str">
        <f t="shared" si="8"/>
        <v/>
      </c>
      <c r="AV156" s="524" t="str">
        <f t="shared" si="8"/>
        <v/>
      </c>
      <c r="AW156" s="524" t="str">
        <f t="shared" si="8"/>
        <v/>
      </c>
      <c r="AX156" s="524" t="str">
        <f t="shared" si="8"/>
        <v/>
      </c>
      <c r="AY156" s="524" t="str">
        <f t="shared" si="8"/>
        <v/>
      </c>
      <c r="AZ156" s="524" t="str">
        <f t="shared" si="8"/>
        <v/>
      </c>
      <c r="BA156" s="524" t="str">
        <f t="shared" si="8"/>
        <v/>
      </c>
      <c r="BB156" s="524" t="str">
        <f t="shared" si="8"/>
        <v/>
      </c>
      <c r="BC156" s="524" t="str">
        <f t="shared" si="8"/>
        <v/>
      </c>
      <c r="BD156" s="524" t="str">
        <f t="shared" si="8"/>
        <v/>
      </c>
      <c r="BE156" s="524" t="str">
        <f t="shared" si="8"/>
        <v/>
      </c>
      <c r="BF156" s="524" t="str">
        <f t="shared" si="8"/>
        <v/>
      </c>
      <c r="BG156" s="524" t="str">
        <f t="shared" si="8"/>
        <v/>
      </c>
      <c r="BH156" s="524" t="str">
        <f t="shared" si="8"/>
        <v/>
      </c>
      <c r="BI156" s="524" t="str">
        <f t="shared" si="8"/>
        <v/>
      </c>
      <c r="BJ156" s="524" t="str">
        <f t="shared" si="8"/>
        <v/>
      </c>
      <c r="BK156" s="524" t="str">
        <f t="shared" si="8"/>
        <v/>
      </c>
      <c r="BL156" s="524" t="str">
        <f t="shared" si="8"/>
        <v/>
      </c>
      <c r="BM156" s="524" t="str">
        <f t="shared" si="8"/>
        <v/>
      </c>
      <c r="BN156" s="524" t="str">
        <f t="shared" si="8"/>
        <v/>
      </c>
      <c r="CI156" s="425"/>
      <c r="CJ156" s="523"/>
      <c r="CK156" s="523"/>
      <c r="CL156" s="523"/>
      <c r="CM156" s="523"/>
      <c r="CN156" s="523"/>
    </row>
    <row r="157" spans="1:97" s="458" customFormat="1" ht="27.45" customHeight="1" x14ac:dyDescent="0.3">
      <c r="D157" s="1388"/>
      <c r="E157" s="1389"/>
      <c r="F157" s="1389" t="s">
        <v>121</v>
      </c>
      <c r="G157" s="1389"/>
      <c r="H157" s="1389"/>
      <c r="I157" s="1389" t="s">
        <v>122</v>
      </c>
      <c r="J157" s="1389"/>
      <c r="K157" s="1389" t="s">
        <v>123</v>
      </c>
      <c r="L157" s="1389" t="s">
        <v>124</v>
      </c>
      <c r="M157" s="1389" t="s">
        <v>125</v>
      </c>
      <c r="N157" s="1389" t="s">
        <v>126</v>
      </c>
      <c r="O157" s="1389" t="s">
        <v>127</v>
      </c>
      <c r="P157" s="1389" t="s">
        <v>128</v>
      </c>
      <c r="Q157" s="1389" t="s">
        <v>129</v>
      </c>
      <c r="R157" s="1389" t="s">
        <v>130</v>
      </c>
      <c r="S157" s="1389" t="s">
        <v>131</v>
      </c>
      <c r="T157" s="1389" t="s">
        <v>132</v>
      </c>
      <c r="U157" s="1389" t="s">
        <v>133</v>
      </c>
      <c r="V157" s="1389"/>
      <c r="W157" s="1389"/>
      <c r="X157" s="1389"/>
      <c r="Y157" s="1389" t="s">
        <v>134</v>
      </c>
      <c r="Z157" s="1389" t="s">
        <v>135</v>
      </c>
      <c r="AA157" s="1389" t="s">
        <v>136</v>
      </c>
      <c r="AB157" s="1389" t="s">
        <v>137</v>
      </c>
      <c r="AC157" s="720"/>
      <c r="AD157" s="720"/>
      <c r="AE157" s="720"/>
      <c r="AF157" s="720"/>
      <c r="AG157" s="720" t="s">
        <v>138</v>
      </c>
      <c r="AH157" s="720" t="s">
        <v>139</v>
      </c>
      <c r="AI157" s="720" t="s">
        <v>140</v>
      </c>
      <c r="AJ157" s="720" t="s">
        <v>141</v>
      </c>
      <c r="AK157" s="720" t="s">
        <v>142</v>
      </c>
      <c r="AL157" s="720" t="s">
        <v>143</v>
      </c>
      <c r="AM157" s="720" t="s">
        <v>144</v>
      </c>
      <c r="AN157" s="720" t="s">
        <v>145</v>
      </c>
      <c r="AO157" s="720" t="s">
        <v>146</v>
      </c>
      <c r="AP157" s="720" t="s">
        <v>147</v>
      </c>
      <c r="AQ157" s="720" t="s">
        <v>148</v>
      </c>
      <c r="AR157" s="720" t="s">
        <v>149</v>
      </c>
      <c r="AS157" s="720" t="s">
        <v>150</v>
      </c>
      <c r="AT157" s="720" t="s">
        <v>151</v>
      </c>
      <c r="AU157" s="720" t="s">
        <v>152</v>
      </c>
      <c r="AV157" s="720" t="s">
        <v>153</v>
      </c>
      <c r="AW157" s="720" t="s">
        <v>154</v>
      </c>
      <c r="AX157" s="720" t="s">
        <v>155</v>
      </c>
      <c r="AY157" s="720" t="s">
        <v>156</v>
      </c>
      <c r="AZ157" s="720" t="s">
        <v>157</v>
      </c>
      <c r="BA157" s="720" t="s">
        <v>158</v>
      </c>
      <c r="BB157" s="720" t="s">
        <v>159</v>
      </c>
      <c r="BC157" s="720" t="s">
        <v>160</v>
      </c>
      <c r="BD157" s="720" t="s">
        <v>161</v>
      </c>
      <c r="BE157" s="720" t="s">
        <v>162</v>
      </c>
      <c r="BF157" s="720" t="s">
        <v>163</v>
      </c>
      <c r="BG157" s="720" t="s">
        <v>164</v>
      </c>
      <c r="BH157" s="720" t="s">
        <v>165</v>
      </c>
      <c r="BI157" s="720" t="s">
        <v>166</v>
      </c>
      <c r="BJ157" s="720" t="s">
        <v>167</v>
      </c>
      <c r="BK157" s="720" t="s">
        <v>168</v>
      </c>
      <c r="BL157" s="720" t="s">
        <v>169</v>
      </c>
      <c r="BM157" s="720" t="s">
        <v>170</v>
      </c>
      <c r="BN157" s="720" t="s">
        <v>171</v>
      </c>
      <c r="BO157" s="720" t="s">
        <v>172</v>
      </c>
      <c r="BP157" s="616"/>
      <c r="BQ157" s="616"/>
      <c r="BR157" s="616"/>
      <c r="BS157" s="616"/>
      <c r="BT157" s="616"/>
      <c r="BU157" s="616"/>
      <c r="BV157" s="616"/>
      <c r="BW157" s="616"/>
      <c r="BX157" s="616"/>
      <c r="BY157" s="616"/>
      <c r="BZ157" s="616"/>
      <c r="CA157" s="616"/>
      <c r="CB157" s="616"/>
      <c r="CC157" s="616"/>
      <c r="CD157" s="616"/>
      <c r="CE157" s="616"/>
      <c r="CF157" s="616"/>
      <c r="CG157" s="616"/>
      <c r="CH157" s="616"/>
      <c r="CI157" s="616"/>
      <c r="CJ157" s="616"/>
      <c r="CK157" s="616"/>
      <c r="CL157" s="616"/>
      <c r="CM157" s="616"/>
      <c r="CN157" s="616"/>
      <c r="CO157" s="616"/>
      <c r="CP157" s="616"/>
      <c r="CQ157" s="616"/>
    </row>
    <row r="158" spans="1:97" s="398" customFormat="1" ht="26.25" customHeight="1" x14ac:dyDescent="0.25">
      <c r="D158" s="1388"/>
      <c r="E158" s="1390"/>
      <c r="F158" s="1390">
        <f>IF(E28="MM/DD/YYYY"," ",E28)</f>
        <v>45916</v>
      </c>
      <c r="G158" s="1390"/>
      <c r="H158" s="1390"/>
      <c r="I158" s="1390">
        <f>IFERROR(F158+7-WEEKDAY(F158,3),"")</f>
        <v>45922</v>
      </c>
      <c r="J158" s="1390"/>
      <c r="K158" s="1390">
        <f>IFERROR(I158+7," ")</f>
        <v>45929</v>
      </c>
      <c r="L158" s="1390">
        <f>IFERROR(K158+7," ")</f>
        <v>45936</v>
      </c>
      <c r="M158" s="1390">
        <f>IFERROR(L158+7," ")</f>
        <v>45943</v>
      </c>
      <c r="N158" s="1390">
        <f>IFERROR(M158+7," ")</f>
        <v>45950</v>
      </c>
      <c r="O158" s="1390">
        <f>IFERROR(N158+7," ")</f>
        <v>45957</v>
      </c>
      <c r="P158" s="1390">
        <f t="shared" ref="P158" si="9">IFERROR(O158+7," ")</f>
        <v>45964</v>
      </c>
      <c r="Q158" s="1390">
        <f t="shared" ref="Q158" si="10">IFERROR(P158+7," ")</f>
        <v>45971</v>
      </c>
      <c r="R158" s="1390">
        <f t="shared" ref="R158" si="11">IFERROR(Q158+7," ")</f>
        <v>45978</v>
      </c>
      <c r="S158" s="1390">
        <f t="shared" ref="S158" si="12">IFERROR(R158+7," ")</f>
        <v>45985</v>
      </c>
      <c r="T158" s="1390">
        <f t="shared" ref="T158" si="13">IFERROR(S158+7," ")</f>
        <v>45992</v>
      </c>
      <c r="U158" s="1390">
        <f t="shared" ref="U158" si="14">IFERROR(T158+7," ")</f>
        <v>45999</v>
      </c>
      <c r="V158" s="1390"/>
      <c r="W158" s="1390"/>
      <c r="X158" s="1390"/>
      <c r="Y158" s="1390">
        <f>IFERROR(U158+7," ")</f>
        <v>46006</v>
      </c>
      <c r="Z158" s="1390">
        <f t="shared" ref="Z158" si="15">IFERROR(Y158+7," ")</f>
        <v>46013</v>
      </c>
      <c r="AA158" s="1390">
        <f t="shared" ref="AA158" si="16">IFERROR(Z158+7," ")</f>
        <v>46020</v>
      </c>
      <c r="AB158" s="1390">
        <f t="shared" ref="AB158" si="17">IFERROR(AA158+7," ")</f>
        <v>46027</v>
      </c>
      <c r="AC158" s="1390"/>
      <c r="AD158" s="1524"/>
      <c r="AE158" s="1524"/>
      <c r="AF158" s="1524"/>
      <c r="AG158" s="1390">
        <f>IFERROR(AB158+7," ")</f>
        <v>46034</v>
      </c>
      <c r="AH158" s="1390">
        <f>IFERROR(AG158+7," ")</f>
        <v>46041</v>
      </c>
      <c r="AI158" s="1390">
        <f t="shared" ref="AI158:BJ158" si="18">IFERROR(AH158+7," ")</f>
        <v>46048</v>
      </c>
      <c r="AJ158" s="1390">
        <f>IFERROR(AI158+7," ")</f>
        <v>46055</v>
      </c>
      <c r="AK158" s="1390">
        <f t="shared" si="18"/>
        <v>46062</v>
      </c>
      <c r="AL158" s="1390">
        <f t="shared" si="18"/>
        <v>46069</v>
      </c>
      <c r="AM158" s="1390">
        <f t="shared" si="18"/>
        <v>46076</v>
      </c>
      <c r="AN158" s="1390">
        <f t="shared" si="18"/>
        <v>46083</v>
      </c>
      <c r="AO158" s="1390">
        <f t="shared" si="18"/>
        <v>46090</v>
      </c>
      <c r="AP158" s="1390">
        <f t="shared" si="18"/>
        <v>46097</v>
      </c>
      <c r="AQ158" s="1390">
        <f t="shared" si="18"/>
        <v>46104</v>
      </c>
      <c r="AR158" s="1390">
        <f t="shared" si="18"/>
        <v>46111</v>
      </c>
      <c r="AS158" s="1390">
        <f t="shared" si="18"/>
        <v>46118</v>
      </c>
      <c r="AT158" s="1390">
        <f t="shared" si="18"/>
        <v>46125</v>
      </c>
      <c r="AU158" s="1390">
        <f t="shared" si="18"/>
        <v>46132</v>
      </c>
      <c r="AV158" s="1390">
        <f t="shared" si="18"/>
        <v>46139</v>
      </c>
      <c r="AW158" s="1390">
        <f t="shared" si="18"/>
        <v>46146</v>
      </c>
      <c r="AX158" s="1390">
        <f t="shared" si="18"/>
        <v>46153</v>
      </c>
      <c r="AY158" s="1390">
        <f t="shared" si="18"/>
        <v>46160</v>
      </c>
      <c r="AZ158" s="1390">
        <f t="shared" si="18"/>
        <v>46167</v>
      </c>
      <c r="BA158" s="1390">
        <f t="shared" si="18"/>
        <v>46174</v>
      </c>
      <c r="BB158" s="1390">
        <f t="shared" si="18"/>
        <v>46181</v>
      </c>
      <c r="BC158" s="1390">
        <f t="shared" si="18"/>
        <v>46188</v>
      </c>
      <c r="BD158" s="1390">
        <f t="shared" si="18"/>
        <v>46195</v>
      </c>
      <c r="BE158" s="1390">
        <f t="shared" si="18"/>
        <v>46202</v>
      </c>
      <c r="BF158" s="1390">
        <f t="shared" si="18"/>
        <v>46209</v>
      </c>
      <c r="BG158" s="1390">
        <f t="shared" si="18"/>
        <v>46216</v>
      </c>
      <c r="BH158" s="1390">
        <f t="shared" si="18"/>
        <v>46223</v>
      </c>
      <c r="BI158" s="1390">
        <f t="shared" si="18"/>
        <v>46230</v>
      </c>
      <c r="BJ158" s="1390">
        <f t="shared" si="18"/>
        <v>46237</v>
      </c>
      <c r="BK158" s="1390">
        <f t="shared" ref="BK158" si="19">IFERROR(BJ158+7," ")</f>
        <v>46244</v>
      </c>
      <c r="BL158" s="1390">
        <f t="shared" ref="BL158" si="20">IFERROR(BK158+7," ")</f>
        <v>46251</v>
      </c>
      <c r="BM158" s="1390">
        <f t="shared" ref="BM158" si="21">IFERROR(BL158+7," ")</f>
        <v>46258</v>
      </c>
      <c r="BN158" s="1390">
        <f>IFERROR(BM158+7," ")</f>
        <v>46265</v>
      </c>
      <c r="BO158" s="1390">
        <f>IFERROR(BN158+7," ")</f>
        <v>46272</v>
      </c>
      <c r="CE158" s="425"/>
      <c r="CF158" s="543"/>
      <c r="CG158" s="543"/>
      <c r="CH158" s="543"/>
      <c r="CI158" s="543"/>
      <c r="CJ158" s="543"/>
    </row>
    <row r="159" spans="1:97" hidden="1" x14ac:dyDescent="0.25">
      <c r="D159" s="1227" t="s">
        <v>2321</v>
      </c>
      <c r="E159" s="524"/>
      <c r="F159" s="524" t="str">
        <f t="shared" ref="F159" si="22">IF(F160&gt;1,CONCATENATE("*",F160," Holidays*",""),IF(F160=1,"*1 Holiday*",""))</f>
        <v/>
      </c>
      <c r="G159" s="524"/>
      <c r="H159" s="524"/>
      <c r="I159" s="524" t="str">
        <f t="shared" ref="I159" si="23">IF(I160&gt;1,CONCATENATE("*",I160," Holidays*",""),IF(I160=1,"*1 Holiday*",""))</f>
        <v/>
      </c>
      <c r="J159" s="524"/>
      <c r="K159" s="524" t="str">
        <f t="shared" ref="K159:U159" si="24">IF(K160&gt;1,CONCATENATE("*",K160," Holidays*",""),IF(K160=1,"*1 Holiday*",""))</f>
        <v/>
      </c>
      <c r="L159" s="524" t="str">
        <f t="shared" si="24"/>
        <v/>
      </c>
      <c r="M159" s="524" t="str">
        <f t="shared" si="24"/>
        <v/>
      </c>
      <c r="N159" s="524" t="str">
        <f t="shared" si="24"/>
        <v/>
      </c>
      <c r="O159" s="524" t="str">
        <f t="shared" si="24"/>
        <v/>
      </c>
      <c r="P159" s="524" t="str">
        <f t="shared" si="24"/>
        <v/>
      </c>
      <c r="Q159" s="524" t="str">
        <f t="shared" si="24"/>
        <v/>
      </c>
      <c r="R159" s="524" t="str">
        <f t="shared" si="24"/>
        <v/>
      </c>
      <c r="S159" s="524" t="str">
        <f t="shared" si="24"/>
        <v/>
      </c>
      <c r="T159" s="524" t="str">
        <f t="shared" si="24"/>
        <v/>
      </c>
      <c r="U159" s="524" t="str">
        <f t="shared" si="24"/>
        <v/>
      </c>
      <c r="V159" s="524"/>
      <c r="W159" s="524"/>
      <c r="X159" s="524"/>
      <c r="Y159" s="524" t="str">
        <f t="shared" ref="Y159:AB159" si="25">IF(Y160&gt;1,CONCATENATE("*",Y160," Holidays*",""),IF(Y160=1,"*1 Holiday*",""))</f>
        <v/>
      </c>
      <c r="Z159" s="524" t="str">
        <f t="shared" si="25"/>
        <v/>
      </c>
      <c r="AA159" s="524" t="str">
        <f t="shared" si="25"/>
        <v/>
      </c>
      <c r="AB159" s="524" t="str">
        <f t="shared" si="25"/>
        <v/>
      </c>
      <c r="AC159" s="524"/>
      <c r="AH159" s="524" t="str">
        <f t="shared" ref="AH159:BM159" si="26">IF(AH160&gt;1,CONCATENATE("*",AH160," Holidays*",""),IF(AH160=1,"*1 Holiday*",""))</f>
        <v/>
      </c>
      <c r="AI159" s="524" t="str">
        <f t="shared" si="26"/>
        <v/>
      </c>
      <c r="AJ159" s="524" t="str">
        <f t="shared" si="26"/>
        <v/>
      </c>
      <c r="AK159" s="524" t="str">
        <f t="shared" si="26"/>
        <v/>
      </c>
      <c r="AL159" s="524" t="str">
        <f t="shared" si="26"/>
        <v/>
      </c>
      <c r="AM159" s="524" t="str">
        <f t="shared" si="26"/>
        <v/>
      </c>
      <c r="AN159" s="524" t="str">
        <f t="shared" si="26"/>
        <v/>
      </c>
      <c r="AO159" s="524" t="str">
        <f t="shared" si="26"/>
        <v/>
      </c>
      <c r="AP159" s="524" t="str">
        <f t="shared" si="26"/>
        <v/>
      </c>
      <c r="AQ159" s="524" t="str">
        <f t="shared" si="26"/>
        <v/>
      </c>
      <c r="AR159" s="524" t="str">
        <f t="shared" si="26"/>
        <v/>
      </c>
      <c r="AS159" s="524" t="str">
        <f t="shared" si="26"/>
        <v/>
      </c>
      <c r="AT159" s="524" t="str">
        <f t="shared" si="26"/>
        <v/>
      </c>
      <c r="AU159" s="524" t="str">
        <f t="shared" si="26"/>
        <v/>
      </c>
      <c r="AV159" s="524" t="str">
        <f t="shared" si="26"/>
        <v/>
      </c>
      <c r="AW159" s="524" t="str">
        <f t="shared" si="26"/>
        <v/>
      </c>
      <c r="AX159" s="524" t="str">
        <f t="shared" si="26"/>
        <v/>
      </c>
      <c r="AY159" s="524" t="str">
        <f t="shared" si="26"/>
        <v/>
      </c>
      <c r="AZ159" s="524" t="str">
        <f t="shared" si="26"/>
        <v/>
      </c>
      <c r="BA159" s="524" t="str">
        <f t="shared" si="26"/>
        <v/>
      </c>
      <c r="BB159" s="524" t="str">
        <f t="shared" si="26"/>
        <v/>
      </c>
      <c r="BC159" s="524" t="str">
        <f t="shared" si="26"/>
        <v/>
      </c>
      <c r="BD159" s="524" t="str">
        <f t="shared" si="26"/>
        <v/>
      </c>
      <c r="BE159" s="524" t="str">
        <f t="shared" si="26"/>
        <v/>
      </c>
      <c r="BF159" s="524" t="str">
        <f t="shared" si="26"/>
        <v/>
      </c>
      <c r="BG159" s="524" t="str">
        <f t="shared" si="26"/>
        <v/>
      </c>
      <c r="BH159" s="524" t="str">
        <f t="shared" si="26"/>
        <v/>
      </c>
      <c r="BI159" s="524" t="str">
        <f t="shared" si="26"/>
        <v/>
      </c>
      <c r="BJ159" s="524" t="str">
        <f t="shared" si="26"/>
        <v/>
      </c>
      <c r="BK159" s="524" t="str">
        <f t="shared" si="26"/>
        <v/>
      </c>
      <c r="BL159" s="524" t="str">
        <f t="shared" si="26"/>
        <v/>
      </c>
      <c r="BM159" s="524" t="str">
        <f t="shared" si="26"/>
        <v/>
      </c>
      <c r="CE159" s="425"/>
      <c r="CF159" s="487"/>
      <c r="CG159" s="487"/>
      <c r="CH159" s="487"/>
      <c r="CI159" s="487"/>
      <c r="CJ159" s="487"/>
    </row>
    <row r="160" spans="1:97" ht="16.95" customHeight="1" x14ac:dyDescent="0.25">
      <c r="C160" s="1669" t="s">
        <v>3679</v>
      </c>
      <c r="D160" s="1669"/>
      <c r="E160" s="1391"/>
      <c r="F160" s="1391">
        <f t="shared" ref="F160:I160" si="27">SUMIF(F161:F165,"&lt;&gt;0")</f>
        <v>0</v>
      </c>
      <c r="G160" s="1391"/>
      <c r="H160" s="1391"/>
      <c r="I160" s="1391">
        <f t="shared" si="27"/>
        <v>0</v>
      </c>
      <c r="J160" s="1391"/>
      <c r="K160" s="1391">
        <f t="shared" ref="K160" si="28">SUMIF(K161:K165,"&lt;&gt;0")</f>
        <v>0</v>
      </c>
      <c r="L160" s="1391">
        <f t="shared" ref="L160" si="29">SUMIF(L161:L165,"&lt;&gt;0")</f>
        <v>0</v>
      </c>
      <c r="M160" s="1391">
        <f t="shared" ref="M160" si="30">SUMIF(M161:M165,"&lt;&gt;0")</f>
        <v>0</v>
      </c>
      <c r="N160" s="1391">
        <f t="shared" ref="N160" si="31">SUMIF(N161:N165,"&lt;&gt;0")</f>
        <v>0</v>
      </c>
      <c r="O160" s="1391">
        <f t="shared" ref="O160" si="32">SUMIF(O161:O165,"&lt;&gt;0")</f>
        <v>0</v>
      </c>
      <c r="P160" s="1391">
        <f t="shared" ref="P160" si="33">SUMIF(P161:P165,"&lt;&gt;0")</f>
        <v>0</v>
      </c>
      <c r="Q160" s="1391">
        <f t="shared" ref="Q160" si="34">SUMIF(Q161:Q165,"&lt;&gt;0")</f>
        <v>0</v>
      </c>
      <c r="R160" s="1391">
        <f t="shared" ref="R160" si="35">SUMIF(R161:R165,"&lt;&gt;0")</f>
        <v>0</v>
      </c>
      <c r="S160" s="1391">
        <f t="shared" ref="S160" si="36">SUMIF(S161:S165,"&lt;&gt;0")</f>
        <v>0</v>
      </c>
      <c r="T160" s="1391">
        <f t="shared" ref="T160" si="37">SUMIF(T161:T165,"&lt;&gt;0")</f>
        <v>0</v>
      </c>
      <c r="U160" s="1391">
        <f t="shared" ref="U160" si="38">SUMIF(U161:U165,"&lt;&gt;0")</f>
        <v>0</v>
      </c>
      <c r="V160" s="1391"/>
      <c r="W160" s="1391"/>
      <c r="X160" s="1391"/>
      <c r="Y160" s="1391">
        <f t="shared" ref="Y160" si="39">SUMIF(Y161:Y165,"&lt;&gt;0")</f>
        <v>0</v>
      </c>
      <c r="Z160" s="1391">
        <f t="shared" ref="Z160" si="40">SUMIF(Z161:Z165,"&lt;&gt;0")</f>
        <v>0</v>
      </c>
      <c r="AA160" s="1391">
        <f t="shared" ref="AA160" si="41">SUMIF(AA161:AA165,"&lt;&gt;0")</f>
        <v>0</v>
      </c>
      <c r="AB160" s="1391">
        <f t="shared" ref="AB160" si="42">SUMIF(AB161:AB165,"&lt;&gt;0")</f>
        <v>0</v>
      </c>
      <c r="AC160" s="1391"/>
      <c r="AD160" s="1391"/>
      <c r="AE160" s="1391"/>
      <c r="AF160" s="1391"/>
      <c r="AG160" s="1391">
        <f t="shared" ref="AG160" si="43">SUMIF(AG161:AG165,"&lt;&gt;0")</f>
        <v>0</v>
      </c>
      <c r="AH160" s="1391">
        <f t="shared" ref="AH160" si="44">SUMIF(AH161:AH165,"&lt;&gt;0")</f>
        <v>0</v>
      </c>
      <c r="AI160" s="1391">
        <f t="shared" ref="AI160" si="45">SUMIF(AI161:AI165,"&lt;&gt;0")</f>
        <v>0</v>
      </c>
      <c r="AJ160" s="1391">
        <f t="shared" ref="AJ160" si="46">SUMIF(AJ161:AJ165,"&lt;&gt;0")</f>
        <v>0</v>
      </c>
      <c r="AK160" s="1391">
        <f t="shared" ref="AK160" si="47">SUMIF(AK161:AK165,"&lt;&gt;0")</f>
        <v>0</v>
      </c>
      <c r="AL160" s="1391">
        <f t="shared" ref="AL160:AM160" si="48">SUMIF(AL161:AL165,"&lt;&gt;0")</f>
        <v>0</v>
      </c>
      <c r="AM160" s="1391">
        <f t="shared" si="48"/>
        <v>0</v>
      </c>
      <c r="AN160" s="1391">
        <f t="shared" ref="AN160" si="49">SUMIF(AN161:AN165,"&lt;&gt;0")</f>
        <v>0</v>
      </c>
      <c r="AO160" s="1391">
        <f t="shared" ref="AO160" si="50">SUMIF(AO161:AO165,"&lt;&gt;0")</f>
        <v>0</v>
      </c>
      <c r="AP160" s="1391">
        <f t="shared" ref="AP160" si="51">SUMIF(AP161:AP165,"&lt;&gt;0")</f>
        <v>0</v>
      </c>
      <c r="AQ160" s="1391">
        <f t="shared" ref="AQ160" si="52">SUMIF(AQ161:AQ165,"&lt;&gt;0")</f>
        <v>0</v>
      </c>
      <c r="AR160" s="1391">
        <f t="shared" ref="AR160" si="53">SUMIF(AR161:AR165,"&lt;&gt;0")</f>
        <v>0</v>
      </c>
      <c r="AS160" s="1391">
        <f t="shared" ref="AS160" si="54">SUMIF(AS161:AS165,"&lt;&gt;0")</f>
        <v>0</v>
      </c>
      <c r="AT160" s="1391">
        <f t="shared" ref="AT160:AU160" si="55">SUMIF(AT161:AT165,"&lt;&gt;0")</f>
        <v>0</v>
      </c>
      <c r="AU160" s="1391">
        <f t="shared" si="55"/>
        <v>0</v>
      </c>
      <c r="AV160" s="1391">
        <f t="shared" ref="AV160" si="56">SUMIF(AV161:AV165,"&lt;&gt;0")</f>
        <v>0</v>
      </c>
      <c r="AW160" s="1391">
        <f t="shared" ref="AW160" si="57">SUMIF(AW161:AW165,"&lt;&gt;0")</f>
        <v>0</v>
      </c>
      <c r="AX160" s="1391">
        <f t="shared" ref="AX160" si="58">SUMIF(AX161:AX165,"&lt;&gt;0")</f>
        <v>0</v>
      </c>
      <c r="AY160" s="1391">
        <f t="shared" ref="AY160" si="59">SUMIF(AY161:AY165,"&lt;&gt;0")</f>
        <v>0</v>
      </c>
      <c r="AZ160" s="1391">
        <f t="shared" ref="AZ160" si="60">SUMIF(AZ161:AZ165,"&lt;&gt;0")</f>
        <v>0</v>
      </c>
      <c r="BA160" s="1391">
        <f t="shared" ref="BA160" si="61">SUMIF(BA161:BA165,"&lt;&gt;0")</f>
        <v>0</v>
      </c>
      <c r="BB160" s="1391">
        <f t="shared" ref="BB160:BC160" si="62">SUMIF(BB161:BB165,"&lt;&gt;0")</f>
        <v>0</v>
      </c>
      <c r="BC160" s="1391">
        <f t="shared" si="62"/>
        <v>0</v>
      </c>
      <c r="BD160" s="1391">
        <f t="shared" ref="BD160" si="63">SUMIF(BD161:BD165,"&lt;&gt;0")</f>
        <v>0</v>
      </c>
      <c r="BE160" s="1391">
        <f t="shared" ref="BE160" si="64">SUMIF(BE161:BE165,"&lt;&gt;0")</f>
        <v>0</v>
      </c>
      <c r="BF160" s="1391">
        <f t="shared" ref="BF160" si="65">SUMIF(BF161:BF165,"&lt;&gt;0")</f>
        <v>0</v>
      </c>
      <c r="BG160" s="1391">
        <f t="shared" ref="BG160" si="66">SUMIF(BG161:BG165,"&lt;&gt;0")</f>
        <v>0</v>
      </c>
      <c r="BH160" s="1391">
        <f t="shared" ref="BH160" si="67">SUMIF(BH161:BH165,"&lt;&gt;0")</f>
        <v>0</v>
      </c>
      <c r="BI160" s="1391">
        <f t="shared" ref="BI160" si="68">SUMIF(BI161:BI165,"&lt;&gt;0")</f>
        <v>0</v>
      </c>
      <c r="BJ160" s="1391">
        <f t="shared" ref="BJ160:BK160" si="69">SUMIF(BJ161:BJ165,"&lt;&gt;0")</f>
        <v>0</v>
      </c>
      <c r="BK160" s="1391">
        <f t="shared" si="69"/>
        <v>0</v>
      </c>
      <c r="BL160" s="1391">
        <f t="shared" ref="BL160" si="70">SUMIF(BL161:BL165,"&lt;&gt;0")</f>
        <v>0</v>
      </c>
      <c r="BM160" s="1392">
        <f t="shared" ref="BM160" si="71">SUMIF(BM161:BM165,"&lt;&gt;0")</f>
        <v>0</v>
      </c>
      <c r="BN160" s="1391">
        <f>SUMIF(BN161:BN165,"&lt;&gt;0")</f>
        <v>0</v>
      </c>
      <c r="BO160" s="1391">
        <f>SUMIF(BO161:BO165,"&lt;&gt;0")</f>
        <v>0</v>
      </c>
      <c r="BP160" s="527"/>
      <c r="BQ160" s="527"/>
      <c r="BR160" s="527"/>
      <c r="BS160" s="527"/>
      <c r="BT160" s="527"/>
      <c r="BU160" s="527"/>
      <c r="BV160" s="527"/>
      <c r="BW160" s="527"/>
      <c r="BX160" s="527"/>
      <c r="BY160" s="527"/>
      <c r="BZ160" s="527"/>
      <c r="CA160" s="528"/>
      <c r="CB160" s="528"/>
      <c r="CC160" s="528"/>
      <c r="CD160" s="529"/>
      <c r="CE160" s="529"/>
      <c r="CF160" s="529"/>
      <c r="CG160" s="530"/>
      <c r="CH160" s="531"/>
      <c r="CI160" s="532"/>
      <c r="CJ160" s="528"/>
      <c r="CK160" s="528"/>
      <c r="CL160" s="413"/>
      <c r="CM160" s="413"/>
      <c r="CN160" s="413"/>
      <c r="CO160" s="413"/>
      <c r="CP160" s="413"/>
      <c r="CQ160" s="413"/>
    </row>
    <row r="161" spans="3:95" ht="15" customHeight="1" x14ac:dyDescent="0.25">
      <c r="C161" s="1663" t="s">
        <v>176</v>
      </c>
      <c r="D161" s="1663"/>
      <c r="E161" s="1393"/>
      <c r="F161" s="1393" cm="1">
        <f t="array" ref="F161">IFERROR(IF(COUNTIFS($C$48:$C$147,$C161)&gt;0,SUMPRODUCT(('Rates &amp; Drop Downs INT'!$BS$7:$BS$79=F$166)*('Rates &amp; Drop Downs INT'!$BM$7:$BM$79=$C161)*('Rates &amp; Drop Downs INT'!$BR$7:$BR$79)),0),"")</f>
        <v>0</v>
      </c>
      <c r="G161" s="1393" cm="1">
        <f t="array" ref="G161">IFERROR(IF(COUNTIFS($C$48:$C$147,$C161)&gt;0,SUMPRODUCT(('Rates &amp; Drop Downs INT'!$BS$7:$BS$79=G$166)*('Rates &amp; Drop Downs INT'!$BM$7:$BM$79=$C161)*('Rates &amp; Drop Downs INT'!$BR$7:$BR$79)),0),"")</f>
        <v>0</v>
      </c>
      <c r="H161" s="1393" cm="1">
        <f t="array" ref="H161">IFERROR(IF(COUNTIFS($C$48:$C$147,$C161)&gt;0,SUMPRODUCT(('Rates &amp; Drop Downs INT'!$BS$7:$BS$79=H$166)*('Rates &amp; Drop Downs INT'!$BM$7:$BM$79=$C161)*('Rates &amp; Drop Downs INT'!$BR$7:$BR$79)),0),"")</f>
        <v>0</v>
      </c>
      <c r="I161" s="1393" cm="1">
        <f t="array" ref="I161">IFERROR(IF(COUNTIFS($C$48:$C$147,$C161)&gt;0,SUMPRODUCT(('Rates &amp; Drop Downs INT'!$BS$7:$BS$79=I$166)*('Rates &amp; Drop Downs INT'!$BM$7:$BM$79=$C161)*('Rates &amp; Drop Downs INT'!$BR$7:$BR$79)),0),"")</f>
        <v>0</v>
      </c>
      <c r="J161" s="1393" cm="1">
        <f t="array" ref="J161">IFERROR(IF(COUNTIFS($C$48:$C$147,$C161)&gt;0,SUMPRODUCT(('Rates &amp; Drop Downs INT'!$BS$7:$BS$79=J$166)*('Rates &amp; Drop Downs INT'!$BM$7:$BM$79=$C161)*('Rates &amp; Drop Downs INT'!$BR$7:$BR$79)),0),"")</f>
        <v>0</v>
      </c>
      <c r="K161" s="1393" cm="1">
        <f t="array" ref="K161">IFERROR(IF(COUNTIFS($C$48:$C$147,$C161)&gt;0,SUMPRODUCT(('Rates &amp; Drop Downs INT'!$BS$7:$BS$79=K$166)*('Rates &amp; Drop Downs INT'!$BM$7:$BM$79=$C161)*('Rates &amp; Drop Downs INT'!$BR$7:$BR$79)),0),"")</f>
        <v>0</v>
      </c>
      <c r="L161" s="1393" cm="1">
        <f t="array" ref="L161">IFERROR(IF(COUNTIFS($C$48:$C$147,$C161)&gt;0,SUMPRODUCT(('Rates &amp; Drop Downs INT'!$BS$7:$BS$79=L$166)*('Rates &amp; Drop Downs INT'!$BM$7:$BM$79=$C161)*('Rates &amp; Drop Downs INT'!$BR$7:$BR$79)),0),"")</f>
        <v>0</v>
      </c>
      <c r="M161" s="1393" cm="1">
        <f t="array" ref="M161">IFERROR(IF(COUNTIFS($C$48:$C$147,$C161)&gt;0,SUMPRODUCT(('Rates &amp; Drop Downs INT'!$BS$7:$BS$79=M$166)*('Rates &amp; Drop Downs INT'!$BM$7:$BM$79=$C161)*('Rates &amp; Drop Downs INT'!$BR$7:$BR$79)),0),"")</f>
        <v>0</v>
      </c>
      <c r="N161" s="1393" cm="1">
        <f t="array" ref="N161">IFERROR(IF(COUNTIFS($C$48:$C$147,$C161)&gt;0,SUMPRODUCT(('Rates &amp; Drop Downs INT'!$BS$7:$BS$79=N$166)*('Rates &amp; Drop Downs INT'!$BM$7:$BM$79=$C161)*('Rates &amp; Drop Downs INT'!$BR$7:$BR$79)),0),"")</f>
        <v>0</v>
      </c>
      <c r="O161" s="1393" cm="1">
        <f t="array" ref="O161">IFERROR(IF(COUNTIFS($C$48:$C$147,$C161)&gt;0,SUMPRODUCT(('Rates &amp; Drop Downs INT'!$BS$7:$BS$79=O$166)*('Rates &amp; Drop Downs INT'!$BM$7:$BM$79=$C161)*('Rates &amp; Drop Downs INT'!$BR$7:$BR$79)),0),"")</f>
        <v>0</v>
      </c>
      <c r="P161" s="1393" cm="1">
        <f t="array" ref="P161">IFERROR(IF(COUNTIFS($C$48:$C$147,$C161)&gt;0,SUMPRODUCT(('Rates &amp; Drop Downs INT'!$BS$7:$BS$79=P$166)*('Rates &amp; Drop Downs INT'!$BM$7:$BM$79=$C161)*('Rates &amp; Drop Downs INT'!$BR$7:$BR$79)),0),"")</f>
        <v>0</v>
      </c>
      <c r="Q161" s="1393" cm="1">
        <f t="array" ref="Q161">IFERROR(IF(COUNTIFS($C$48:$C$147,$C161)&gt;0,SUMPRODUCT(('Rates &amp; Drop Downs INT'!$BS$7:$BS$79=Q$166)*('Rates &amp; Drop Downs INT'!$BM$7:$BM$79=$C161)*('Rates &amp; Drop Downs INT'!$BR$7:$BR$79)),0),"")</f>
        <v>0</v>
      </c>
      <c r="R161" s="1393" cm="1">
        <f t="array" ref="R161">IFERROR(IF(COUNTIFS($C$48:$C$147,$C161)&gt;0,SUMPRODUCT(('Rates &amp; Drop Downs INT'!$BS$7:$BS$79=R$166)*('Rates &amp; Drop Downs INT'!$BM$7:$BM$79=$C161)*('Rates &amp; Drop Downs INT'!$BR$7:$BR$79)),0),"")</f>
        <v>0</v>
      </c>
      <c r="S161" s="1393" cm="1">
        <f t="array" ref="S161">IFERROR(IF(COUNTIFS($C$48:$C$147,$C161)&gt;0,SUMPRODUCT(('Rates &amp; Drop Downs INT'!$BS$7:$BS$79=S$166)*('Rates &amp; Drop Downs INT'!$BM$7:$BM$79=$C161)*('Rates &amp; Drop Downs INT'!$BR$7:$BR$79)),0),"")</f>
        <v>0</v>
      </c>
      <c r="T161" s="1393" cm="1">
        <f t="array" ref="T161">IFERROR(IF(COUNTIFS($C$48:$C$147,$C161)&gt;0,SUMPRODUCT(('Rates &amp; Drop Downs INT'!$BS$7:$BS$79=T$166)*('Rates &amp; Drop Downs INT'!$BM$7:$BM$79=$C161)*('Rates &amp; Drop Downs INT'!$BR$7:$BR$79)),0),"")</f>
        <v>0</v>
      </c>
      <c r="U161" s="1393" cm="1">
        <f t="array" ref="U161">IFERROR(IF(COUNTIFS($C$48:$C$147,$C161)&gt;0,SUMPRODUCT(('Rates &amp; Drop Downs INT'!$BS$7:$BS$79=U$166)*('Rates &amp; Drop Downs INT'!$BM$7:$BM$79=$C161)*('Rates &amp; Drop Downs INT'!$BR$7:$BR$79)),0),"")</f>
        <v>0</v>
      </c>
      <c r="V161" s="1393" cm="1">
        <f t="array" ref="V161">IFERROR(IF(COUNTIFS($C$48:$C$147,$C161)&gt;0,SUMPRODUCT(('Rates &amp; Drop Downs INT'!$BS$7:$BS$79=V$166)*('Rates &amp; Drop Downs INT'!$BM$7:$BM$79=$C161)*('Rates &amp; Drop Downs INT'!$BR$7:$BR$79)),0),"")</f>
        <v>0</v>
      </c>
      <c r="W161" s="1393" cm="1">
        <f t="array" ref="W161">IFERROR(IF(COUNTIFS($C$48:$C$147,$C161)&gt;0,SUMPRODUCT(('Rates &amp; Drop Downs INT'!$BS$7:$BS$79=W$166)*('Rates &amp; Drop Downs INT'!$BM$7:$BM$79=$C161)*('Rates &amp; Drop Downs INT'!$BR$7:$BR$79)),0),"")</f>
        <v>0</v>
      </c>
      <c r="X161" s="1393"/>
      <c r="Y161" s="1393" cm="1">
        <f t="array" ref="Y161">IFERROR(IF(COUNTIFS($C$48:$C$147,$C161)&gt;0,SUMPRODUCT(('Rates &amp; Drop Downs INT'!$BS$7:$BS$79=Y$166)*('Rates &amp; Drop Downs INT'!$BM$7:$BM$79=$C161)*('Rates &amp; Drop Downs INT'!$BR$7:$BR$79)),0),"")</f>
        <v>0</v>
      </c>
      <c r="Z161" s="1393" cm="1">
        <f t="array" ref="Z161">IFERROR(IF(COUNTIFS($C$48:$C$147,$C161)&gt;0,SUMPRODUCT(('Rates &amp; Drop Downs INT'!$BS$7:$BS$79=Z$166)*('Rates &amp; Drop Downs INT'!$BM$7:$BM$79=$C161)*('Rates &amp; Drop Downs INT'!$BR$7:$BR$79)),0),"")</f>
        <v>0</v>
      </c>
      <c r="AA161" s="1393" cm="1">
        <f t="array" ref="AA161">IFERROR(IF(COUNTIFS($C$48:$C$147,$C161)&gt;0,SUMPRODUCT(('Rates &amp; Drop Downs INT'!$BS$7:$BS$79=AA$166)*('Rates &amp; Drop Downs INT'!$BM$7:$BM$79=$C161)*('Rates &amp; Drop Downs INT'!$BR$7:$BR$79)),0),"")</f>
        <v>0</v>
      </c>
      <c r="AB161" s="1393" cm="1">
        <f t="array" ref="AB161">IFERROR(IF(COUNTIFS($C$48:$C$147,$C161)&gt;0,SUMPRODUCT(('Rates &amp; Drop Downs INT'!$BS$7:$BS$79=AB$166)*('Rates &amp; Drop Downs INT'!$BM$7:$BM$79=$C161)*('Rates &amp; Drop Downs INT'!$BR$7:$BR$79)),0),"")</f>
        <v>0</v>
      </c>
      <c r="AC161" s="1393"/>
      <c r="AD161" s="1393"/>
      <c r="AE161" s="1393"/>
      <c r="AF161" s="1393"/>
      <c r="AG161" s="1393" cm="1">
        <f t="array" ref="AG161">IFERROR(IF(COUNTIFS($C$48:$C$147,$C161)&gt;0,SUMPRODUCT(('Rates &amp; Drop Downs INT'!$BS$7:$BS$79=AG$166)*('Rates &amp; Drop Downs INT'!$BM$7:$BM$79=$C161)*('Rates &amp; Drop Downs INT'!$BR$7:$BR$79)),0),"")</f>
        <v>0</v>
      </c>
      <c r="AH161" s="1393" cm="1">
        <f t="array" ref="AH161">IFERROR(IF(COUNTIFS($C$48:$C$147,$C161)&gt;0,SUMPRODUCT(('Rates &amp; Drop Downs INT'!$BS$7:$BS$79=AH$166)*('Rates &amp; Drop Downs INT'!$BM$7:$BM$79=$C161)*('Rates &amp; Drop Downs INT'!$BR$7:$BR$79)),0),"")</f>
        <v>0</v>
      </c>
      <c r="AI161" s="1393" cm="1">
        <f t="array" ref="AI161">IFERROR(IF(COUNTIFS($C$48:$C$147,$C161)&gt;0,SUMPRODUCT(('Rates &amp; Drop Downs INT'!$BS$7:$BS$79=AI$166)*('Rates &amp; Drop Downs INT'!$BM$7:$BM$79=$C161)*('Rates &amp; Drop Downs INT'!$BR$7:$BR$79)),0),"")</f>
        <v>0</v>
      </c>
      <c r="AJ161" s="1393" cm="1">
        <f t="array" ref="AJ161">IFERROR(IF(COUNTIFS($C$48:$C$147,$C161)&gt;0,SUMPRODUCT(('Rates &amp; Drop Downs INT'!$BS$7:$BS$79=AJ$166)*('Rates &amp; Drop Downs INT'!$BM$7:$BM$79=$C161)*('Rates &amp; Drop Downs INT'!$BR$7:$BR$79)),0),"")</f>
        <v>0</v>
      </c>
      <c r="AK161" s="1393" cm="1">
        <f t="array" ref="AK161">IFERROR(IF(COUNTIFS($C$48:$C$147,$C161)&gt;0,SUMPRODUCT(('Rates &amp; Drop Downs INT'!$BS$7:$BS$79=AK$166)*('Rates &amp; Drop Downs INT'!$BM$7:$BM$79=$C161)*('Rates &amp; Drop Downs INT'!$BR$7:$BR$79)),0),"")</f>
        <v>0</v>
      </c>
      <c r="AL161" s="1393" cm="1">
        <f t="array" ref="AL161">IFERROR(IF(COUNTIFS($C$48:$C$147,$C161)&gt;0,SUMPRODUCT(('Rates &amp; Drop Downs INT'!$BS$7:$BS$79=AL$166)*('Rates &amp; Drop Downs INT'!$BM$7:$BM$79=$C161)*('Rates &amp; Drop Downs INT'!$BR$7:$BR$79)),0),"")</f>
        <v>0</v>
      </c>
      <c r="AM161" s="1393" cm="1">
        <f t="array" ref="AM161">IFERROR(IF(COUNTIFS($C$48:$C$147,$C161)&gt;0,SUMPRODUCT(('Rates &amp; Drop Downs INT'!$BS$7:$BS$79=AM$166)*('Rates &amp; Drop Downs INT'!$BM$7:$BM$79=$C161)*('Rates &amp; Drop Downs INT'!$BR$7:$BR$79)),0),"")</f>
        <v>0</v>
      </c>
      <c r="AN161" s="1393" cm="1">
        <f t="array" ref="AN161">IFERROR(IF(COUNTIFS($C$48:$C$147,$C161)&gt;0,SUMPRODUCT(('Rates &amp; Drop Downs INT'!$BS$7:$BS$79=AN$166)*('Rates &amp; Drop Downs INT'!$BM$7:$BM$79=$C161)*('Rates &amp; Drop Downs INT'!$BR$7:$BR$79)),0),"")</f>
        <v>0</v>
      </c>
      <c r="AO161" s="1393" cm="1">
        <f t="array" ref="AO161">IFERROR(IF(COUNTIFS($C$48:$C$147,$C161)&gt;0,SUMPRODUCT(('Rates &amp; Drop Downs INT'!$BS$7:$BS$79=AO$166)*('Rates &amp; Drop Downs INT'!$BM$7:$BM$79=$C161)*('Rates &amp; Drop Downs INT'!$BR$7:$BR$79)),0),"")</f>
        <v>0</v>
      </c>
      <c r="AP161" s="1393" cm="1">
        <f t="array" ref="AP161">IFERROR(IF(COUNTIFS($C$48:$C$147,$C161)&gt;0,SUMPRODUCT(('Rates &amp; Drop Downs INT'!$BS$7:$BS$79=AP$166)*('Rates &amp; Drop Downs INT'!$BM$7:$BM$79=$C161)*('Rates &amp; Drop Downs INT'!$BR$7:$BR$79)),0),"")</f>
        <v>0</v>
      </c>
      <c r="AQ161" s="1393" cm="1">
        <f t="array" ref="AQ161">IFERROR(IF(COUNTIFS($C$48:$C$147,$C161)&gt;0,SUMPRODUCT(('Rates &amp; Drop Downs INT'!$BS$7:$BS$79=AQ$166)*('Rates &amp; Drop Downs INT'!$BM$7:$BM$79=$C161)*('Rates &amp; Drop Downs INT'!$BR$7:$BR$79)),0),"")</f>
        <v>0</v>
      </c>
      <c r="AR161" s="1393" cm="1">
        <f t="array" ref="AR161">IFERROR(IF(COUNTIFS($C$48:$C$147,$C161)&gt;0,SUMPRODUCT(('Rates &amp; Drop Downs INT'!$BS$7:$BS$79=AR$166)*('Rates &amp; Drop Downs INT'!$BM$7:$BM$79=$C161)*('Rates &amp; Drop Downs INT'!$BR$7:$BR$79)),0),"")</f>
        <v>0</v>
      </c>
      <c r="AS161" s="1393" cm="1">
        <f t="array" ref="AS161">IFERROR(IF(COUNTIFS($C$48:$C$147,$C161)&gt;0,SUMPRODUCT(('Rates &amp; Drop Downs INT'!$BS$7:$BS$79=AS$166)*('Rates &amp; Drop Downs INT'!$BM$7:$BM$79=$C161)*('Rates &amp; Drop Downs INT'!$BR$7:$BR$79)),0),"")</f>
        <v>0</v>
      </c>
      <c r="AT161" s="1393" cm="1">
        <f t="array" ref="AT161">IFERROR(IF(COUNTIFS($C$48:$C$147,$C161)&gt;0,SUMPRODUCT(('Rates &amp; Drop Downs INT'!$BS$7:$BS$79=AT$166)*('Rates &amp; Drop Downs INT'!$BM$7:$BM$79=$C161)*('Rates &amp; Drop Downs INT'!$BR$7:$BR$79)),0),"")</f>
        <v>0</v>
      </c>
      <c r="AU161" s="1393" cm="1">
        <f t="array" ref="AU161">IFERROR(IF(COUNTIFS($C$48:$C$147,$C161)&gt;0,SUMPRODUCT(('Rates &amp; Drop Downs INT'!$BS$7:$BS$79=AU$166)*('Rates &amp; Drop Downs INT'!$BM$7:$BM$79=$C161)*('Rates &amp; Drop Downs INT'!$BR$7:$BR$79)),0),"")</f>
        <v>0</v>
      </c>
      <c r="AV161" s="1393" cm="1">
        <f t="array" ref="AV161">IFERROR(IF(COUNTIFS($C$48:$C$147,$C161)&gt;0,SUMPRODUCT(('Rates &amp; Drop Downs INT'!$BS$7:$BS$79=AV$166)*('Rates &amp; Drop Downs INT'!$BM$7:$BM$79=$C161)*('Rates &amp; Drop Downs INT'!$BR$7:$BR$79)),0),"")</f>
        <v>0</v>
      </c>
      <c r="AW161" s="1393" cm="1">
        <f t="array" ref="AW161">IFERROR(IF(COUNTIFS($C$48:$C$147,$C161)&gt;0,SUMPRODUCT(('Rates &amp; Drop Downs INT'!$BS$7:$BS$79=AW$166)*('Rates &amp; Drop Downs INT'!$BM$7:$BM$79=$C161)*('Rates &amp; Drop Downs INT'!$BR$7:$BR$79)),0),"")</f>
        <v>0</v>
      </c>
      <c r="AX161" s="1393" cm="1">
        <f t="array" ref="AX161">IFERROR(IF(COUNTIFS($C$48:$C$147,$C161)&gt;0,SUMPRODUCT(('Rates &amp; Drop Downs INT'!$BS$7:$BS$79=AX$166)*('Rates &amp; Drop Downs INT'!$BM$7:$BM$79=$C161)*('Rates &amp; Drop Downs INT'!$BR$7:$BR$79)),0),"")</f>
        <v>0</v>
      </c>
      <c r="AY161" s="1393" cm="1">
        <f t="array" ref="AY161">IFERROR(IF(COUNTIFS($C$48:$C$147,$C161)&gt;0,SUMPRODUCT(('Rates &amp; Drop Downs INT'!$BS$7:$BS$79=AY$166)*('Rates &amp; Drop Downs INT'!$BM$7:$BM$79=$C161)*('Rates &amp; Drop Downs INT'!$BR$7:$BR$79)),0),"")</f>
        <v>0</v>
      </c>
      <c r="AZ161" s="1393" cm="1">
        <f t="array" ref="AZ161">IFERROR(IF(COUNTIFS($C$48:$C$147,$C161)&gt;0,SUMPRODUCT(('Rates &amp; Drop Downs INT'!$BS$7:$BS$79=AZ$166)*('Rates &amp; Drop Downs INT'!$BM$7:$BM$79=$C161)*('Rates &amp; Drop Downs INT'!$BR$7:$BR$79)),0),"")</f>
        <v>0</v>
      </c>
      <c r="BA161" s="1393" cm="1">
        <f t="array" ref="BA161">IFERROR(IF(COUNTIFS($C$48:$C$147,$C161)&gt;0,SUMPRODUCT(('Rates &amp; Drop Downs INT'!$BS$7:$BS$79=BA$166)*('Rates &amp; Drop Downs INT'!$BM$7:$BM$79=$C161)*('Rates &amp; Drop Downs INT'!$BR$7:$BR$79)),0),"")</f>
        <v>0</v>
      </c>
      <c r="BB161" s="1393" cm="1">
        <f t="array" ref="BB161">IFERROR(IF(COUNTIFS($C$48:$C$147,$C161)&gt;0,SUMPRODUCT(('Rates &amp; Drop Downs INT'!$BS$7:$BS$79=BB$166)*('Rates &amp; Drop Downs INT'!$BM$7:$BM$79=$C161)*('Rates &amp; Drop Downs INT'!$BR$7:$BR$79)),0),"")</f>
        <v>0</v>
      </c>
      <c r="BC161" s="1393" cm="1">
        <f t="array" ref="BC161">IFERROR(IF(COUNTIFS($C$48:$C$147,$C161)&gt;0,SUMPRODUCT(('Rates &amp; Drop Downs INT'!$BS$7:$BS$79=BC$166)*('Rates &amp; Drop Downs INT'!$BM$7:$BM$79=$C161)*('Rates &amp; Drop Downs INT'!$BR$7:$BR$79)),0),"")</f>
        <v>0</v>
      </c>
      <c r="BD161" s="1393" cm="1">
        <f t="array" ref="BD161">IFERROR(IF(COUNTIFS($C$48:$C$147,$C161)&gt;0,SUMPRODUCT(('Rates &amp; Drop Downs INT'!$BS$7:$BS$79=BD$166)*('Rates &amp; Drop Downs INT'!$BM$7:$BM$79=$C161)*('Rates &amp; Drop Downs INT'!$BR$7:$BR$79)),0),"")</f>
        <v>0</v>
      </c>
      <c r="BE161" s="1393" cm="1">
        <f t="array" ref="BE161">IFERROR(IF(COUNTIFS($C$48:$C$147,$C161)&gt;0,SUMPRODUCT(('Rates &amp; Drop Downs INT'!$BS$7:$BS$79=BE$166)*('Rates &amp; Drop Downs INT'!$BM$7:$BM$79=$C161)*('Rates &amp; Drop Downs INT'!$BR$7:$BR$79)),0),"")</f>
        <v>0</v>
      </c>
      <c r="BF161" s="1393" cm="1">
        <f t="array" ref="BF161">IFERROR(IF(COUNTIFS($C$48:$C$147,$C161)&gt;0,SUMPRODUCT(('Rates &amp; Drop Downs INT'!$BS$7:$BS$79=BF$166)*('Rates &amp; Drop Downs INT'!$BM$7:$BM$79=$C161)*('Rates &amp; Drop Downs INT'!$BR$7:$BR$79)),0),"")</f>
        <v>0</v>
      </c>
      <c r="BG161" s="1393" cm="1">
        <f t="array" ref="BG161">IFERROR(IF(COUNTIFS($C$48:$C$147,$C161)&gt;0,SUMPRODUCT(('Rates &amp; Drop Downs INT'!$BS$7:$BS$79=BG$166)*('Rates &amp; Drop Downs INT'!$BM$7:$BM$79=$C161)*('Rates &amp; Drop Downs INT'!$BR$7:$BR$79)),0),"")</f>
        <v>0</v>
      </c>
      <c r="BH161" s="1393" cm="1">
        <f t="array" ref="BH161">IFERROR(IF(COUNTIFS($C$48:$C$147,$C161)&gt;0,SUMPRODUCT(('Rates &amp; Drop Downs INT'!$BS$7:$BS$79=BH$166)*('Rates &amp; Drop Downs INT'!$BM$7:$BM$79=$C161)*('Rates &amp; Drop Downs INT'!$BR$7:$BR$79)),0),"")</f>
        <v>0</v>
      </c>
      <c r="BI161" s="1393" cm="1">
        <f t="array" ref="BI161">IFERROR(IF(COUNTIFS($C$48:$C$147,$C161)&gt;0,SUMPRODUCT(('Rates &amp; Drop Downs INT'!$BS$7:$BS$79=BI$166)*('Rates &amp; Drop Downs INT'!$BM$7:$BM$79=$C161)*('Rates &amp; Drop Downs INT'!$BR$7:$BR$79)),0),"")</f>
        <v>0</v>
      </c>
      <c r="BJ161" s="1393" cm="1">
        <f t="array" ref="BJ161">IFERROR(IF(COUNTIFS($C$48:$C$147,$C161)&gt;0,SUMPRODUCT(('Rates &amp; Drop Downs INT'!$BS$7:$BS$79=BJ$166)*('Rates &amp; Drop Downs INT'!$BM$7:$BM$79=$C161)*('Rates &amp; Drop Downs INT'!$BR$7:$BR$79)),0),"")</f>
        <v>0</v>
      </c>
      <c r="BK161" s="1393" cm="1">
        <f t="array" ref="BK161">IFERROR(IF(COUNTIFS($C$48:$C$147,$C161)&gt;0,SUMPRODUCT(('Rates &amp; Drop Downs INT'!$BS$7:$BS$79=BK$166)*('Rates &amp; Drop Downs INT'!$BM$7:$BM$79=$C161)*('Rates &amp; Drop Downs INT'!$BR$7:$BR$79)),0),"")</f>
        <v>0</v>
      </c>
      <c r="BL161" s="1393" cm="1">
        <f t="array" ref="BL161">IFERROR(IF(COUNTIFS($C$48:$C$147,$C161)&gt;0,SUMPRODUCT(('Rates &amp; Drop Downs INT'!$BS$7:$BS$79=BL$166)*('Rates &amp; Drop Downs INT'!$BM$7:$BM$79=$C161)*('Rates &amp; Drop Downs INT'!$BR$7:$BR$79)),0),"")</f>
        <v>0</v>
      </c>
      <c r="BM161" s="1394" cm="1">
        <f t="array" ref="BM161">IFERROR(IF(COUNTIFS($C$48:$C$147,$C161)&gt;0,SUMPRODUCT(('Rates &amp; Drop Downs INT'!$BS$7:$BS$79=BM$166)*('Rates &amp; Drop Downs INT'!$BM$7:$BM$79=$C161)*('Rates &amp; Drop Downs INT'!$BR$7:$BR$79)),0),"")</f>
        <v>0</v>
      </c>
      <c r="BN161" s="1395" cm="1">
        <f t="array" ref="BN161">IFERROR(IF(COUNTIFS($C$48:$C$147,$C161)&gt;0,SUMPRODUCT(('Rates &amp; Drop Downs INT'!$BS$7:$BS$79=BN$166)*('Rates &amp; Drop Downs INT'!$BM$7:$BM$79=$C161)*('Rates &amp; Drop Downs INT'!$BR$7:$BR$79)),0),"")</f>
        <v>0</v>
      </c>
      <c r="BO161" s="1395" cm="1">
        <f t="array" ref="BO161">IFERROR(IF(COUNTIFS($C$48:$C$147,$C161)&gt;0,SUMPRODUCT(('Rates &amp; Drop Downs INT'!$BS$7:$BS$79=BO$166)*('Rates &amp; Drop Downs INT'!$BM$7:$BM$79=$C161)*('Rates &amp; Drop Downs INT'!$BR$7:$BR$79)),0),"")</f>
        <v>0</v>
      </c>
      <c r="BP161" s="527"/>
      <c r="BQ161" s="527"/>
      <c r="BR161" s="527"/>
      <c r="BS161" s="527"/>
      <c r="BT161" s="527"/>
      <c r="BU161" s="527"/>
      <c r="BV161" s="527"/>
      <c r="BW161" s="527"/>
      <c r="BX161" s="527"/>
      <c r="BY161" s="527"/>
      <c r="BZ161" s="527"/>
      <c r="CA161" s="528"/>
      <c r="CB161" s="528"/>
      <c r="CC161" s="528"/>
      <c r="CD161" s="529"/>
      <c r="CE161" s="529"/>
      <c r="CF161" s="529"/>
      <c r="CG161" s="530"/>
      <c r="CH161" s="531"/>
      <c r="CI161" s="532"/>
      <c r="CJ161" s="528"/>
      <c r="CK161" s="528"/>
      <c r="CL161" s="413"/>
      <c r="CM161" s="413"/>
      <c r="CN161" s="413"/>
      <c r="CO161" s="413"/>
      <c r="CP161" s="413"/>
      <c r="CQ161" s="413"/>
    </row>
    <row r="162" spans="3:95" ht="16.05" customHeight="1" x14ac:dyDescent="0.25">
      <c r="C162" s="1663" t="s">
        <v>257</v>
      </c>
      <c r="D162" s="1663"/>
      <c r="E162" s="1393"/>
      <c r="F162" s="1393" cm="1">
        <f t="array" ref="F162">IFERROR(IF(COUNTIFS($C$48:$C$147,$C162)&gt;0,SUMPRODUCT(('Rates &amp; Drop Downs INT'!$BS$7:$BS$79=F$166)*('Rates &amp; Drop Downs INT'!$BM$7:$BM$79=$C162)*('Rates &amp; Drop Downs INT'!$BR$7:$BR$79)),0),"")</f>
        <v>0</v>
      </c>
      <c r="G162" s="1393" cm="1">
        <f t="array" ref="G162">IFERROR(IF(COUNTIFS($C$48:$C$147,$C162)&gt;0,SUMPRODUCT(('Rates &amp; Drop Downs INT'!$BS$7:$BS$79=G$166)*('Rates &amp; Drop Downs INT'!$BM$7:$BM$79=$C162)*('Rates &amp; Drop Downs INT'!$BR$7:$BR$79)),0),"")</f>
        <v>0</v>
      </c>
      <c r="H162" s="1393" cm="1">
        <f t="array" ref="H162">IFERROR(IF(COUNTIFS($C$48:$C$147,$C162)&gt;0,SUMPRODUCT(('Rates &amp; Drop Downs INT'!$BS$7:$BS$79=H$166)*('Rates &amp; Drop Downs INT'!$BM$7:$BM$79=$C162)*('Rates &amp; Drop Downs INT'!$BR$7:$BR$79)),0),"")</f>
        <v>0</v>
      </c>
      <c r="I162" s="1393" cm="1">
        <f t="array" ref="I162">IFERROR(IF(COUNTIFS($C$48:$C$147,$C162)&gt;0,SUMPRODUCT(('Rates &amp; Drop Downs INT'!$BS$7:$BS$79=I$166)*('Rates &amp; Drop Downs INT'!$BM$7:$BM$79=$C162)*('Rates &amp; Drop Downs INT'!$BR$7:$BR$79)),0),"")</f>
        <v>0</v>
      </c>
      <c r="J162" s="1393" cm="1">
        <f t="array" ref="J162">IFERROR(IF(COUNTIFS($C$48:$C$147,$C162)&gt;0,SUMPRODUCT(('Rates &amp; Drop Downs INT'!$BS$7:$BS$79=J$166)*('Rates &amp; Drop Downs INT'!$BM$7:$BM$79=$C162)*('Rates &amp; Drop Downs INT'!$BR$7:$BR$79)),0),"")</f>
        <v>0</v>
      </c>
      <c r="K162" s="1393" cm="1">
        <f t="array" ref="K162">IFERROR(IF(COUNTIFS($C$48:$C$147,$C162)&gt;0,SUMPRODUCT(('Rates &amp; Drop Downs INT'!$BS$7:$BS$79=K$166)*('Rates &amp; Drop Downs INT'!$BM$7:$BM$79=$C162)*('Rates &amp; Drop Downs INT'!$BR$7:$BR$79)),0),"")</f>
        <v>0</v>
      </c>
      <c r="L162" s="1393" cm="1">
        <f t="array" ref="L162">IFERROR(IF(COUNTIFS($C$48:$C$147,$C162)&gt;0,SUMPRODUCT(('Rates &amp; Drop Downs INT'!$BS$7:$BS$79=L$166)*('Rates &amp; Drop Downs INT'!$BM$7:$BM$79=$C162)*('Rates &amp; Drop Downs INT'!$BR$7:$BR$79)),0),"")</f>
        <v>0</v>
      </c>
      <c r="M162" s="1393" cm="1">
        <f t="array" ref="M162">IFERROR(IF(COUNTIFS($C$48:$C$147,$C162)&gt;0,SUMPRODUCT(('Rates &amp; Drop Downs INT'!$BS$7:$BS$79=M$166)*('Rates &amp; Drop Downs INT'!$BM$7:$BM$79=$C162)*('Rates &amp; Drop Downs INT'!$BR$7:$BR$79)),0),"")</f>
        <v>0</v>
      </c>
      <c r="N162" s="1393" cm="1">
        <f t="array" ref="N162">IFERROR(IF(COUNTIFS($C$48:$C$147,$C162)&gt;0,SUMPRODUCT(('Rates &amp; Drop Downs INT'!$BS$7:$BS$79=N$166)*('Rates &amp; Drop Downs INT'!$BM$7:$BM$79=$C162)*('Rates &amp; Drop Downs INT'!$BR$7:$BR$79)),0),"")</f>
        <v>0</v>
      </c>
      <c r="O162" s="1393" cm="1">
        <f t="array" ref="O162">IFERROR(IF(COUNTIFS($C$48:$C$147,$C162)&gt;0,SUMPRODUCT(('Rates &amp; Drop Downs INT'!$BS$7:$BS$79=O$166)*('Rates &amp; Drop Downs INT'!$BM$7:$BM$79=$C162)*('Rates &amp; Drop Downs INT'!$BR$7:$BR$79)),0),"")</f>
        <v>0</v>
      </c>
      <c r="P162" s="1393" cm="1">
        <f t="array" ref="P162">IFERROR(IF(COUNTIFS($C$48:$C$147,$C162)&gt;0,SUMPRODUCT(('Rates &amp; Drop Downs INT'!$BS$7:$BS$79=P$166)*('Rates &amp; Drop Downs INT'!$BM$7:$BM$79=$C162)*('Rates &amp; Drop Downs INT'!$BR$7:$BR$79)),0),"")</f>
        <v>0</v>
      </c>
      <c r="Q162" s="1393" cm="1">
        <f t="array" ref="Q162">IFERROR(IF(COUNTIFS($C$48:$C$147,$C162)&gt;0,SUMPRODUCT(('Rates &amp; Drop Downs INT'!$BS$7:$BS$79=Q$166)*('Rates &amp; Drop Downs INT'!$BM$7:$BM$79=$C162)*('Rates &amp; Drop Downs INT'!$BR$7:$BR$79)),0),"")</f>
        <v>0</v>
      </c>
      <c r="R162" s="1393" cm="1">
        <f t="array" ref="R162">IFERROR(IF(COUNTIFS($C$48:$C$147,$C162)&gt;0,SUMPRODUCT(('Rates &amp; Drop Downs INT'!$BS$7:$BS$79=R$166)*('Rates &amp; Drop Downs INT'!$BM$7:$BM$79=$C162)*('Rates &amp; Drop Downs INT'!$BR$7:$BR$79)),0),"")</f>
        <v>0</v>
      </c>
      <c r="S162" s="1393" cm="1">
        <f t="array" ref="S162">IFERROR(IF(COUNTIFS($C$48:$C$147,$C162)&gt;0,SUMPRODUCT(('Rates &amp; Drop Downs INT'!$BS$7:$BS$79=S$166)*('Rates &amp; Drop Downs INT'!$BM$7:$BM$79=$C162)*('Rates &amp; Drop Downs INT'!$BR$7:$BR$79)),0),"")</f>
        <v>0</v>
      </c>
      <c r="T162" s="1393" cm="1">
        <f t="array" ref="T162">IFERROR(IF(COUNTIFS($C$48:$C$147,$C162)&gt;0,SUMPRODUCT(('Rates &amp; Drop Downs INT'!$BS$7:$BS$79=T$166)*('Rates &amp; Drop Downs INT'!$BM$7:$BM$79=$C162)*('Rates &amp; Drop Downs INT'!$BR$7:$BR$79)),0),"")</f>
        <v>0</v>
      </c>
      <c r="U162" s="1393" cm="1">
        <f t="array" ref="U162">IFERROR(IF(COUNTIFS($C$48:$C$147,$C162)&gt;0,SUMPRODUCT(('Rates &amp; Drop Downs INT'!$BS$7:$BS$79=U$166)*('Rates &amp; Drop Downs INT'!$BM$7:$BM$79=$C162)*('Rates &amp; Drop Downs INT'!$BR$7:$BR$79)),0),"")</f>
        <v>0</v>
      </c>
      <c r="V162" s="1393" cm="1">
        <f t="array" ref="V162">IFERROR(IF(COUNTIFS($C$48:$C$147,$C162)&gt;0,SUMPRODUCT(('Rates &amp; Drop Downs INT'!$BS$7:$BS$79=V$166)*('Rates &amp; Drop Downs INT'!$BM$7:$BM$79=$C162)*('Rates &amp; Drop Downs INT'!$BR$7:$BR$79)),0),"")</f>
        <v>0</v>
      </c>
      <c r="W162" s="1393" cm="1">
        <f t="array" ref="W162">IFERROR(IF(COUNTIFS($C$48:$C$147,$C162)&gt;0,SUMPRODUCT(('Rates &amp; Drop Downs INT'!$BS$7:$BS$79=W$166)*('Rates &amp; Drop Downs INT'!$BM$7:$BM$79=$C162)*('Rates &amp; Drop Downs INT'!$BR$7:$BR$79)),0),"")</f>
        <v>0</v>
      </c>
      <c r="X162" s="1393"/>
      <c r="Y162" s="1393" cm="1">
        <f t="array" ref="Y162">IFERROR(IF(COUNTIFS($C$48:$C$147,$C162)&gt;0,SUMPRODUCT(('Rates &amp; Drop Downs INT'!$BS$7:$BS$79=Y$166)*('Rates &amp; Drop Downs INT'!$BM$7:$BM$79=$C162)*('Rates &amp; Drop Downs INT'!$BR$7:$BR$79)),0),"")</f>
        <v>0</v>
      </c>
      <c r="Z162" s="1393" cm="1">
        <f t="array" ref="Z162">IFERROR(IF(COUNTIFS($C$48:$C$147,$C162)&gt;0,SUMPRODUCT(('Rates &amp; Drop Downs INT'!$BS$7:$BS$79=Z$166)*('Rates &amp; Drop Downs INT'!$BM$7:$BM$79=$C162)*('Rates &amp; Drop Downs INT'!$BR$7:$BR$79)),0),"")</f>
        <v>0</v>
      </c>
      <c r="AA162" s="1393" cm="1">
        <f t="array" ref="AA162">IFERROR(IF(COUNTIFS($C$48:$C$147,$C162)&gt;0,SUMPRODUCT(('Rates &amp; Drop Downs INT'!$BS$7:$BS$79=AA$166)*('Rates &amp; Drop Downs INT'!$BM$7:$BM$79=$C162)*('Rates &amp; Drop Downs INT'!$BR$7:$BR$79)),0),"")</f>
        <v>0</v>
      </c>
      <c r="AB162" s="1393" cm="1">
        <f t="array" ref="AB162">IFERROR(IF(COUNTIFS($C$48:$C$147,$C162)&gt;0,SUMPRODUCT(('Rates &amp; Drop Downs INT'!$BS$7:$BS$79=AB$166)*('Rates &amp; Drop Downs INT'!$BM$7:$BM$79=$C162)*('Rates &amp; Drop Downs INT'!$BR$7:$BR$79)),0),"")</f>
        <v>0</v>
      </c>
      <c r="AC162" s="1393"/>
      <c r="AD162" s="1393"/>
      <c r="AE162" s="1393"/>
      <c r="AF162" s="1393"/>
      <c r="AG162" s="1393" cm="1">
        <f t="array" ref="AG162">IFERROR(IF(COUNTIFS($C$48:$C$147,$C162)&gt;0,SUMPRODUCT(('Rates &amp; Drop Downs INT'!$BS$7:$BS$79=AG$166)*('Rates &amp; Drop Downs INT'!$BM$7:$BM$79=$C162)*('Rates &amp; Drop Downs INT'!$BR$7:$BR$79)),0),"")</f>
        <v>0</v>
      </c>
      <c r="AH162" s="1393" cm="1">
        <f t="array" ref="AH162">IFERROR(IF(COUNTIFS($C$48:$C$147,$C162)&gt;0,SUMPRODUCT(('Rates &amp; Drop Downs INT'!$BS$7:$BS$79=AH$166)*('Rates &amp; Drop Downs INT'!$BM$7:$BM$79=$C162)*('Rates &amp; Drop Downs INT'!$BR$7:$BR$79)),0),"")</f>
        <v>0</v>
      </c>
      <c r="AI162" s="1393" cm="1">
        <f t="array" ref="AI162">IFERROR(IF(COUNTIFS($C$48:$C$147,$C162)&gt;0,SUMPRODUCT(('Rates &amp; Drop Downs INT'!$BS$7:$BS$79=AI$166)*('Rates &amp; Drop Downs INT'!$BM$7:$BM$79=$C162)*('Rates &amp; Drop Downs INT'!$BR$7:$BR$79)),0),"")</f>
        <v>0</v>
      </c>
      <c r="AJ162" s="1393" cm="1">
        <f t="array" ref="AJ162">IFERROR(IF(COUNTIFS($C$48:$C$147,$C162)&gt;0,SUMPRODUCT(('Rates &amp; Drop Downs INT'!$BS$7:$BS$79=AJ$166)*('Rates &amp; Drop Downs INT'!$BM$7:$BM$79=$C162)*('Rates &amp; Drop Downs INT'!$BR$7:$BR$79)),0),"")</f>
        <v>0</v>
      </c>
      <c r="AK162" s="1393" cm="1">
        <f t="array" ref="AK162">IFERROR(IF(COUNTIFS($C$48:$C$147,$C162)&gt;0,SUMPRODUCT(('Rates &amp; Drop Downs INT'!$BS$7:$BS$79=AK$166)*('Rates &amp; Drop Downs INT'!$BM$7:$BM$79=$C162)*('Rates &amp; Drop Downs INT'!$BR$7:$BR$79)),0),"")</f>
        <v>0</v>
      </c>
      <c r="AL162" s="1393" cm="1">
        <f t="array" ref="AL162">IFERROR(IF(COUNTIFS($C$48:$C$147,$C162)&gt;0,SUMPRODUCT(('Rates &amp; Drop Downs INT'!$BS$7:$BS$79=AL$166)*('Rates &amp; Drop Downs INT'!$BM$7:$BM$79=$C162)*('Rates &amp; Drop Downs INT'!$BR$7:$BR$79)),0),"")</f>
        <v>0</v>
      </c>
      <c r="AM162" s="1393" cm="1">
        <f t="array" ref="AM162">IFERROR(IF(COUNTIFS($C$48:$C$147,$C162)&gt;0,SUMPRODUCT(('Rates &amp; Drop Downs INT'!$BS$7:$BS$79=AM$166)*('Rates &amp; Drop Downs INT'!$BM$7:$BM$79=$C162)*('Rates &amp; Drop Downs INT'!$BR$7:$BR$79)),0),"")</f>
        <v>0</v>
      </c>
      <c r="AN162" s="1393" cm="1">
        <f t="array" ref="AN162">IFERROR(IF(COUNTIFS($C$48:$C$147,$C162)&gt;0,SUMPRODUCT(('Rates &amp; Drop Downs INT'!$BS$7:$BS$79=AN$166)*('Rates &amp; Drop Downs INT'!$BM$7:$BM$79=$C162)*('Rates &amp; Drop Downs INT'!$BR$7:$BR$79)),0),"")</f>
        <v>0</v>
      </c>
      <c r="AO162" s="1393" cm="1">
        <f t="array" ref="AO162">IFERROR(IF(COUNTIFS($C$48:$C$147,$C162)&gt;0,SUMPRODUCT(('Rates &amp; Drop Downs INT'!$BS$7:$BS$79=AO$166)*('Rates &amp; Drop Downs INT'!$BM$7:$BM$79=$C162)*('Rates &amp; Drop Downs INT'!$BR$7:$BR$79)),0),"")</f>
        <v>0</v>
      </c>
      <c r="AP162" s="1393" cm="1">
        <f t="array" ref="AP162">IFERROR(IF(COUNTIFS($C$48:$C$147,$C162)&gt;0,SUMPRODUCT(('Rates &amp; Drop Downs INT'!$BS$7:$BS$79=AP$166)*('Rates &amp; Drop Downs INT'!$BM$7:$BM$79=$C162)*('Rates &amp; Drop Downs INT'!$BR$7:$BR$79)),0),"")</f>
        <v>0</v>
      </c>
      <c r="AQ162" s="1393" cm="1">
        <f t="array" ref="AQ162">IFERROR(IF(COUNTIFS($C$48:$C$147,$C162)&gt;0,SUMPRODUCT(('Rates &amp; Drop Downs INT'!$BS$7:$BS$79=AQ$166)*('Rates &amp; Drop Downs INT'!$BM$7:$BM$79=$C162)*('Rates &amp; Drop Downs INT'!$BR$7:$BR$79)),0),"")</f>
        <v>0</v>
      </c>
      <c r="AR162" s="1393" cm="1">
        <f t="array" ref="AR162">IFERROR(IF(COUNTIFS($C$48:$C$147,$C162)&gt;0,SUMPRODUCT(('Rates &amp; Drop Downs INT'!$BS$7:$BS$79=AR$166)*('Rates &amp; Drop Downs INT'!$BM$7:$BM$79=$C162)*('Rates &amp; Drop Downs INT'!$BR$7:$BR$79)),0),"")</f>
        <v>0</v>
      </c>
      <c r="AS162" s="1393" cm="1">
        <f t="array" ref="AS162">IFERROR(IF(COUNTIFS($C$48:$C$147,$C162)&gt;0,SUMPRODUCT(('Rates &amp; Drop Downs INT'!$BS$7:$BS$79=AS$166)*('Rates &amp; Drop Downs INT'!$BM$7:$BM$79=$C162)*('Rates &amp; Drop Downs INT'!$BR$7:$BR$79)),0),"")</f>
        <v>0</v>
      </c>
      <c r="AT162" s="1393" cm="1">
        <f t="array" ref="AT162">IFERROR(IF(COUNTIFS($C$48:$C$147,$C162)&gt;0,SUMPRODUCT(('Rates &amp; Drop Downs INT'!$BS$7:$BS$79=AT$166)*('Rates &amp; Drop Downs INT'!$BM$7:$BM$79=$C162)*('Rates &amp; Drop Downs INT'!$BR$7:$BR$79)),0),"")</f>
        <v>0</v>
      </c>
      <c r="AU162" s="1393" cm="1">
        <f t="array" ref="AU162">IFERROR(IF(COUNTIFS($C$48:$C$147,$C162)&gt;0,SUMPRODUCT(('Rates &amp; Drop Downs INT'!$BS$7:$BS$79=AU$166)*('Rates &amp; Drop Downs INT'!$BM$7:$BM$79=$C162)*('Rates &amp; Drop Downs INT'!$BR$7:$BR$79)),0),"")</f>
        <v>0</v>
      </c>
      <c r="AV162" s="1393" cm="1">
        <f t="array" ref="AV162">IFERROR(IF(COUNTIFS($C$48:$C$147,$C162)&gt;0,SUMPRODUCT(('Rates &amp; Drop Downs INT'!$BS$7:$BS$79=AV$166)*('Rates &amp; Drop Downs INT'!$BM$7:$BM$79=$C162)*('Rates &amp; Drop Downs INT'!$BR$7:$BR$79)),0),"")</f>
        <v>0</v>
      </c>
      <c r="AW162" s="1393" cm="1">
        <f t="array" ref="AW162">IFERROR(IF(COUNTIFS($C$48:$C$147,$C162)&gt;0,SUMPRODUCT(('Rates &amp; Drop Downs INT'!$BS$7:$BS$79=AW$166)*('Rates &amp; Drop Downs INT'!$BM$7:$BM$79=$C162)*('Rates &amp; Drop Downs INT'!$BR$7:$BR$79)),0),"")</f>
        <v>0</v>
      </c>
      <c r="AX162" s="1393" cm="1">
        <f t="array" ref="AX162">IFERROR(IF(COUNTIFS($C$48:$C$147,$C162)&gt;0,SUMPRODUCT(('Rates &amp; Drop Downs INT'!$BS$7:$BS$79=AX$166)*('Rates &amp; Drop Downs INT'!$BM$7:$BM$79=$C162)*('Rates &amp; Drop Downs INT'!$BR$7:$BR$79)),0),"")</f>
        <v>0</v>
      </c>
      <c r="AY162" s="1393" cm="1">
        <f t="array" ref="AY162">IFERROR(IF(COUNTIFS($C$48:$C$147,$C162)&gt;0,SUMPRODUCT(('Rates &amp; Drop Downs INT'!$BS$7:$BS$79=AY$166)*('Rates &amp; Drop Downs INT'!$BM$7:$BM$79=$C162)*('Rates &amp; Drop Downs INT'!$BR$7:$BR$79)),0),"")</f>
        <v>0</v>
      </c>
      <c r="AZ162" s="1393" cm="1">
        <f t="array" ref="AZ162">IFERROR(IF(COUNTIFS($C$48:$C$147,$C162)&gt;0,SUMPRODUCT(('Rates &amp; Drop Downs INT'!$BS$7:$BS$79=AZ$166)*('Rates &amp; Drop Downs INT'!$BM$7:$BM$79=$C162)*('Rates &amp; Drop Downs INT'!$BR$7:$BR$79)),0),"")</f>
        <v>0</v>
      </c>
      <c r="BA162" s="1393" cm="1">
        <f t="array" ref="BA162">IFERROR(IF(COUNTIFS($C$48:$C$147,$C162)&gt;0,SUMPRODUCT(('Rates &amp; Drop Downs INT'!$BS$7:$BS$79=BA$166)*('Rates &amp; Drop Downs INT'!$BM$7:$BM$79=$C162)*('Rates &amp; Drop Downs INT'!$BR$7:$BR$79)),0),"")</f>
        <v>0</v>
      </c>
      <c r="BB162" s="1393" cm="1">
        <f t="array" ref="BB162">IFERROR(IF(COUNTIFS($C$48:$C$147,$C162)&gt;0,SUMPRODUCT(('Rates &amp; Drop Downs INT'!$BS$7:$BS$79=BB$166)*('Rates &amp; Drop Downs INT'!$BM$7:$BM$79=$C162)*('Rates &amp; Drop Downs INT'!$BR$7:$BR$79)),0),"")</f>
        <v>0</v>
      </c>
      <c r="BC162" s="1393" cm="1">
        <f t="array" ref="BC162">IFERROR(IF(COUNTIFS($C$48:$C$147,$C162)&gt;0,SUMPRODUCT(('Rates &amp; Drop Downs INT'!$BS$7:$BS$79=BC$166)*('Rates &amp; Drop Downs INT'!$BM$7:$BM$79=$C162)*('Rates &amp; Drop Downs INT'!$BR$7:$BR$79)),0),"")</f>
        <v>0</v>
      </c>
      <c r="BD162" s="1393" cm="1">
        <f t="array" ref="BD162">IFERROR(IF(COUNTIFS($C$48:$C$147,$C162)&gt;0,SUMPRODUCT(('Rates &amp; Drop Downs INT'!$BS$7:$BS$79=BD$166)*('Rates &amp; Drop Downs INT'!$BM$7:$BM$79=$C162)*('Rates &amp; Drop Downs INT'!$BR$7:$BR$79)),0),"")</f>
        <v>0</v>
      </c>
      <c r="BE162" s="1393" cm="1">
        <f t="array" ref="BE162">IFERROR(IF(COUNTIFS($C$48:$C$147,$C162)&gt;0,SUMPRODUCT(('Rates &amp; Drop Downs INT'!$BS$7:$BS$79=BE$166)*('Rates &amp; Drop Downs INT'!$BM$7:$BM$79=$C162)*('Rates &amp; Drop Downs INT'!$BR$7:$BR$79)),0),"")</f>
        <v>0</v>
      </c>
      <c r="BF162" s="1393" cm="1">
        <f t="array" ref="BF162">IFERROR(IF(COUNTIFS($C$48:$C$147,$C162)&gt;0,SUMPRODUCT(('Rates &amp; Drop Downs INT'!$BS$7:$BS$79=BF$166)*('Rates &amp; Drop Downs INT'!$BM$7:$BM$79=$C162)*('Rates &amp; Drop Downs INT'!$BR$7:$BR$79)),0),"")</f>
        <v>0</v>
      </c>
      <c r="BG162" s="1393" cm="1">
        <f t="array" ref="BG162">IFERROR(IF(COUNTIFS($C$48:$C$147,$C162)&gt;0,SUMPRODUCT(('Rates &amp; Drop Downs INT'!$BS$7:$BS$79=BG$166)*('Rates &amp; Drop Downs INT'!$BM$7:$BM$79=$C162)*('Rates &amp; Drop Downs INT'!$BR$7:$BR$79)),0),"")</f>
        <v>0</v>
      </c>
      <c r="BH162" s="1393" cm="1">
        <f t="array" ref="BH162">IFERROR(IF(COUNTIFS($C$48:$C$147,$C162)&gt;0,SUMPRODUCT(('Rates &amp; Drop Downs INT'!$BS$7:$BS$79=BH$166)*('Rates &amp; Drop Downs INT'!$BM$7:$BM$79=$C162)*('Rates &amp; Drop Downs INT'!$BR$7:$BR$79)),0),"")</f>
        <v>0</v>
      </c>
      <c r="BI162" s="1393" cm="1">
        <f t="array" ref="BI162">IFERROR(IF(COUNTIFS($C$48:$C$147,$C162)&gt;0,SUMPRODUCT(('Rates &amp; Drop Downs INT'!$BS$7:$BS$79=BI$166)*('Rates &amp; Drop Downs INT'!$BM$7:$BM$79=$C162)*('Rates &amp; Drop Downs INT'!$BR$7:$BR$79)),0),"")</f>
        <v>0</v>
      </c>
      <c r="BJ162" s="1393" cm="1">
        <f t="array" ref="BJ162">IFERROR(IF(COUNTIFS($C$48:$C$147,$C162)&gt;0,SUMPRODUCT(('Rates &amp; Drop Downs INT'!$BS$7:$BS$79=BJ$166)*('Rates &amp; Drop Downs INT'!$BM$7:$BM$79=$C162)*('Rates &amp; Drop Downs INT'!$BR$7:$BR$79)),0),"")</f>
        <v>0</v>
      </c>
      <c r="BK162" s="1393" cm="1">
        <f t="array" ref="BK162">IFERROR(IF(COUNTIFS($C$48:$C$147,$C162)&gt;0,SUMPRODUCT(('Rates &amp; Drop Downs INT'!$BS$7:$BS$79=BK$166)*('Rates &amp; Drop Downs INT'!$BM$7:$BM$79=$C162)*('Rates &amp; Drop Downs INT'!$BR$7:$BR$79)),0),"")</f>
        <v>0</v>
      </c>
      <c r="BL162" s="1393" cm="1">
        <f t="array" ref="BL162">IFERROR(IF(COUNTIFS($C$48:$C$147,$C162)&gt;0,SUMPRODUCT(('Rates &amp; Drop Downs INT'!$BS$7:$BS$79=BL$166)*('Rates &amp; Drop Downs INT'!$BM$7:$BM$79=$C162)*('Rates &amp; Drop Downs INT'!$BR$7:$BR$79)),0),"")</f>
        <v>0</v>
      </c>
      <c r="BM162" s="1394" cm="1">
        <f t="array" ref="BM162">IFERROR(IF(COUNTIFS($C$48:$C$147,$C162)&gt;0,SUMPRODUCT(('Rates &amp; Drop Downs INT'!$BS$7:$BS$79=BM$166)*('Rates &amp; Drop Downs INT'!$BM$7:$BM$79=$C162)*('Rates &amp; Drop Downs INT'!$BR$7:$BR$79)),0),"")</f>
        <v>0</v>
      </c>
      <c r="BN162" s="1395" cm="1">
        <f t="array" ref="BN162">IFERROR(IF(COUNTIFS($C$48:$C$147,$C162)&gt;0,SUMPRODUCT(('Rates &amp; Drop Downs INT'!$BS$7:$BS$79=BN$166)*('Rates &amp; Drop Downs INT'!$BM$7:$BM$79=$C162)*('Rates &amp; Drop Downs INT'!$BR$7:$BR$79)),0),"")</f>
        <v>0</v>
      </c>
      <c r="BO162" s="1395" cm="1">
        <f t="array" ref="BO162">IFERROR(IF(COUNTIFS($C$48:$C$147,$C162)&gt;0,SUMPRODUCT(('Rates &amp; Drop Downs INT'!$BS$7:$BS$79=BO$166)*('Rates &amp; Drop Downs INT'!$BM$7:$BM$79=$C162)*('Rates &amp; Drop Downs INT'!$BR$7:$BR$79)),0),"")</f>
        <v>0</v>
      </c>
      <c r="BP162" s="413"/>
      <c r="BQ162" s="413"/>
      <c r="BR162" s="413"/>
      <c r="BS162" s="413"/>
      <c r="BT162" s="413"/>
      <c r="BU162" s="413"/>
      <c r="BV162" s="413"/>
      <c r="BW162" s="413"/>
      <c r="BX162" s="413"/>
      <c r="BY162" s="413"/>
      <c r="BZ162" s="413"/>
      <c r="CA162" s="413"/>
      <c r="CB162" s="413"/>
      <c r="CC162" s="413"/>
      <c r="CD162" s="413"/>
      <c r="CE162" s="413"/>
      <c r="CF162" s="413"/>
      <c r="CG162" s="413"/>
      <c r="CH162" s="413"/>
      <c r="CI162" s="413"/>
      <c r="CJ162" s="413"/>
      <c r="CK162" s="413"/>
      <c r="CL162" s="413"/>
      <c r="CM162" s="413"/>
      <c r="CN162" s="413"/>
      <c r="CO162" s="413"/>
      <c r="CP162" s="413"/>
      <c r="CQ162" s="413"/>
    </row>
    <row r="163" spans="3:95" ht="15" customHeight="1" x14ac:dyDescent="0.25">
      <c r="C163" s="1663" t="s">
        <v>269</v>
      </c>
      <c r="D163" s="1663"/>
      <c r="E163" s="1393"/>
      <c r="F163" s="1393" cm="1">
        <f t="array" ref="F163">IFERROR(IF(COUNTIFS($C$48:$C$147,$C163)&gt;0,SUMPRODUCT(('Rates &amp; Drop Downs INT'!$BS$7:$BS$79=F$166)*('Rates &amp; Drop Downs INT'!$BM$7:$BM$79=$C163)*('Rates &amp; Drop Downs INT'!$BR$7:$BR$79)),0),"")</f>
        <v>0</v>
      </c>
      <c r="G163" s="1393" cm="1">
        <f t="array" ref="G163">IFERROR(IF(COUNTIFS($C$48:$C$147,$C163)&gt;0,SUMPRODUCT(('Rates &amp; Drop Downs INT'!$BS$7:$BS$79=G$166)*('Rates &amp; Drop Downs INT'!$BM$7:$BM$79=$C163)*('Rates &amp; Drop Downs INT'!$BR$7:$BR$79)),0),"")</f>
        <v>0</v>
      </c>
      <c r="H163" s="1393" cm="1">
        <f t="array" ref="H163">IFERROR(IF(COUNTIFS($C$48:$C$147,$C163)&gt;0,SUMPRODUCT(('Rates &amp; Drop Downs INT'!$BS$7:$BS$79=H$166)*('Rates &amp; Drop Downs INT'!$BM$7:$BM$79=$C163)*('Rates &amp; Drop Downs INT'!$BR$7:$BR$79)),0),"")</f>
        <v>0</v>
      </c>
      <c r="I163" s="1393" cm="1">
        <f t="array" ref="I163">IFERROR(IF(COUNTIFS($C$48:$C$147,$C163)&gt;0,SUMPRODUCT(('Rates &amp; Drop Downs INT'!$BS$7:$BS$79=I$166)*('Rates &amp; Drop Downs INT'!$BM$7:$BM$79=$C163)*('Rates &amp; Drop Downs INT'!$BR$7:$BR$79)),0),"")</f>
        <v>0</v>
      </c>
      <c r="J163" s="1393" cm="1">
        <f t="array" ref="J163">IFERROR(IF(COUNTIFS($C$48:$C$147,$C163)&gt;0,SUMPRODUCT(('Rates &amp; Drop Downs INT'!$BS$7:$BS$79=J$166)*('Rates &amp; Drop Downs INT'!$BM$7:$BM$79=$C163)*('Rates &amp; Drop Downs INT'!$BR$7:$BR$79)),0),"")</f>
        <v>0</v>
      </c>
      <c r="K163" s="1393" cm="1">
        <f t="array" ref="K163">IFERROR(IF(COUNTIFS($C$48:$C$147,$C163)&gt;0,SUMPRODUCT(('Rates &amp; Drop Downs INT'!$BS$7:$BS$79=K$166)*('Rates &amp; Drop Downs INT'!$BM$7:$BM$79=$C163)*('Rates &amp; Drop Downs INT'!$BR$7:$BR$79)),0),"")</f>
        <v>0</v>
      </c>
      <c r="L163" s="1393" cm="1">
        <f t="array" ref="L163">IFERROR(IF(COUNTIFS($C$48:$C$147,$C163)&gt;0,SUMPRODUCT(('Rates &amp; Drop Downs INT'!$BS$7:$BS$79=L$166)*('Rates &amp; Drop Downs INT'!$BM$7:$BM$79=$C163)*('Rates &amp; Drop Downs INT'!$BR$7:$BR$79)),0),"")</f>
        <v>0</v>
      </c>
      <c r="M163" s="1393" cm="1">
        <f t="array" ref="M163">IFERROR(IF(COUNTIFS($C$48:$C$147,$C163)&gt;0,SUMPRODUCT(('Rates &amp; Drop Downs INT'!$BS$7:$BS$79=M$166)*('Rates &amp; Drop Downs INT'!$BM$7:$BM$79=$C163)*('Rates &amp; Drop Downs INT'!$BR$7:$BR$79)),0),"")</f>
        <v>0</v>
      </c>
      <c r="N163" s="1393" cm="1">
        <f t="array" ref="N163">IFERROR(IF(COUNTIFS($C$48:$C$147,$C163)&gt;0,SUMPRODUCT(('Rates &amp; Drop Downs INT'!$BS$7:$BS$79=N$166)*('Rates &amp; Drop Downs INT'!$BM$7:$BM$79=$C163)*('Rates &amp; Drop Downs INT'!$BR$7:$BR$79)),0),"")</f>
        <v>0</v>
      </c>
      <c r="O163" s="1393" cm="1">
        <f t="array" ref="O163">IFERROR(IF(COUNTIFS($C$48:$C$147,$C163)&gt;0,SUMPRODUCT(('Rates &amp; Drop Downs INT'!$BS$7:$BS$79=O$166)*('Rates &amp; Drop Downs INT'!$BM$7:$BM$79=$C163)*('Rates &amp; Drop Downs INT'!$BR$7:$BR$79)),0),"")</f>
        <v>0</v>
      </c>
      <c r="P163" s="1393" cm="1">
        <f t="array" ref="P163">IFERROR(IF(COUNTIFS($C$48:$C$147,$C163)&gt;0,SUMPRODUCT(('Rates &amp; Drop Downs INT'!$BS$7:$BS$79=P$166)*('Rates &amp; Drop Downs INT'!$BM$7:$BM$79=$C163)*('Rates &amp; Drop Downs INT'!$BR$7:$BR$79)),0),"")</f>
        <v>0</v>
      </c>
      <c r="Q163" s="1393" cm="1">
        <f t="array" ref="Q163">IFERROR(IF(COUNTIFS($C$48:$C$147,$C163)&gt;0,SUMPRODUCT(('Rates &amp; Drop Downs INT'!$BS$7:$BS$79=Q$166)*('Rates &amp; Drop Downs INT'!$BM$7:$BM$79=$C163)*('Rates &amp; Drop Downs INT'!$BR$7:$BR$79)),0),"")</f>
        <v>0</v>
      </c>
      <c r="R163" s="1393" cm="1">
        <f t="array" ref="R163">IFERROR(IF(COUNTIFS($C$48:$C$147,$C163)&gt;0,SUMPRODUCT(('Rates &amp; Drop Downs INT'!$BS$7:$BS$79=R$166)*('Rates &amp; Drop Downs INT'!$BM$7:$BM$79=$C163)*('Rates &amp; Drop Downs INT'!$BR$7:$BR$79)),0),"")</f>
        <v>0</v>
      </c>
      <c r="S163" s="1393" cm="1">
        <f t="array" ref="S163">IFERROR(IF(COUNTIFS($C$48:$C$147,$C163)&gt;0,SUMPRODUCT(('Rates &amp; Drop Downs INT'!$BS$7:$BS$79=S$166)*('Rates &amp; Drop Downs INT'!$BM$7:$BM$79=$C163)*('Rates &amp; Drop Downs INT'!$BR$7:$BR$79)),0),"")</f>
        <v>0</v>
      </c>
      <c r="T163" s="1393" cm="1">
        <f t="array" ref="T163">IFERROR(IF(COUNTIFS($C$48:$C$147,$C163)&gt;0,SUMPRODUCT(('Rates &amp; Drop Downs INT'!$BS$7:$BS$79=T$166)*('Rates &amp; Drop Downs INT'!$BM$7:$BM$79=$C163)*('Rates &amp; Drop Downs INT'!$BR$7:$BR$79)),0),"")</f>
        <v>0</v>
      </c>
      <c r="U163" s="1393" cm="1">
        <f t="array" ref="U163">IFERROR(IF(COUNTIFS($C$48:$C$147,$C163)&gt;0,SUMPRODUCT(('Rates &amp; Drop Downs INT'!$BS$7:$BS$79=U$166)*('Rates &amp; Drop Downs INT'!$BM$7:$BM$79=$C163)*('Rates &amp; Drop Downs INT'!$BR$7:$BR$79)),0),"")</f>
        <v>0</v>
      </c>
      <c r="V163" s="1393" cm="1">
        <f t="array" ref="V163">IFERROR(IF(COUNTIFS($C$48:$C$147,$C163)&gt;0,SUMPRODUCT(('Rates &amp; Drop Downs INT'!$BS$7:$BS$79=V$166)*('Rates &amp; Drop Downs INT'!$BM$7:$BM$79=$C163)*('Rates &amp; Drop Downs INT'!$BR$7:$BR$79)),0),"")</f>
        <v>0</v>
      </c>
      <c r="W163" s="1393" cm="1">
        <f t="array" ref="W163">IFERROR(IF(COUNTIFS($C$48:$C$147,$C163)&gt;0,SUMPRODUCT(('Rates &amp; Drop Downs INT'!$BS$7:$BS$79=W$166)*('Rates &amp; Drop Downs INT'!$BM$7:$BM$79=$C163)*('Rates &amp; Drop Downs INT'!$BR$7:$BR$79)),0),"")</f>
        <v>0</v>
      </c>
      <c r="X163" s="1393"/>
      <c r="Y163" s="1393" cm="1">
        <f t="array" ref="Y163">IFERROR(IF(COUNTIFS($C$48:$C$147,$C163)&gt;0,SUMPRODUCT(('Rates &amp; Drop Downs INT'!$BS$7:$BS$79=Y$166)*('Rates &amp; Drop Downs INT'!$BM$7:$BM$79=$C163)*('Rates &amp; Drop Downs INT'!$BR$7:$BR$79)),0),"")</f>
        <v>0</v>
      </c>
      <c r="Z163" s="1393" cm="1">
        <f t="array" ref="Z163">IFERROR(IF(COUNTIFS($C$48:$C$147,$C163)&gt;0,SUMPRODUCT(('Rates &amp; Drop Downs INT'!$BS$7:$BS$79=Z$166)*('Rates &amp; Drop Downs INT'!$BM$7:$BM$79=$C163)*('Rates &amp; Drop Downs INT'!$BR$7:$BR$79)),0),"")</f>
        <v>0</v>
      </c>
      <c r="AA163" s="1393" cm="1">
        <f t="array" ref="AA163">IFERROR(IF(COUNTIFS($C$48:$C$147,$C163)&gt;0,SUMPRODUCT(('Rates &amp; Drop Downs INT'!$BS$7:$BS$79=AA$166)*('Rates &amp; Drop Downs INT'!$BM$7:$BM$79=$C163)*('Rates &amp; Drop Downs INT'!$BR$7:$BR$79)),0),"")</f>
        <v>0</v>
      </c>
      <c r="AB163" s="1393" cm="1">
        <f t="array" ref="AB163">IFERROR(IF(COUNTIFS($C$48:$C$147,$C163)&gt;0,SUMPRODUCT(('Rates &amp; Drop Downs INT'!$BS$7:$BS$79=AB$166)*('Rates &amp; Drop Downs INT'!$BM$7:$BM$79=$C163)*('Rates &amp; Drop Downs INT'!$BR$7:$BR$79)),0),"")</f>
        <v>0</v>
      </c>
      <c r="AC163" s="1393"/>
      <c r="AD163" s="1393"/>
      <c r="AE163" s="1393"/>
      <c r="AF163" s="1393"/>
      <c r="AG163" s="1393" cm="1">
        <f t="array" ref="AG163">IFERROR(IF(COUNTIFS($C$48:$C$147,$C163)&gt;0,SUMPRODUCT(('Rates &amp; Drop Downs INT'!$BS$7:$BS$79=AG$166)*('Rates &amp; Drop Downs INT'!$BM$7:$BM$79=$C163)*('Rates &amp; Drop Downs INT'!$BR$7:$BR$79)),0),"")</f>
        <v>0</v>
      </c>
      <c r="AH163" s="1393" cm="1">
        <f t="array" ref="AH163">IFERROR(IF(COUNTIFS($C$48:$C$147,$C163)&gt;0,SUMPRODUCT(('Rates &amp; Drop Downs INT'!$BS$7:$BS$79=AH$166)*('Rates &amp; Drop Downs INT'!$BM$7:$BM$79=$C163)*('Rates &amp; Drop Downs INT'!$BR$7:$BR$79)),0),"")</f>
        <v>0</v>
      </c>
      <c r="AI163" s="1393" cm="1">
        <f t="array" ref="AI163">IFERROR(IF(COUNTIFS($C$48:$C$147,$C163)&gt;0,SUMPRODUCT(('Rates &amp; Drop Downs INT'!$BS$7:$BS$79=AI$166)*('Rates &amp; Drop Downs INT'!$BM$7:$BM$79=$C163)*('Rates &amp; Drop Downs INT'!$BR$7:$BR$79)),0),"")</f>
        <v>0</v>
      </c>
      <c r="AJ163" s="1393" cm="1">
        <f t="array" ref="AJ163">IFERROR(IF(COUNTIFS($C$48:$C$147,$C163)&gt;0,SUMPRODUCT(('Rates &amp; Drop Downs INT'!$BS$7:$BS$79=AJ$166)*('Rates &amp; Drop Downs INT'!$BM$7:$BM$79=$C163)*('Rates &amp; Drop Downs INT'!$BR$7:$BR$79)),0),"")</f>
        <v>0</v>
      </c>
      <c r="AK163" s="1393" cm="1">
        <f t="array" ref="AK163">IFERROR(IF(COUNTIFS($C$48:$C$147,$C163)&gt;0,SUMPRODUCT(('Rates &amp; Drop Downs INT'!$BS$7:$BS$79=AK$166)*('Rates &amp; Drop Downs INT'!$BM$7:$BM$79=$C163)*('Rates &amp; Drop Downs INT'!$BR$7:$BR$79)),0),"")</f>
        <v>0</v>
      </c>
      <c r="AL163" s="1393" cm="1">
        <f t="array" ref="AL163">IFERROR(IF(COUNTIFS($C$48:$C$147,$C163)&gt;0,SUMPRODUCT(('Rates &amp; Drop Downs INT'!$BS$7:$BS$79=AL$166)*('Rates &amp; Drop Downs INT'!$BM$7:$BM$79=$C163)*('Rates &amp; Drop Downs INT'!$BR$7:$BR$79)),0),"")</f>
        <v>0</v>
      </c>
      <c r="AM163" s="1393" cm="1">
        <f t="array" ref="AM163">IFERROR(IF(COUNTIFS($C$48:$C$147,$C163)&gt;0,SUMPRODUCT(('Rates &amp; Drop Downs INT'!$BS$7:$BS$79=AM$166)*('Rates &amp; Drop Downs INT'!$BM$7:$BM$79=$C163)*('Rates &amp; Drop Downs INT'!$BR$7:$BR$79)),0),"")</f>
        <v>0</v>
      </c>
      <c r="AN163" s="1393" cm="1">
        <f t="array" ref="AN163">IFERROR(IF(COUNTIFS($C$48:$C$147,$C163)&gt;0,SUMPRODUCT(('Rates &amp; Drop Downs INT'!$BS$7:$BS$79=AN$166)*('Rates &amp; Drop Downs INT'!$BM$7:$BM$79=$C163)*('Rates &amp; Drop Downs INT'!$BR$7:$BR$79)),0),"")</f>
        <v>0</v>
      </c>
      <c r="AO163" s="1393" cm="1">
        <f t="array" ref="AO163">IFERROR(IF(COUNTIFS($C$48:$C$147,$C163)&gt;0,SUMPRODUCT(('Rates &amp; Drop Downs INT'!$BS$7:$BS$79=AO$166)*('Rates &amp; Drop Downs INT'!$BM$7:$BM$79=$C163)*('Rates &amp; Drop Downs INT'!$BR$7:$BR$79)),0),"")</f>
        <v>0</v>
      </c>
      <c r="AP163" s="1393" cm="1">
        <f t="array" ref="AP163">IFERROR(IF(COUNTIFS($C$48:$C$147,$C163)&gt;0,SUMPRODUCT(('Rates &amp; Drop Downs INT'!$BS$7:$BS$79=AP$166)*('Rates &amp; Drop Downs INT'!$BM$7:$BM$79=$C163)*('Rates &amp; Drop Downs INT'!$BR$7:$BR$79)),0),"")</f>
        <v>0</v>
      </c>
      <c r="AQ163" s="1393" cm="1">
        <f t="array" ref="AQ163">IFERROR(IF(COUNTIFS($C$48:$C$147,$C163)&gt;0,SUMPRODUCT(('Rates &amp; Drop Downs INT'!$BS$7:$BS$79=AQ$166)*('Rates &amp; Drop Downs INT'!$BM$7:$BM$79=$C163)*('Rates &amp; Drop Downs INT'!$BR$7:$BR$79)),0),"")</f>
        <v>0</v>
      </c>
      <c r="AR163" s="1393" cm="1">
        <f t="array" ref="AR163">IFERROR(IF(COUNTIFS($C$48:$C$147,$C163)&gt;0,SUMPRODUCT(('Rates &amp; Drop Downs INT'!$BS$7:$BS$79=AR$166)*('Rates &amp; Drop Downs INT'!$BM$7:$BM$79=$C163)*('Rates &amp; Drop Downs INT'!$BR$7:$BR$79)),0),"")</f>
        <v>0</v>
      </c>
      <c r="AS163" s="1393" cm="1">
        <f t="array" ref="AS163">IFERROR(IF(COUNTIFS($C$48:$C$147,$C163)&gt;0,SUMPRODUCT(('Rates &amp; Drop Downs INT'!$BS$7:$BS$79=AS$166)*('Rates &amp; Drop Downs INT'!$BM$7:$BM$79=$C163)*('Rates &amp; Drop Downs INT'!$BR$7:$BR$79)),0),"")</f>
        <v>0</v>
      </c>
      <c r="AT163" s="1393" cm="1">
        <f t="array" ref="AT163">IFERROR(IF(COUNTIFS($C$48:$C$147,$C163)&gt;0,SUMPRODUCT(('Rates &amp; Drop Downs INT'!$BS$7:$BS$79=AT$166)*('Rates &amp; Drop Downs INT'!$BM$7:$BM$79=$C163)*('Rates &amp; Drop Downs INT'!$BR$7:$BR$79)),0),"")</f>
        <v>0</v>
      </c>
      <c r="AU163" s="1393" cm="1">
        <f t="array" ref="AU163">IFERROR(IF(COUNTIFS($C$48:$C$147,$C163)&gt;0,SUMPRODUCT(('Rates &amp; Drop Downs INT'!$BS$7:$BS$79=AU$166)*('Rates &amp; Drop Downs INT'!$BM$7:$BM$79=$C163)*('Rates &amp; Drop Downs INT'!$BR$7:$BR$79)),0),"")</f>
        <v>0</v>
      </c>
      <c r="AV163" s="1393" cm="1">
        <f t="array" ref="AV163">IFERROR(IF(COUNTIFS($C$48:$C$147,$C163)&gt;0,SUMPRODUCT(('Rates &amp; Drop Downs INT'!$BS$7:$BS$79=AV$166)*('Rates &amp; Drop Downs INT'!$BM$7:$BM$79=$C163)*('Rates &amp; Drop Downs INT'!$BR$7:$BR$79)),0),"")</f>
        <v>0</v>
      </c>
      <c r="AW163" s="1393" cm="1">
        <f t="array" ref="AW163">IFERROR(IF(COUNTIFS($C$48:$C$147,$C163)&gt;0,SUMPRODUCT(('Rates &amp; Drop Downs INT'!$BS$7:$BS$79=AW$166)*('Rates &amp; Drop Downs INT'!$BM$7:$BM$79=$C163)*('Rates &amp; Drop Downs INT'!$BR$7:$BR$79)),0),"")</f>
        <v>0</v>
      </c>
      <c r="AX163" s="1393" cm="1">
        <f t="array" ref="AX163">IFERROR(IF(COUNTIFS($C$48:$C$147,$C163)&gt;0,SUMPRODUCT(('Rates &amp; Drop Downs INT'!$BS$7:$BS$79=AX$166)*('Rates &amp; Drop Downs INT'!$BM$7:$BM$79=$C163)*('Rates &amp; Drop Downs INT'!$BR$7:$BR$79)),0),"")</f>
        <v>0</v>
      </c>
      <c r="AY163" s="1393" cm="1">
        <f t="array" ref="AY163">IFERROR(IF(COUNTIFS($C$48:$C$147,$C163)&gt;0,SUMPRODUCT(('Rates &amp; Drop Downs INT'!$BS$7:$BS$79=AY$166)*('Rates &amp; Drop Downs INT'!$BM$7:$BM$79=$C163)*('Rates &amp; Drop Downs INT'!$BR$7:$BR$79)),0),"")</f>
        <v>0</v>
      </c>
      <c r="AZ163" s="1393" cm="1">
        <f t="array" ref="AZ163">IFERROR(IF(COUNTIFS($C$48:$C$147,$C163)&gt;0,SUMPRODUCT(('Rates &amp; Drop Downs INT'!$BS$7:$BS$79=AZ$166)*('Rates &amp; Drop Downs INT'!$BM$7:$BM$79=$C163)*('Rates &amp; Drop Downs INT'!$BR$7:$BR$79)),0),"")</f>
        <v>0</v>
      </c>
      <c r="BA163" s="1393" cm="1">
        <f t="array" ref="BA163">IFERROR(IF(COUNTIFS($C$48:$C$147,$C163)&gt;0,SUMPRODUCT(('Rates &amp; Drop Downs INT'!$BS$7:$BS$79=BA$166)*('Rates &amp; Drop Downs INT'!$BM$7:$BM$79=$C163)*('Rates &amp; Drop Downs INT'!$BR$7:$BR$79)),0),"")</f>
        <v>0</v>
      </c>
      <c r="BB163" s="1393" cm="1">
        <f t="array" ref="BB163">IFERROR(IF(COUNTIFS($C$48:$C$147,$C163)&gt;0,SUMPRODUCT(('Rates &amp; Drop Downs INT'!$BS$7:$BS$79=BB$166)*('Rates &amp; Drop Downs INT'!$BM$7:$BM$79=$C163)*('Rates &amp; Drop Downs INT'!$BR$7:$BR$79)),0),"")</f>
        <v>0</v>
      </c>
      <c r="BC163" s="1393" cm="1">
        <f t="array" ref="BC163">IFERROR(IF(COUNTIFS($C$48:$C$147,$C163)&gt;0,SUMPRODUCT(('Rates &amp; Drop Downs INT'!$BS$7:$BS$79=BC$166)*('Rates &amp; Drop Downs INT'!$BM$7:$BM$79=$C163)*('Rates &amp; Drop Downs INT'!$BR$7:$BR$79)),0),"")</f>
        <v>0</v>
      </c>
      <c r="BD163" s="1393" cm="1">
        <f t="array" ref="BD163">IFERROR(IF(COUNTIFS($C$48:$C$147,$C163)&gt;0,SUMPRODUCT(('Rates &amp; Drop Downs INT'!$BS$7:$BS$79=BD$166)*('Rates &amp; Drop Downs INT'!$BM$7:$BM$79=$C163)*('Rates &amp; Drop Downs INT'!$BR$7:$BR$79)),0),"")</f>
        <v>0</v>
      </c>
      <c r="BE163" s="1393" cm="1">
        <f t="array" ref="BE163">IFERROR(IF(COUNTIFS($C$48:$C$147,$C163)&gt;0,SUMPRODUCT(('Rates &amp; Drop Downs INT'!$BS$7:$BS$79=BE$166)*('Rates &amp; Drop Downs INT'!$BM$7:$BM$79=$C163)*('Rates &amp; Drop Downs INT'!$BR$7:$BR$79)),0),"")</f>
        <v>0</v>
      </c>
      <c r="BF163" s="1393" cm="1">
        <f t="array" ref="BF163">IFERROR(IF(COUNTIFS($C$48:$C$147,$C163)&gt;0,SUMPRODUCT(('Rates &amp; Drop Downs INT'!$BS$7:$BS$79=BF$166)*('Rates &amp; Drop Downs INT'!$BM$7:$BM$79=$C163)*('Rates &amp; Drop Downs INT'!$BR$7:$BR$79)),0),"")</f>
        <v>0</v>
      </c>
      <c r="BG163" s="1393" cm="1">
        <f t="array" ref="BG163">IFERROR(IF(COUNTIFS($C$48:$C$147,$C163)&gt;0,SUMPRODUCT(('Rates &amp; Drop Downs INT'!$BS$7:$BS$79=BG$166)*('Rates &amp; Drop Downs INT'!$BM$7:$BM$79=$C163)*('Rates &amp; Drop Downs INT'!$BR$7:$BR$79)),0),"")</f>
        <v>0</v>
      </c>
      <c r="BH163" s="1393" cm="1">
        <f t="array" ref="BH163">IFERROR(IF(COUNTIFS($C$48:$C$147,$C163)&gt;0,SUMPRODUCT(('Rates &amp; Drop Downs INT'!$BS$7:$BS$79=BH$166)*('Rates &amp; Drop Downs INT'!$BM$7:$BM$79=$C163)*('Rates &amp; Drop Downs INT'!$BR$7:$BR$79)),0),"")</f>
        <v>0</v>
      </c>
      <c r="BI163" s="1393" cm="1">
        <f t="array" ref="BI163">IFERROR(IF(COUNTIFS($C$48:$C$147,$C163)&gt;0,SUMPRODUCT(('Rates &amp; Drop Downs INT'!$BS$7:$BS$79=BI$166)*('Rates &amp; Drop Downs INT'!$BM$7:$BM$79=$C163)*('Rates &amp; Drop Downs INT'!$BR$7:$BR$79)),0),"")</f>
        <v>0</v>
      </c>
      <c r="BJ163" s="1393" cm="1">
        <f t="array" ref="BJ163">IFERROR(IF(COUNTIFS($C$48:$C$147,$C163)&gt;0,SUMPRODUCT(('Rates &amp; Drop Downs INT'!$BS$7:$BS$79=BJ$166)*('Rates &amp; Drop Downs INT'!$BM$7:$BM$79=$C163)*('Rates &amp; Drop Downs INT'!$BR$7:$BR$79)),0),"")</f>
        <v>0</v>
      </c>
      <c r="BK163" s="1393" cm="1">
        <f t="array" ref="BK163">IFERROR(IF(COUNTIFS($C$48:$C$147,$C163)&gt;0,SUMPRODUCT(('Rates &amp; Drop Downs INT'!$BS$7:$BS$79=BK$166)*('Rates &amp; Drop Downs INT'!$BM$7:$BM$79=$C163)*('Rates &amp; Drop Downs INT'!$BR$7:$BR$79)),0),"")</f>
        <v>0</v>
      </c>
      <c r="BL163" s="1393" cm="1">
        <f t="array" ref="BL163">IFERROR(IF(COUNTIFS($C$48:$C$147,$C163)&gt;0,SUMPRODUCT(('Rates &amp; Drop Downs INT'!$BS$7:$BS$79=BL$166)*('Rates &amp; Drop Downs INT'!$BM$7:$BM$79=$C163)*('Rates &amp; Drop Downs INT'!$BR$7:$BR$79)),0),"")</f>
        <v>0</v>
      </c>
      <c r="BM163" s="1394" cm="1">
        <f t="array" ref="BM163">IFERROR(IF(COUNTIFS($C$48:$C$147,$C163)&gt;0,SUMPRODUCT(('Rates &amp; Drop Downs INT'!$BS$7:$BS$79=BM$166)*('Rates &amp; Drop Downs INT'!$BM$7:$BM$79=$C163)*('Rates &amp; Drop Downs INT'!$BR$7:$BR$79)),0),"")</f>
        <v>0</v>
      </c>
      <c r="BN163" s="1395" cm="1">
        <f t="array" ref="BN163">IFERROR(IF(COUNTIFS($C$48:$C$147,$C163)&gt;0,SUMPRODUCT(('Rates &amp; Drop Downs INT'!$BS$7:$BS$79=BN$166)*('Rates &amp; Drop Downs INT'!$BM$7:$BM$79=$C163)*('Rates &amp; Drop Downs INT'!$BR$7:$BR$79)),0),"")</f>
        <v>0</v>
      </c>
      <c r="BO163" s="1395" cm="1">
        <f t="array" ref="BO163">IFERROR(IF(COUNTIFS($C$48:$C$147,$C163)&gt;0,SUMPRODUCT(('Rates &amp; Drop Downs INT'!$BS$7:$BS$79=BO$166)*('Rates &amp; Drop Downs INT'!$BM$7:$BM$79=$C163)*('Rates &amp; Drop Downs INT'!$BR$7:$BR$79)),0),"")</f>
        <v>0</v>
      </c>
      <c r="BP163" s="413"/>
      <c r="BQ163" s="413"/>
      <c r="BR163" s="413"/>
      <c r="BS163" s="413"/>
      <c r="BT163" s="413"/>
      <c r="BU163" s="413"/>
      <c r="BV163" s="413"/>
      <c r="BW163" s="413"/>
      <c r="BX163" s="413"/>
      <c r="BY163" s="413"/>
      <c r="BZ163" s="413"/>
      <c r="CA163" s="413"/>
      <c r="CB163" s="413"/>
      <c r="CC163" s="413"/>
      <c r="CD163" s="413"/>
      <c r="CE163" s="413"/>
      <c r="CF163" s="413"/>
      <c r="CG163" s="413"/>
      <c r="CH163" s="413"/>
      <c r="CI163" s="413"/>
      <c r="CJ163" s="413"/>
      <c r="CK163" s="413"/>
      <c r="CL163" s="413"/>
      <c r="CM163" s="413"/>
      <c r="CN163" s="413"/>
      <c r="CO163" s="413"/>
      <c r="CP163" s="413"/>
      <c r="CQ163" s="413"/>
    </row>
    <row r="164" spans="3:95" ht="15" customHeight="1" x14ac:dyDescent="0.25">
      <c r="C164" s="1663" t="s">
        <v>283</v>
      </c>
      <c r="D164" s="1663"/>
      <c r="E164" s="1393"/>
      <c r="F164" s="1393" cm="1">
        <f t="array" ref="F164">IFERROR(IF(COUNTIFS($C$48:$C$147,$C164)&gt;0,SUMPRODUCT(('Rates &amp; Drop Downs INT'!$BS$7:$BS$79=F$166)*('Rates &amp; Drop Downs INT'!$BM$7:$BM$79=$C164)*('Rates &amp; Drop Downs INT'!$BR$7:$BR$79)),0),"")</f>
        <v>0</v>
      </c>
      <c r="G164" s="1393" cm="1">
        <f t="array" ref="G164">IFERROR(IF(COUNTIFS($C$48:$C$147,$C164)&gt;0,SUMPRODUCT(('Rates &amp; Drop Downs INT'!$BS$7:$BS$79=G$166)*('Rates &amp; Drop Downs INT'!$BM$7:$BM$79=$C164)*('Rates &amp; Drop Downs INT'!$BR$7:$BR$79)),0),"")</f>
        <v>0</v>
      </c>
      <c r="H164" s="1393" cm="1">
        <f t="array" ref="H164">IFERROR(IF(COUNTIFS($C$48:$C$147,$C164)&gt;0,SUMPRODUCT(('Rates &amp; Drop Downs INT'!$BS$7:$BS$79=H$166)*('Rates &amp; Drop Downs INT'!$BM$7:$BM$79=$C164)*('Rates &amp; Drop Downs INT'!$BR$7:$BR$79)),0),"")</f>
        <v>0</v>
      </c>
      <c r="I164" s="1393" cm="1">
        <f t="array" ref="I164">IFERROR(IF(COUNTIFS($C$48:$C$147,$C164)&gt;0,SUMPRODUCT(('Rates &amp; Drop Downs INT'!$BS$7:$BS$79=I$166)*('Rates &amp; Drop Downs INT'!$BM$7:$BM$79=$C164)*('Rates &amp; Drop Downs INT'!$BR$7:$BR$79)),0),"")</f>
        <v>0</v>
      </c>
      <c r="J164" s="1393" cm="1">
        <f t="array" ref="J164">IFERROR(IF(COUNTIFS($C$48:$C$147,$C164)&gt;0,SUMPRODUCT(('Rates &amp; Drop Downs INT'!$BS$7:$BS$79=J$166)*('Rates &amp; Drop Downs INT'!$BM$7:$BM$79=$C164)*('Rates &amp; Drop Downs INT'!$BR$7:$BR$79)),0),"")</f>
        <v>0</v>
      </c>
      <c r="K164" s="1393" cm="1">
        <f t="array" ref="K164">IFERROR(IF(COUNTIFS($C$48:$C$147,$C164)&gt;0,SUMPRODUCT(('Rates &amp; Drop Downs INT'!$BS$7:$BS$79=K$166)*('Rates &amp; Drop Downs INT'!$BM$7:$BM$79=$C164)*('Rates &amp; Drop Downs INT'!$BR$7:$BR$79)),0),"")</f>
        <v>0</v>
      </c>
      <c r="L164" s="1393" cm="1">
        <f t="array" ref="L164">IFERROR(IF(COUNTIFS($C$48:$C$147,$C164)&gt;0,SUMPRODUCT(('Rates &amp; Drop Downs INT'!$BS$7:$BS$79=L$166)*('Rates &amp; Drop Downs INT'!$BM$7:$BM$79=$C164)*('Rates &amp; Drop Downs INT'!$BR$7:$BR$79)),0),"")</f>
        <v>0</v>
      </c>
      <c r="M164" s="1393" cm="1">
        <f t="array" ref="M164">IFERROR(IF(COUNTIFS($C$48:$C$147,$C164)&gt;0,SUMPRODUCT(('Rates &amp; Drop Downs INT'!$BS$7:$BS$79=M$166)*('Rates &amp; Drop Downs INT'!$BM$7:$BM$79=$C164)*('Rates &amp; Drop Downs INT'!$BR$7:$BR$79)),0),"")</f>
        <v>0</v>
      </c>
      <c r="N164" s="1393" cm="1">
        <f t="array" ref="N164">IFERROR(IF(COUNTIFS($C$48:$C$147,$C164)&gt;0,SUMPRODUCT(('Rates &amp; Drop Downs INT'!$BS$7:$BS$79=N$166)*('Rates &amp; Drop Downs INT'!$BM$7:$BM$79=$C164)*('Rates &amp; Drop Downs INT'!$BR$7:$BR$79)),0),"")</f>
        <v>0</v>
      </c>
      <c r="O164" s="1393" cm="1">
        <f t="array" ref="O164">IFERROR(IF(COUNTIFS($C$48:$C$147,$C164)&gt;0,SUMPRODUCT(('Rates &amp; Drop Downs INT'!$BS$7:$BS$79=O$166)*('Rates &amp; Drop Downs INT'!$BM$7:$BM$79=$C164)*('Rates &amp; Drop Downs INT'!$BR$7:$BR$79)),0),"")</f>
        <v>0</v>
      </c>
      <c r="P164" s="1393" cm="1">
        <f t="array" ref="P164">IFERROR(IF(COUNTIFS($C$48:$C$147,$C164)&gt;0,SUMPRODUCT(('Rates &amp; Drop Downs INT'!$BS$7:$BS$79=P$166)*('Rates &amp; Drop Downs INT'!$BM$7:$BM$79=$C164)*('Rates &amp; Drop Downs INT'!$BR$7:$BR$79)),0),"")</f>
        <v>0</v>
      </c>
      <c r="Q164" s="1393" cm="1">
        <f t="array" ref="Q164">IFERROR(IF(COUNTIFS($C$48:$C$147,$C164)&gt;0,SUMPRODUCT(('Rates &amp; Drop Downs INT'!$BS$7:$BS$79=Q$166)*('Rates &amp; Drop Downs INT'!$BM$7:$BM$79=$C164)*('Rates &amp; Drop Downs INT'!$BR$7:$BR$79)),0),"")</f>
        <v>0</v>
      </c>
      <c r="R164" s="1393" cm="1">
        <f t="array" ref="R164">IFERROR(IF(COUNTIFS($C$48:$C$147,$C164)&gt;0,SUMPRODUCT(('Rates &amp; Drop Downs INT'!$BS$7:$BS$79=R$166)*('Rates &amp; Drop Downs INT'!$BM$7:$BM$79=$C164)*('Rates &amp; Drop Downs INT'!$BR$7:$BR$79)),0),"")</f>
        <v>0</v>
      </c>
      <c r="S164" s="1393" cm="1">
        <f t="array" ref="S164">IFERROR(IF(COUNTIFS($C$48:$C$147,$C164)&gt;0,SUMPRODUCT(('Rates &amp; Drop Downs INT'!$BS$7:$BS$79=S$166)*('Rates &amp; Drop Downs INT'!$BM$7:$BM$79=$C164)*('Rates &amp; Drop Downs INT'!$BR$7:$BR$79)),0),"")</f>
        <v>0</v>
      </c>
      <c r="T164" s="1393" cm="1">
        <f t="array" ref="T164">IFERROR(IF(COUNTIFS($C$48:$C$147,$C164)&gt;0,SUMPRODUCT(('Rates &amp; Drop Downs INT'!$BS$7:$BS$79=T$166)*('Rates &amp; Drop Downs INT'!$BM$7:$BM$79=$C164)*('Rates &amp; Drop Downs INT'!$BR$7:$BR$79)),0),"")</f>
        <v>0</v>
      </c>
      <c r="U164" s="1393" cm="1">
        <f t="array" ref="U164">IFERROR(IF(COUNTIFS($C$48:$C$147,$C164)&gt;0,SUMPRODUCT(('Rates &amp; Drop Downs INT'!$BS$7:$BS$79=U$166)*('Rates &amp; Drop Downs INT'!$BM$7:$BM$79=$C164)*('Rates &amp; Drop Downs INT'!$BR$7:$BR$79)),0),"")</f>
        <v>0</v>
      </c>
      <c r="V164" s="1393" cm="1">
        <f t="array" ref="V164">IFERROR(IF(COUNTIFS($C$48:$C$147,$C164)&gt;0,SUMPRODUCT(('Rates &amp; Drop Downs INT'!$BS$7:$BS$79=V$166)*('Rates &amp; Drop Downs INT'!$BM$7:$BM$79=$C164)*('Rates &amp; Drop Downs INT'!$BR$7:$BR$79)),0),"")</f>
        <v>0</v>
      </c>
      <c r="W164" s="1393" cm="1">
        <f t="array" ref="W164">IFERROR(IF(COUNTIFS($C$48:$C$147,$C164)&gt;0,SUMPRODUCT(('Rates &amp; Drop Downs INT'!$BS$7:$BS$79=W$166)*('Rates &amp; Drop Downs INT'!$BM$7:$BM$79=$C164)*('Rates &amp; Drop Downs INT'!$BR$7:$BR$79)),0),"")</f>
        <v>0</v>
      </c>
      <c r="X164" s="1393"/>
      <c r="Y164" s="1393" cm="1">
        <f t="array" ref="Y164">IFERROR(IF(COUNTIFS($C$48:$C$147,$C164)&gt;0,SUMPRODUCT(('Rates &amp; Drop Downs INT'!$BS$7:$BS$79=Y$166)*('Rates &amp; Drop Downs INT'!$BM$7:$BM$79=$C164)*('Rates &amp; Drop Downs INT'!$BR$7:$BR$79)),0),"")</f>
        <v>0</v>
      </c>
      <c r="Z164" s="1393" cm="1">
        <f t="array" ref="Z164">IFERROR(IF(COUNTIFS($C$48:$C$147,$C164)&gt;0,SUMPRODUCT(('Rates &amp; Drop Downs INT'!$BS$7:$BS$79=Z$166)*('Rates &amp; Drop Downs INT'!$BM$7:$BM$79=$C164)*('Rates &amp; Drop Downs INT'!$BR$7:$BR$79)),0),"")</f>
        <v>0</v>
      </c>
      <c r="AA164" s="1393" cm="1">
        <f t="array" ref="AA164">IFERROR(IF(COUNTIFS($C$48:$C$147,$C164)&gt;0,SUMPRODUCT(('Rates &amp; Drop Downs INT'!$BS$7:$BS$79=AA$166)*('Rates &amp; Drop Downs INT'!$BM$7:$BM$79=$C164)*('Rates &amp; Drop Downs INT'!$BR$7:$BR$79)),0),"")</f>
        <v>0</v>
      </c>
      <c r="AB164" s="1393" cm="1">
        <f t="array" ref="AB164">IFERROR(IF(COUNTIFS($C$48:$C$147,$C164)&gt;0,SUMPRODUCT(('Rates &amp; Drop Downs INT'!$BS$7:$BS$79=AB$166)*('Rates &amp; Drop Downs INT'!$BM$7:$BM$79=$C164)*('Rates &amp; Drop Downs INT'!$BR$7:$BR$79)),0),"")</f>
        <v>0</v>
      </c>
      <c r="AC164" s="1393"/>
      <c r="AD164" s="1393"/>
      <c r="AE164" s="1393"/>
      <c r="AF164" s="1393"/>
      <c r="AG164" s="1393" cm="1">
        <f t="array" ref="AG164">IFERROR(IF(COUNTIFS($C$48:$C$147,$C164)&gt;0,SUMPRODUCT(('Rates &amp; Drop Downs INT'!$BS$7:$BS$79=AG$166)*('Rates &amp; Drop Downs INT'!$BM$7:$BM$79=$C164)*('Rates &amp; Drop Downs INT'!$BR$7:$BR$79)),0),"")</f>
        <v>0</v>
      </c>
      <c r="AH164" s="1393" cm="1">
        <f t="array" ref="AH164">IFERROR(IF(COUNTIFS($C$48:$C$147,$C164)&gt;0,SUMPRODUCT(('Rates &amp; Drop Downs INT'!$BS$7:$BS$79=AH$166)*('Rates &amp; Drop Downs INT'!$BM$7:$BM$79=$C164)*('Rates &amp; Drop Downs INT'!$BR$7:$BR$79)),0),"")</f>
        <v>0</v>
      </c>
      <c r="AI164" s="1393" cm="1">
        <f t="array" ref="AI164">IFERROR(IF(COUNTIFS($C$48:$C$147,$C164)&gt;0,SUMPRODUCT(('Rates &amp; Drop Downs INT'!$BS$7:$BS$79=AI$166)*('Rates &amp; Drop Downs INT'!$BM$7:$BM$79=$C164)*('Rates &amp; Drop Downs INT'!$BR$7:$BR$79)),0),"")</f>
        <v>0</v>
      </c>
      <c r="AJ164" s="1393" cm="1">
        <f t="array" ref="AJ164">IFERROR(IF(COUNTIFS($C$48:$C$147,$C164)&gt;0,SUMPRODUCT(('Rates &amp; Drop Downs INT'!$BS$7:$BS$79=AJ$166)*('Rates &amp; Drop Downs INT'!$BM$7:$BM$79=$C164)*('Rates &amp; Drop Downs INT'!$BR$7:$BR$79)),0),"")</f>
        <v>0</v>
      </c>
      <c r="AK164" s="1393" cm="1">
        <f t="array" ref="AK164">IFERROR(IF(COUNTIFS($C$48:$C$147,$C164)&gt;0,SUMPRODUCT(('Rates &amp; Drop Downs INT'!$BS$7:$BS$79=AK$166)*('Rates &amp; Drop Downs INT'!$BM$7:$BM$79=$C164)*('Rates &amp; Drop Downs INT'!$BR$7:$BR$79)),0),"")</f>
        <v>0</v>
      </c>
      <c r="AL164" s="1393" cm="1">
        <f t="array" ref="AL164">IFERROR(IF(COUNTIFS($C$48:$C$147,$C164)&gt;0,SUMPRODUCT(('Rates &amp; Drop Downs INT'!$BS$7:$BS$79=AL$166)*('Rates &amp; Drop Downs INT'!$BM$7:$BM$79=$C164)*('Rates &amp; Drop Downs INT'!$BR$7:$BR$79)),0),"")</f>
        <v>0</v>
      </c>
      <c r="AM164" s="1393" cm="1">
        <f t="array" ref="AM164">IFERROR(IF(COUNTIFS($C$48:$C$147,$C164)&gt;0,SUMPRODUCT(('Rates &amp; Drop Downs INT'!$BS$7:$BS$79=AM$166)*('Rates &amp; Drop Downs INT'!$BM$7:$BM$79=$C164)*('Rates &amp; Drop Downs INT'!$BR$7:$BR$79)),0),"")</f>
        <v>0</v>
      </c>
      <c r="AN164" s="1393" cm="1">
        <f t="array" ref="AN164">IFERROR(IF(COUNTIFS($C$48:$C$147,$C164)&gt;0,SUMPRODUCT(('Rates &amp; Drop Downs INT'!$BS$7:$BS$79=AN$166)*('Rates &amp; Drop Downs INT'!$BM$7:$BM$79=$C164)*('Rates &amp; Drop Downs INT'!$BR$7:$BR$79)),0),"")</f>
        <v>0</v>
      </c>
      <c r="AO164" s="1393" cm="1">
        <f t="array" ref="AO164">IFERROR(IF(COUNTIFS($C$48:$C$147,$C164)&gt;0,SUMPRODUCT(('Rates &amp; Drop Downs INT'!$BS$7:$BS$79=AO$166)*('Rates &amp; Drop Downs INT'!$BM$7:$BM$79=$C164)*('Rates &amp; Drop Downs INT'!$BR$7:$BR$79)),0),"")</f>
        <v>0</v>
      </c>
      <c r="AP164" s="1393" cm="1">
        <f t="array" ref="AP164">IFERROR(IF(COUNTIFS($C$48:$C$147,$C164)&gt;0,SUMPRODUCT(('Rates &amp; Drop Downs INT'!$BS$7:$BS$79=AP$166)*('Rates &amp; Drop Downs INT'!$BM$7:$BM$79=$C164)*('Rates &amp; Drop Downs INT'!$BR$7:$BR$79)),0),"")</f>
        <v>0</v>
      </c>
      <c r="AQ164" s="1393" cm="1">
        <f t="array" ref="AQ164">IFERROR(IF(COUNTIFS($C$48:$C$147,$C164)&gt;0,SUMPRODUCT(('Rates &amp; Drop Downs INT'!$BS$7:$BS$79=AQ$166)*('Rates &amp; Drop Downs INT'!$BM$7:$BM$79=$C164)*('Rates &amp; Drop Downs INT'!$BR$7:$BR$79)),0),"")</f>
        <v>0</v>
      </c>
      <c r="AR164" s="1393" cm="1">
        <f t="array" ref="AR164">IFERROR(IF(COUNTIFS($C$48:$C$147,$C164)&gt;0,SUMPRODUCT(('Rates &amp; Drop Downs INT'!$BS$7:$BS$79=AR$166)*('Rates &amp; Drop Downs INT'!$BM$7:$BM$79=$C164)*('Rates &amp; Drop Downs INT'!$BR$7:$BR$79)),0),"")</f>
        <v>0</v>
      </c>
      <c r="AS164" s="1393" cm="1">
        <f t="array" ref="AS164">IFERROR(IF(COUNTIFS($C$48:$C$147,$C164)&gt;0,SUMPRODUCT(('Rates &amp; Drop Downs INT'!$BS$7:$BS$79=AS$166)*('Rates &amp; Drop Downs INT'!$BM$7:$BM$79=$C164)*('Rates &amp; Drop Downs INT'!$BR$7:$BR$79)),0),"")</f>
        <v>0</v>
      </c>
      <c r="AT164" s="1393" cm="1">
        <f t="array" ref="AT164">IFERROR(IF(COUNTIFS($C$48:$C$147,$C164)&gt;0,SUMPRODUCT(('Rates &amp; Drop Downs INT'!$BS$7:$BS$79=AT$166)*('Rates &amp; Drop Downs INT'!$BM$7:$BM$79=$C164)*('Rates &amp; Drop Downs INT'!$BR$7:$BR$79)),0),"")</f>
        <v>0</v>
      </c>
      <c r="AU164" s="1393" cm="1">
        <f t="array" ref="AU164">IFERROR(IF(COUNTIFS($C$48:$C$147,$C164)&gt;0,SUMPRODUCT(('Rates &amp; Drop Downs INT'!$BS$7:$BS$79=AU$166)*('Rates &amp; Drop Downs INT'!$BM$7:$BM$79=$C164)*('Rates &amp; Drop Downs INT'!$BR$7:$BR$79)),0),"")</f>
        <v>0</v>
      </c>
      <c r="AV164" s="1393" cm="1">
        <f t="array" ref="AV164">IFERROR(IF(COUNTIFS($C$48:$C$147,$C164)&gt;0,SUMPRODUCT(('Rates &amp; Drop Downs INT'!$BS$7:$BS$79=AV$166)*('Rates &amp; Drop Downs INT'!$BM$7:$BM$79=$C164)*('Rates &amp; Drop Downs INT'!$BR$7:$BR$79)),0),"")</f>
        <v>0</v>
      </c>
      <c r="AW164" s="1393" cm="1">
        <f t="array" ref="AW164">IFERROR(IF(COUNTIFS($C$48:$C$147,$C164)&gt;0,SUMPRODUCT(('Rates &amp; Drop Downs INT'!$BS$7:$BS$79=AW$166)*('Rates &amp; Drop Downs INT'!$BM$7:$BM$79=$C164)*('Rates &amp; Drop Downs INT'!$BR$7:$BR$79)),0),"")</f>
        <v>0</v>
      </c>
      <c r="AX164" s="1393" cm="1">
        <f t="array" ref="AX164">IFERROR(IF(COUNTIFS($C$48:$C$147,$C164)&gt;0,SUMPRODUCT(('Rates &amp; Drop Downs INT'!$BS$7:$BS$79=AX$166)*('Rates &amp; Drop Downs INT'!$BM$7:$BM$79=$C164)*('Rates &amp; Drop Downs INT'!$BR$7:$BR$79)),0),"")</f>
        <v>0</v>
      </c>
      <c r="AY164" s="1393" cm="1">
        <f t="array" ref="AY164">IFERROR(IF(COUNTIFS($C$48:$C$147,$C164)&gt;0,SUMPRODUCT(('Rates &amp; Drop Downs INT'!$BS$7:$BS$79=AY$166)*('Rates &amp; Drop Downs INT'!$BM$7:$BM$79=$C164)*('Rates &amp; Drop Downs INT'!$BR$7:$BR$79)),0),"")</f>
        <v>0</v>
      </c>
      <c r="AZ164" s="1393" cm="1">
        <f t="array" ref="AZ164">IFERROR(IF(COUNTIFS($C$48:$C$147,$C164)&gt;0,SUMPRODUCT(('Rates &amp; Drop Downs INT'!$BS$7:$BS$79=AZ$166)*('Rates &amp; Drop Downs INT'!$BM$7:$BM$79=$C164)*('Rates &amp; Drop Downs INT'!$BR$7:$BR$79)),0),"")</f>
        <v>0</v>
      </c>
      <c r="BA164" s="1393" cm="1">
        <f t="array" ref="BA164">IFERROR(IF(COUNTIFS($C$48:$C$147,$C164)&gt;0,SUMPRODUCT(('Rates &amp; Drop Downs INT'!$BS$7:$BS$79=BA$166)*('Rates &amp; Drop Downs INT'!$BM$7:$BM$79=$C164)*('Rates &amp; Drop Downs INT'!$BR$7:$BR$79)),0),"")</f>
        <v>0</v>
      </c>
      <c r="BB164" s="1393" cm="1">
        <f t="array" ref="BB164">IFERROR(IF(COUNTIFS($C$48:$C$147,$C164)&gt;0,SUMPRODUCT(('Rates &amp; Drop Downs INT'!$BS$7:$BS$79=BB$166)*('Rates &amp; Drop Downs INT'!$BM$7:$BM$79=$C164)*('Rates &amp; Drop Downs INT'!$BR$7:$BR$79)),0),"")</f>
        <v>0</v>
      </c>
      <c r="BC164" s="1393" cm="1">
        <f t="array" ref="BC164">IFERROR(IF(COUNTIFS($C$48:$C$147,$C164)&gt;0,SUMPRODUCT(('Rates &amp; Drop Downs INT'!$BS$7:$BS$79=BC$166)*('Rates &amp; Drop Downs INT'!$BM$7:$BM$79=$C164)*('Rates &amp; Drop Downs INT'!$BR$7:$BR$79)),0),"")</f>
        <v>0</v>
      </c>
      <c r="BD164" s="1393" cm="1">
        <f t="array" ref="BD164">IFERROR(IF(COUNTIFS($C$48:$C$147,$C164)&gt;0,SUMPRODUCT(('Rates &amp; Drop Downs INT'!$BS$7:$BS$79=BD$166)*('Rates &amp; Drop Downs INT'!$BM$7:$BM$79=$C164)*('Rates &amp; Drop Downs INT'!$BR$7:$BR$79)),0),"")</f>
        <v>0</v>
      </c>
      <c r="BE164" s="1393" cm="1">
        <f t="array" ref="BE164">IFERROR(IF(COUNTIFS($C$48:$C$147,$C164)&gt;0,SUMPRODUCT(('Rates &amp; Drop Downs INT'!$BS$7:$BS$79=BE$166)*('Rates &amp; Drop Downs INT'!$BM$7:$BM$79=$C164)*('Rates &amp; Drop Downs INT'!$BR$7:$BR$79)),0),"")</f>
        <v>0</v>
      </c>
      <c r="BF164" s="1393" cm="1">
        <f t="array" ref="BF164">IFERROR(IF(COUNTIFS($C$48:$C$147,$C164)&gt;0,SUMPRODUCT(('Rates &amp; Drop Downs INT'!$BS$7:$BS$79=BF$166)*('Rates &amp; Drop Downs INT'!$BM$7:$BM$79=$C164)*('Rates &amp; Drop Downs INT'!$BR$7:$BR$79)),0),"")</f>
        <v>0</v>
      </c>
      <c r="BG164" s="1393" cm="1">
        <f t="array" ref="BG164">IFERROR(IF(COUNTIFS($C$48:$C$147,$C164)&gt;0,SUMPRODUCT(('Rates &amp; Drop Downs INT'!$BS$7:$BS$79=BG$166)*('Rates &amp; Drop Downs INT'!$BM$7:$BM$79=$C164)*('Rates &amp; Drop Downs INT'!$BR$7:$BR$79)),0),"")</f>
        <v>0</v>
      </c>
      <c r="BH164" s="1393" cm="1">
        <f t="array" ref="BH164">IFERROR(IF(COUNTIFS($C$48:$C$147,$C164)&gt;0,SUMPRODUCT(('Rates &amp; Drop Downs INT'!$BS$7:$BS$79=BH$166)*('Rates &amp; Drop Downs INT'!$BM$7:$BM$79=$C164)*('Rates &amp; Drop Downs INT'!$BR$7:$BR$79)),0),"")</f>
        <v>0</v>
      </c>
      <c r="BI164" s="1393" cm="1">
        <f t="array" ref="BI164">IFERROR(IF(COUNTIFS($C$48:$C$147,$C164)&gt;0,SUMPRODUCT(('Rates &amp; Drop Downs INT'!$BS$7:$BS$79=BI$166)*('Rates &amp; Drop Downs INT'!$BM$7:$BM$79=$C164)*('Rates &amp; Drop Downs INT'!$BR$7:$BR$79)),0),"")</f>
        <v>0</v>
      </c>
      <c r="BJ164" s="1393" cm="1">
        <f t="array" ref="BJ164">IFERROR(IF(COUNTIFS($C$48:$C$147,$C164)&gt;0,SUMPRODUCT(('Rates &amp; Drop Downs INT'!$BS$7:$BS$79=BJ$166)*('Rates &amp; Drop Downs INT'!$BM$7:$BM$79=$C164)*('Rates &amp; Drop Downs INT'!$BR$7:$BR$79)),0),"")</f>
        <v>0</v>
      </c>
      <c r="BK164" s="1393" cm="1">
        <f t="array" ref="BK164">IFERROR(IF(COUNTIFS($C$48:$C$147,$C164)&gt;0,SUMPRODUCT(('Rates &amp; Drop Downs INT'!$BS$7:$BS$79=BK$166)*('Rates &amp; Drop Downs INT'!$BM$7:$BM$79=$C164)*('Rates &amp; Drop Downs INT'!$BR$7:$BR$79)),0),"")</f>
        <v>0</v>
      </c>
      <c r="BL164" s="1393" cm="1">
        <f t="array" ref="BL164">IFERROR(IF(COUNTIFS($C$48:$C$147,$C164)&gt;0,SUMPRODUCT(('Rates &amp; Drop Downs INT'!$BS$7:$BS$79=BL$166)*('Rates &amp; Drop Downs INT'!$BM$7:$BM$79=$C164)*('Rates &amp; Drop Downs INT'!$BR$7:$BR$79)),0),"")</f>
        <v>0</v>
      </c>
      <c r="BM164" s="1394" cm="1">
        <f t="array" ref="BM164">IFERROR(IF(COUNTIFS($C$48:$C$147,$C164)&gt;0,SUMPRODUCT(('Rates &amp; Drop Downs INT'!$BS$7:$BS$79=BM$166)*('Rates &amp; Drop Downs INT'!$BM$7:$BM$79=$C164)*('Rates &amp; Drop Downs INT'!$BR$7:$BR$79)),0),"")</f>
        <v>0</v>
      </c>
      <c r="BN164" s="1395" cm="1">
        <f t="array" ref="BN164">IFERROR(IF(COUNTIFS($C$48:$C$147,$C164)&gt;0,SUMPRODUCT(('Rates &amp; Drop Downs INT'!$BS$7:$BS$79=BN$166)*('Rates &amp; Drop Downs INT'!$BM$7:$BM$79=$C164)*('Rates &amp; Drop Downs INT'!$BR$7:$BR$79)),0),"")</f>
        <v>0</v>
      </c>
      <c r="BO164" s="1395" cm="1">
        <f t="array" ref="BO164">IFERROR(IF(COUNTIFS($C$48:$C$147,$C164)&gt;0,SUMPRODUCT(('Rates &amp; Drop Downs INT'!$BS$7:$BS$79=BO$166)*('Rates &amp; Drop Downs INT'!$BM$7:$BM$79=$C164)*('Rates &amp; Drop Downs INT'!$BR$7:$BR$79)),0),"")</f>
        <v>0</v>
      </c>
      <c r="BP164" s="413"/>
      <c r="BQ164" s="413"/>
      <c r="BR164" s="413"/>
      <c r="BS164" s="413"/>
      <c r="BT164" s="413"/>
      <c r="BU164" s="413"/>
      <c r="BV164" s="413"/>
      <c r="BW164" s="413"/>
      <c r="BX164" s="413"/>
      <c r="BY164" s="413"/>
      <c r="BZ164" s="413"/>
      <c r="CA164" s="413"/>
      <c r="CB164" s="413"/>
      <c r="CC164" s="413"/>
      <c r="CD164" s="413"/>
      <c r="CE164" s="413"/>
      <c r="CF164" s="413"/>
      <c r="CG164" s="413"/>
      <c r="CH164" s="413"/>
      <c r="CI164" s="413"/>
      <c r="CJ164" s="413"/>
      <c r="CK164" s="413"/>
      <c r="CL164" s="413"/>
      <c r="CM164" s="413"/>
      <c r="CN164" s="413"/>
      <c r="CO164" s="413"/>
      <c r="CP164" s="413"/>
      <c r="CQ164" s="413"/>
    </row>
    <row r="165" spans="3:95" x14ac:dyDescent="0.25">
      <c r="C165" s="1663" t="s">
        <v>294</v>
      </c>
      <c r="D165" s="1663"/>
      <c r="E165" s="1393"/>
      <c r="F165" s="1393" cm="1">
        <f t="array" ref="F165">IFERROR(IF(COUNTIFS($C$48:$C$147,$C165)&gt;0,SUMPRODUCT(('Rates &amp; Drop Downs INT'!$BS$7:$BS$79=F$166)*('Rates &amp; Drop Downs INT'!$BM$7:$BM$79=$C165)*('Rates &amp; Drop Downs INT'!$BR$7:$BR$79)),0),"")</f>
        <v>0</v>
      </c>
      <c r="G165" s="1393" cm="1">
        <f t="array" ref="G165">IFERROR(IF(COUNTIFS($C$48:$C$147,$C165)&gt;0,SUMPRODUCT(('Rates &amp; Drop Downs INT'!$BS$7:$BS$79=G$166)*('Rates &amp; Drop Downs INT'!$BM$7:$BM$79=$C165)*('Rates &amp; Drop Downs INT'!$BR$7:$BR$79)),0),"")</f>
        <v>0</v>
      </c>
      <c r="H165" s="1393" cm="1">
        <f t="array" ref="H165">IFERROR(IF(COUNTIFS($C$48:$C$147,$C165)&gt;0,SUMPRODUCT(('Rates &amp; Drop Downs INT'!$BS$7:$BS$79=H$166)*('Rates &amp; Drop Downs INT'!$BM$7:$BM$79=$C165)*('Rates &amp; Drop Downs INT'!$BR$7:$BR$79)),0),"")</f>
        <v>0</v>
      </c>
      <c r="I165" s="1393" cm="1">
        <f t="array" ref="I165">IFERROR(IF(COUNTIFS($C$48:$C$147,$C165)&gt;0,SUMPRODUCT(('Rates &amp; Drop Downs INT'!$BS$7:$BS$79=I$166)*('Rates &amp; Drop Downs INT'!$BM$7:$BM$79=$C165)*('Rates &amp; Drop Downs INT'!$BR$7:$BR$79)),0),"")</f>
        <v>0</v>
      </c>
      <c r="J165" s="1393" cm="1">
        <f t="array" ref="J165">IFERROR(IF(COUNTIFS($C$48:$C$147,$C165)&gt;0,SUMPRODUCT(('Rates &amp; Drop Downs INT'!$BS$7:$BS$79=J$166)*('Rates &amp; Drop Downs INT'!$BM$7:$BM$79=$C165)*('Rates &amp; Drop Downs INT'!$BR$7:$BR$79)),0),"")</f>
        <v>0</v>
      </c>
      <c r="K165" s="1393" cm="1">
        <f t="array" ref="K165">IFERROR(IF(COUNTIFS($C$48:$C$147,$C165)&gt;0,SUMPRODUCT(('Rates &amp; Drop Downs INT'!$BS$7:$BS$79=K$166)*('Rates &amp; Drop Downs INT'!$BM$7:$BM$79=$C165)*('Rates &amp; Drop Downs INT'!$BR$7:$BR$79)),0),"")</f>
        <v>0</v>
      </c>
      <c r="L165" s="1393" cm="1">
        <f t="array" ref="L165">IFERROR(IF(COUNTIFS($C$48:$C$147,$C165)&gt;0,SUMPRODUCT(('Rates &amp; Drop Downs INT'!$BS$7:$BS$79=L$166)*('Rates &amp; Drop Downs INT'!$BM$7:$BM$79=$C165)*('Rates &amp; Drop Downs INT'!$BR$7:$BR$79)),0),"")</f>
        <v>0</v>
      </c>
      <c r="M165" s="1393" cm="1">
        <f t="array" ref="M165">IFERROR(IF(COUNTIFS($C$48:$C$147,$C165)&gt;0,SUMPRODUCT(('Rates &amp; Drop Downs INT'!$BS$7:$BS$79=M$166)*('Rates &amp; Drop Downs INT'!$BM$7:$BM$79=$C165)*('Rates &amp; Drop Downs INT'!$BR$7:$BR$79)),0),"")</f>
        <v>0</v>
      </c>
      <c r="N165" s="1393" cm="1">
        <f t="array" ref="N165">IFERROR(IF(COUNTIFS($C$48:$C$147,$C165)&gt;0,SUMPRODUCT(('Rates &amp; Drop Downs INT'!$BS$7:$BS$79=N$166)*('Rates &amp; Drop Downs INT'!$BM$7:$BM$79=$C165)*('Rates &amp; Drop Downs INT'!$BR$7:$BR$79)),0),"")</f>
        <v>0</v>
      </c>
      <c r="O165" s="1393" cm="1">
        <f t="array" ref="O165">IFERROR(IF(COUNTIFS($C$48:$C$147,$C165)&gt;0,SUMPRODUCT(('Rates &amp; Drop Downs INT'!$BS$7:$BS$79=O$166)*('Rates &amp; Drop Downs INT'!$BM$7:$BM$79=$C165)*('Rates &amp; Drop Downs INT'!$BR$7:$BR$79)),0),"")</f>
        <v>0</v>
      </c>
      <c r="P165" s="1393" cm="1">
        <f t="array" ref="P165">IFERROR(IF(COUNTIFS($C$48:$C$147,$C165)&gt;0,SUMPRODUCT(('Rates &amp; Drop Downs INT'!$BS$7:$BS$79=P$166)*('Rates &amp; Drop Downs INT'!$BM$7:$BM$79=$C165)*('Rates &amp; Drop Downs INT'!$BR$7:$BR$79)),0),"")</f>
        <v>0</v>
      </c>
      <c r="Q165" s="1393" cm="1">
        <f t="array" ref="Q165">IFERROR(IF(COUNTIFS($C$48:$C$147,$C165)&gt;0,SUMPRODUCT(('Rates &amp; Drop Downs INT'!$BS$7:$BS$79=Q$166)*('Rates &amp; Drop Downs INT'!$BM$7:$BM$79=$C165)*('Rates &amp; Drop Downs INT'!$BR$7:$BR$79)),0),"")</f>
        <v>0</v>
      </c>
      <c r="R165" s="1393" cm="1">
        <f t="array" ref="R165">IFERROR(IF(COUNTIFS($C$48:$C$147,$C165)&gt;0,SUMPRODUCT(('Rates &amp; Drop Downs INT'!$BS$7:$BS$79=R$166)*('Rates &amp; Drop Downs INT'!$BM$7:$BM$79=$C165)*('Rates &amp; Drop Downs INT'!$BR$7:$BR$79)),0),"")</f>
        <v>0</v>
      </c>
      <c r="S165" s="1393" cm="1">
        <f t="array" ref="S165">IFERROR(IF(COUNTIFS($C$48:$C$147,$C165)&gt;0,SUMPRODUCT(('Rates &amp; Drop Downs INT'!$BS$7:$BS$79=S$166)*('Rates &amp; Drop Downs INT'!$BM$7:$BM$79=$C165)*('Rates &amp; Drop Downs INT'!$BR$7:$BR$79)),0),"")</f>
        <v>0</v>
      </c>
      <c r="T165" s="1393" cm="1">
        <f t="array" ref="T165">IFERROR(IF(COUNTIFS($C$48:$C$147,$C165)&gt;0,SUMPRODUCT(('Rates &amp; Drop Downs INT'!$BS$7:$BS$79=T$166)*('Rates &amp; Drop Downs INT'!$BM$7:$BM$79=$C165)*('Rates &amp; Drop Downs INT'!$BR$7:$BR$79)),0),"")</f>
        <v>0</v>
      </c>
      <c r="U165" s="1393" cm="1">
        <f t="array" ref="U165">IFERROR(IF(COUNTIFS($C$48:$C$147,$C165)&gt;0,SUMPRODUCT(('Rates &amp; Drop Downs INT'!$BS$7:$BS$79=U$166)*('Rates &amp; Drop Downs INT'!$BM$7:$BM$79=$C165)*('Rates &amp; Drop Downs INT'!$BR$7:$BR$79)),0),"")</f>
        <v>0</v>
      </c>
      <c r="V165" s="1393" cm="1">
        <f t="array" ref="V165">IFERROR(IF(COUNTIFS($C$48:$C$147,$C165)&gt;0,SUMPRODUCT(('Rates &amp; Drop Downs INT'!$BS$7:$BS$79=V$166)*('Rates &amp; Drop Downs INT'!$BM$7:$BM$79=$C165)*('Rates &amp; Drop Downs INT'!$BR$7:$BR$79)),0),"")</f>
        <v>0</v>
      </c>
      <c r="W165" s="1393" cm="1">
        <f t="array" ref="W165">IFERROR(IF(COUNTIFS($C$48:$C$147,$C165)&gt;0,SUMPRODUCT(('Rates &amp; Drop Downs INT'!$BS$7:$BS$79=W$166)*('Rates &amp; Drop Downs INT'!$BM$7:$BM$79=$C165)*('Rates &amp; Drop Downs INT'!$BR$7:$BR$79)),0),"")</f>
        <v>0</v>
      </c>
      <c r="X165" s="1393"/>
      <c r="Y165" s="1393" cm="1">
        <f t="array" ref="Y165">IFERROR(IF(COUNTIFS($C$48:$C$147,$C165)&gt;0,SUMPRODUCT(('Rates &amp; Drop Downs INT'!$BS$7:$BS$79=Y$166)*('Rates &amp; Drop Downs INT'!$BM$7:$BM$79=$C165)*('Rates &amp; Drop Downs INT'!$BR$7:$BR$79)),0),"")</f>
        <v>0</v>
      </c>
      <c r="Z165" s="1393" cm="1">
        <f t="array" ref="Z165">IFERROR(IF(COUNTIFS($C$48:$C$147,$C165)&gt;0,SUMPRODUCT(('Rates &amp; Drop Downs INT'!$BS$7:$BS$79=Z$166)*('Rates &amp; Drop Downs INT'!$BM$7:$BM$79=$C165)*('Rates &amp; Drop Downs INT'!$BR$7:$BR$79)),0),"")</f>
        <v>0</v>
      </c>
      <c r="AA165" s="1393" cm="1">
        <f t="array" ref="AA165">IFERROR(IF(COUNTIFS($C$48:$C$147,$C165)&gt;0,SUMPRODUCT(('Rates &amp; Drop Downs INT'!$BS$7:$BS$79=AA$166)*('Rates &amp; Drop Downs INT'!$BM$7:$BM$79=$C165)*('Rates &amp; Drop Downs INT'!$BR$7:$BR$79)),0),"")</f>
        <v>0</v>
      </c>
      <c r="AB165" s="1393" cm="1">
        <f t="array" ref="AB165">IFERROR(IF(COUNTIFS($C$48:$C$147,$C165)&gt;0,SUMPRODUCT(('Rates &amp; Drop Downs INT'!$BS$7:$BS$79=AB$166)*('Rates &amp; Drop Downs INT'!$BM$7:$BM$79=$C165)*('Rates &amp; Drop Downs INT'!$BR$7:$BR$79)),0),"")</f>
        <v>0</v>
      </c>
      <c r="AC165" s="1393"/>
      <c r="AD165" s="1393"/>
      <c r="AE165" s="1393"/>
      <c r="AF165" s="1393"/>
      <c r="AG165" s="1393" cm="1">
        <f t="array" ref="AG165">IFERROR(IF(COUNTIFS($C$48:$C$147,$C165)&gt;0,SUMPRODUCT(('Rates &amp; Drop Downs INT'!$BS$7:$BS$79=AG$166)*('Rates &amp; Drop Downs INT'!$BM$7:$BM$79=$C165)*('Rates &amp; Drop Downs INT'!$BR$7:$BR$79)),0),"")</f>
        <v>0</v>
      </c>
      <c r="AH165" s="1393" cm="1">
        <f t="array" ref="AH165">IFERROR(IF(COUNTIFS($C$48:$C$147,$C165)&gt;0,SUMPRODUCT(('Rates &amp; Drop Downs INT'!$BS$7:$BS$79=AH$166)*('Rates &amp; Drop Downs INT'!$BM$7:$BM$79=$C165)*('Rates &amp; Drop Downs INT'!$BR$7:$BR$79)),0),"")</f>
        <v>0</v>
      </c>
      <c r="AI165" s="1393" cm="1">
        <f t="array" ref="AI165">IFERROR(IF(COUNTIFS($C$48:$C$147,$C165)&gt;0,SUMPRODUCT(('Rates &amp; Drop Downs INT'!$BS$7:$BS$79=AI$166)*('Rates &amp; Drop Downs INT'!$BM$7:$BM$79=$C165)*('Rates &amp; Drop Downs INT'!$BR$7:$BR$79)),0),"")</f>
        <v>0</v>
      </c>
      <c r="AJ165" s="1393" cm="1">
        <f t="array" ref="AJ165">IFERROR(IF(COUNTIFS($C$48:$C$147,$C165)&gt;0,SUMPRODUCT(('Rates &amp; Drop Downs INT'!$BS$7:$BS$79=AJ$166)*('Rates &amp; Drop Downs INT'!$BM$7:$BM$79=$C165)*('Rates &amp; Drop Downs INT'!$BR$7:$BR$79)),0),"")</f>
        <v>0</v>
      </c>
      <c r="AK165" s="1393" cm="1">
        <f t="array" ref="AK165">IFERROR(IF(COUNTIFS($C$48:$C$147,$C165)&gt;0,SUMPRODUCT(('Rates &amp; Drop Downs INT'!$BS$7:$BS$79=AK$166)*('Rates &amp; Drop Downs INT'!$BM$7:$BM$79=$C165)*('Rates &amp; Drop Downs INT'!$BR$7:$BR$79)),0),"")</f>
        <v>0</v>
      </c>
      <c r="AL165" s="1393" cm="1">
        <f t="array" ref="AL165">IFERROR(IF(COUNTIFS($C$48:$C$147,$C165)&gt;0,SUMPRODUCT(('Rates &amp; Drop Downs INT'!$BS$7:$BS$79=AL$166)*('Rates &amp; Drop Downs INT'!$BM$7:$BM$79=$C165)*('Rates &amp; Drop Downs INT'!$BR$7:$BR$79)),0),"")</f>
        <v>0</v>
      </c>
      <c r="AM165" s="1393" cm="1">
        <f t="array" ref="AM165">IFERROR(IF(COUNTIFS($C$48:$C$147,$C165)&gt;0,SUMPRODUCT(('Rates &amp; Drop Downs INT'!$BS$7:$BS$79=AM$166)*('Rates &amp; Drop Downs INT'!$BM$7:$BM$79=$C165)*('Rates &amp; Drop Downs INT'!$BR$7:$BR$79)),0),"")</f>
        <v>0</v>
      </c>
      <c r="AN165" s="1393" cm="1">
        <f t="array" ref="AN165">IFERROR(IF(COUNTIFS($C$48:$C$147,$C165)&gt;0,SUMPRODUCT(('Rates &amp; Drop Downs INT'!$BS$7:$BS$79=AN$166)*('Rates &amp; Drop Downs INT'!$BM$7:$BM$79=$C165)*('Rates &amp; Drop Downs INT'!$BR$7:$BR$79)),0),"")</f>
        <v>0</v>
      </c>
      <c r="AO165" s="1393" cm="1">
        <f t="array" ref="AO165">IFERROR(IF(COUNTIFS($C$48:$C$147,$C165)&gt;0,SUMPRODUCT(('Rates &amp; Drop Downs INT'!$BS$7:$BS$79=AO$166)*('Rates &amp; Drop Downs INT'!$BM$7:$BM$79=$C165)*('Rates &amp; Drop Downs INT'!$BR$7:$BR$79)),0),"")</f>
        <v>0</v>
      </c>
      <c r="AP165" s="1393" cm="1">
        <f t="array" ref="AP165">IFERROR(IF(COUNTIFS($C$48:$C$147,$C165)&gt;0,SUMPRODUCT(('Rates &amp; Drop Downs INT'!$BS$7:$BS$79=AP$166)*('Rates &amp; Drop Downs INT'!$BM$7:$BM$79=$C165)*('Rates &amp; Drop Downs INT'!$BR$7:$BR$79)),0),"")</f>
        <v>0</v>
      </c>
      <c r="AQ165" s="1393" cm="1">
        <f t="array" ref="AQ165">IFERROR(IF(COUNTIFS($C$48:$C$147,$C165)&gt;0,SUMPRODUCT(('Rates &amp; Drop Downs INT'!$BS$7:$BS$79=AQ$166)*('Rates &amp; Drop Downs INT'!$BM$7:$BM$79=$C165)*('Rates &amp; Drop Downs INT'!$BR$7:$BR$79)),0),"")</f>
        <v>0</v>
      </c>
      <c r="AR165" s="1393" cm="1">
        <f t="array" ref="AR165">IFERROR(IF(COUNTIFS($C$48:$C$147,$C165)&gt;0,SUMPRODUCT(('Rates &amp; Drop Downs INT'!$BS$7:$BS$79=AR$166)*('Rates &amp; Drop Downs INT'!$BM$7:$BM$79=$C165)*('Rates &amp; Drop Downs INT'!$BR$7:$BR$79)),0),"")</f>
        <v>0</v>
      </c>
      <c r="AS165" s="1393" cm="1">
        <f t="array" ref="AS165">IFERROR(IF(COUNTIFS($C$48:$C$147,$C165)&gt;0,SUMPRODUCT(('Rates &amp; Drop Downs INT'!$BS$7:$BS$79=AS$166)*('Rates &amp; Drop Downs INT'!$BM$7:$BM$79=$C165)*('Rates &amp; Drop Downs INT'!$BR$7:$BR$79)),0),"")</f>
        <v>0</v>
      </c>
      <c r="AT165" s="1393" cm="1">
        <f t="array" ref="AT165">IFERROR(IF(COUNTIFS($C$48:$C$147,$C165)&gt;0,SUMPRODUCT(('Rates &amp; Drop Downs INT'!$BS$7:$BS$79=AT$166)*('Rates &amp; Drop Downs INT'!$BM$7:$BM$79=$C165)*('Rates &amp; Drop Downs INT'!$BR$7:$BR$79)),0),"")</f>
        <v>0</v>
      </c>
      <c r="AU165" s="1393" cm="1">
        <f t="array" ref="AU165">IFERROR(IF(COUNTIFS($C$48:$C$147,$C165)&gt;0,SUMPRODUCT(('Rates &amp; Drop Downs INT'!$BS$7:$BS$79=AU$166)*('Rates &amp; Drop Downs INT'!$BM$7:$BM$79=$C165)*('Rates &amp; Drop Downs INT'!$BR$7:$BR$79)),0),"")</f>
        <v>0</v>
      </c>
      <c r="AV165" s="1393" cm="1">
        <f t="array" ref="AV165">IFERROR(IF(COUNTIFS($C$48:$C$147,$C165)&gt;0,SUMPRODUCT(('Rates &amp; Drop Downs INT'!$BS$7:$BS$79=AV$166)*('Rates &amp; Drop Downs INT'!$BM$7:$BM$79=$C165)*('Rates &amp; Drop Downs INT'!$BR$7:$BR$79)),0),"")</f>
        <v>0</v>
      </c>
      <c r="AW165" s="1393" cm="1">
        <f t="array" ref="AW165">IFERROR(IF(COUNTIFS($C$48:$C$147,$C165)&gt;0,SUMPRODUCT(('Rates &amp; Drop Downs INT'!$BS$7:$BS$79=AW$166)*('Rates &amp; Drop Downs INT'!$BM$7:$BM$79=$C165)*('Rates &amp; Drop Downs INT'!$BR$7:$BR$79)),0),"")</f>
        <v>0</v>
      </c>
      <c r="AX165" s="1393" cm="1">
        <f t="array" ref="AX165">IFERROR(IF(COUNTIFS($C$48:$C$147,$C165)&gt;0,SUMPRODUCT(('Rates &amp; Drop Downs INT'!$BS$7:$BS$79=AX$166)*('Rates &amp; Drop Downs INT'!$BM$7:$BM$79=$C165)*('Rates &amp; Drop Downs INT'!$BR$7:$BR$79)),0),"")</f>
        <v>0</v>
      </c>
      <c r="AY165" s="1393" cm="1">
        <f t="array" ref="AY165">IFERROR(IF(COUNTIFS($C$48:$C$147,$C165)&gt;0,SUMPRODUCT(('Rates &amp; Drop Downs INT'!$BS$7:$BS$79=AY$166)*('Rates &amp; Drop Downs INT'!$BM$7:$BM$79=$C165)*('Rates &amp; Drop Downs INT'!$BR$7:$BR$79)),0),"")</f>
        <v>0</v>
      </c>
      <c r="AZ165" s="1393" cm="1">
        <f t="array" ref="AZ165">IFERROR(IF(COUNTIFS($C$48:$C$147,$C165)&gt;0,SUMPRODUCT(('Rates &amp; Drop Downs INT'!$BS$7:$BS$79=AZ$166)*('Rates &amp; Drop Downs INT'!$BM$7:$BM$79=$C165)*('Rates &amp; Drop Downs INT'!$BR$7:$BR$79)),0),"")</f>
        <v>0</v>
      </c>
      <c r="BA165" s="1393" cm="1">
        <f t="array" ref="BA165">IFERROR(IF(COUNTIFS($C$48:$C$147,$C165)&gt;0,SUMPRODUCT(('Rates &amp; Drop Downs INT'!$BS$7:$BS$79=BA$166)*('Rates &amp; Drop Downs INT'!$BM$7:$BM$79=$C165)*('Rates &amp; Drop Downs INT'!$BR$7:$BR$79)),0),"")</f>
        <v>0</v>
      </c>
      <c r="BB165" s="1393" cm="1">
        <f t="array" ref="BB165">IFERROR(IF(COUNTIFS($C$48:$C$147,$C165)&gt;0,SUMPRODUCT(('Rates &amp; Drop Downs INT'!$BS$7:$BS$79=BB$166)*('Rates &amp; Drop Downs INT'!$BM$7:$BM$79=$C165)*('Rates &amp; Drop Downs INT'!$BR$7:$BR$79)),0),"")</f>
        <v>0</v>
      </c>
      <c r="BC165" s="1393" cm="1">
        <f t="array" ref="BC165">IFERROR(IF(COUNTIFS($C$48:$C$147,$C165)&gt;0,SUMPRODUCT(('Rates &amp; Drop Downs INT'!$BS$7:$BS$79=BC$166)*('Rates &amp; Drop Downs INT'!$BM$7:$BM$79=$C165)*('Rates &amp; Drop Downs INT'!$BR$7:$BR$79)),0),"")</f>
        <v>0</v>
      </c>
      <c r="BD165" s="1393" cm="1">
        <f t="array" ref="BD165">IFERROR(IF(COUNTIFS($C$48:$C$147,$C165)&gt;0,SUMPRODUCT(('Rates &amp; Drop Downs INT'!$BS$7:$BS$79=BD$166)*('Rates &amp; Drop Downs INT'!$BM$7:$BM$79=$C165)*('Rates &amp; Drop Downs INT'!$BR$7:$BR$79)),0),"")</f>
        <v>0</v>
      </c>
      <c r="BE165" s="1393" cm="1">
        <f t="array" ref="BE165">IFERROR(IF(COUNTIFS($C$48:$C$147,$C165)&gt;0,SUMPRODUCT(('Rates &amp; Drop Downs INT'!$BS$7:$BS$79=BE$166)*('Rates &amp; Drop Downs INT'!$BM$7:$BM$79=$C165)*('Rates &amp; Drop Downs INT'!$BR$7:$BR$79)),0),"")</f>
        <v>0</v>
      </c>
      <c r="BF165" s="1393" cm="1">
        <f t="array" ref="BF165">IFERROR(IF(COUNTIFS($C$48:$C$147,$C165)&gt;0,SUMPRODUCT(('Rates &amp; Drop Downs INT'!$BS$7:$BS$79=BF$166)*('Rates &amp; Drop Downs INT'!$BM$7:$BM$79=$C165)*('Rates &amp; Drop Downs INT'!$BR$7:$BR$79)),0),"")</f>
        <v>0</v>
      </c>
      <c r="BG165" s="1393" cm="1">
        <f t="array" ref="BG165">IFERROR(IF(COUNTIFS($C$48:$C$147,$C165)&gt;0,SUMPRODUCT(('Rates &amp; Drop Downs INT'!$BS$7:$BS$79=BG$166)*('Rates &amp; Drop Downs INT'!$BM$7:$BM$79=$C165)*('Rates &amp; Drop Downs INT'!$BR$7:$BR$79)),0),"")</f>
        <v>0</v>
      </c>
      <c r="BH165" s="1393" cm="1">
        <f t="array" ref="BH165">IFERROR(IF(COUNTIFS($C$48:$C$147,$C165)&gt;0,SUMPRODUCT(('Rates &amp; Drop Downs INT'!$BS$7:$BS$79=BH$166)*('Rates &amp; Drop Downs INT'!$BM$7:$BM$79=$C165)*('Rates &amp; Drop Downs INT'!$BR$7:$BR$79)),0),"")</f>
        <v>0</v>
      </c>
      <c r="BI165" s="1393" cm="1">
        <f t="array" ref="BI165">IFERROR(IF(COUNTIFS($C$48:$C$147,$C165)&gt;0,SUMPRODUCT(('Rates &amp; Drop Downs INT'!$BS$7:$BS$79=BI$166)*('Rates &amp; Drop Downs INT'!$BM$7:$BM$79=$C165)*('Rates &amp; Drop Downs INT'!$BR$7:$BR$79)),0),"")</f>
        <v>0</v>
      </c>
      <c r="BJ165" s="1393" cm="1">
        <f t="array" ref="BJ165">IFERROR(IF(COUNTIFS($C$48:$C$147,$C165)&gt;0,SUMPRODUCT(('Rates &amp; Drop Downs INT'!$BS$7:$BS$79=BJ$166)*('Rates &amp; Drop Downs INT'!$BM$7:$BM$79=$C165)*('Rates &amp; Drop Downs INT'!$BR$7:$BR$79)),0),"")</f>
        <v>0</v>
      </c>
      <c r="BK165" s="1393" cm="1">
        <f t="array" ref="BK165">IFERROR(IF(COUNTIFS($C$48:$C$147,$C165)&gt;0,SUMPRODUCT(('Rates &amp; Drop Downs INT'!$BS$7:$BS$79=BK$166)*('Rates &amp; Drop Downs INT'!$BM$7:$BM$79=$C165)*('Rates &amp; Drop Downs INT'!$BR$7:$BR$79)),0),"")</f>
        <v>0</v>
      </c>
      <c r="BL165" s="1393" cm="1">
        <f t="array" ref="BL165">IFERROR(IF(COUNTIFS($C$48:$C$147,$C165)&gt;0,SUMPRODUCT(('Rates &amp; Drop Downs INT'!$BS$7:$BS$79=BL$166)*('Rates &amp; Drop Downs INT'!$BM$7:$BM$79=$C165)*('Rates &amp; Drop Downs INT'!$BR$7:$BR$79)),0),"")</f>
        <v>0</v>
      </c>
      <c r="BM165" s="1394" cm="1">
        <f t="array" ref="BM165">IFERROR(IF(COUNTIFS($C$48:$C$147,$C165)&gt;0,SUMPRODUCT(('Rates &amp; Drop Downs INT'!$BS$7:$BS$79=BM$166)*('Rates &amp; Drop Downs INT'!$BM$7:$BM$79=$C165)*('Rates &amp; Drop Downs INT'!$BR$7:$BR$79)),0),"")</f>
        <v>0</v>
      </c>
      <c r="BN165" s="1395" cm="1">
        <f t="array" ref="BN165">IFERROR(IF(COUNTIFS($C$48:$C$147,$C165)&gt;0,SUMPRODUCT(('Rates &amp; Drop Downs INT'!$BS$7:$BS$79=BN$166)*('Rates &amp; Drop Downs INT'!$BM$7:$BM$79=$C165)*('Rates &amp; Drop Downs INT'!$BR$7:$BR$79)),0),"")</f>
        <v>0</v>
      </c>
      <c r="BO165" s="1395" cm="1">
        <f t="array" ref="BO165">IFERROR(IF(COUNTIFS($C$48:$C$147,$C165)&gt;0,SUMPRODUCT(('Rates &amp; Drop Downs INT'!$BS$7:$BS$79=BO$166)*('Rates &amp; Drop Downs INT'!$BM$7:$BM$79=$C165)*('Rates &amp; Drop Downs INT'!$BR$7:$BR$79)),0),"")</f>
        <v>0</v>
      </c>
      <c r="BP165" s="413"/>
      <c r="BQ165" s="413"/>
      <c r="BR165" s="413"/>
      <c r="BS165" s="413"/>
      <c r="BT165" s="413"/>
      <c r="BU165" s="413"/>
      <c r="BV165" s="413"/>
      <c r="BW165" s="413"/>
      <c r="BX165" s="413"/>
      <c r="BY165" s="413"/>
      <c r="BZ165" s="413"/>
      <c r="CA165" s="413"/>
      <c r="CB165" s="413"/>
      <c r="CC165" s="413"/>
      <c r="CD165" s="413"/>
      <c r="CE165" s="413"/>
      <c r="CF165" s="413"/>
      <c r="CG165" s="413"/>
      <c r="CH165" s="413"/>
      <c r="CI165" s="413"/>
      <c r="CJ165" s="413"/>
      <c r="CK165" s="413"/>
      <c r="CL165" s="413"/>
      <c r="CM165" s="413"/>
      <c r="CN165" s="413"/>
      <c r="CO165" s="413"/>
      <c r="CP165" s="413"/>
      <c r="CQ165" s="413"/>
    </row>
    <row r="166" spans="3:95" hidden="1" x14ac:dyDescent="0.25">
      <c r="D166" s="569" t="s">
        <v>2160</v>
      </c>
      <c r="E166" s="883"/>
      <c r="F166" s="883">
        <f>IF(WEEKDAY(F158,1)=2,F158,F158-WEEKDAY(F158,1)+2)</f>
        <v>45915</v>
      </c>
      <c r="G166" s="883"/>
      <c r="H166" s="883"/>
      <c r="I166" s="883">
        <f>IF(WEEKDAY(I158,1)=2,I158,I158-WEEKDAY(I158,1)+2)</f>
        <v>45922</v>
      </c>
      <c r="J166" s="883"/>
      <c r="K166" s="883">
        <f t="shared" ref="K166:AB166" si="72">IF(WEEKDAY(K158,1)=2,K158,K158-WEEKDAY(K158,1)+2)</f>
        <v>45929</v>
      </c>
      <c r="L166" s="883">
        <f t="shared" si="72"/>
        <v>45936</v>
      </c>
      <c r="M166" s="883">
        <f t="shared" si="72"/>
        <v>45943</v>
      </c>
      <c r="N166" s="883">
        <f t="shared" si="72"/>
        <v>45950</v>
      </c>
      <c r="O166" s="883">
        <f t="shared" si="72"/>
        <v>45957</v>
      </c>
      <c r="P166" s="883">
        <f t="shared" si="72"/>
        <v>45964</v>
      </c>
      <c r="Q166" s="883">
        <f t="shared" si="72"/>
        <v>45971</v>
      </c>
      <c r="R166" s="897">
        <f t="shared" si="72"/>
        <v>45978</v>
      </c>
      <c r="S166" s="901">
        <f t="shared" si="72"/>
        <v>45985</v>
      </c>
      <c r="T166" s="901">
        <f t="shared" si="72"/>
        <v>45992</v>
      </c>
      <c r="U166" s="901">
        <f t="shared" si="72"/>
        <v>45999</v>
      </c>
      <c r="V166" s="901"/>
      <c r="W166" s="901"/>
      <c r="X166" s="901"/>
      <c r="Y166" s="901">
        <f t="shared" si="72"/>
        <v>46006</v>
      </c>
      <c r="Z166" s="901">
        <f t="shared" si="72"/>
        <v>46013</v>
      </c>
      <c r="AA166" s="901">
        <f t="shared" si="72"/>
        <v>46020</v>
      </c>
      <c r="AB166" s="901">
        <f t="shared" si="72"/>
        <v>46027</v>
      </c>
      <c r="AC166" s="901"/>
      <c r="AH166" s="901">
        <f t="shared" ref="AH166:BN166" si="73">IF(WEEKDAY(AH158,1)=2,AH158,AH158-WEEKDAY(AH158,1)+2)</f>
        <v>46041</v>
      </c>
      <c r="AI166" s="901">
        <f t="shared" si="73"/>
        <v>46048</v>
      </c>
      <c r="AJ166" s="901">
        <f t="shared" si="73"/>
        <v>46055</v>
      </c>
      <c r="AK166" s="901">
        <f t="shared" si="73"/>
        <v>46062</v>
      </c>
      <c r="AL166" s="901">
        <f t="shared" si="73"/>
        <v>46069</v>
      </c>
      <c r="AM166" s="901">
        <f t="shared" si="73"/>
        <v>46076</v>
      </c>
      <c r="AN166" s="901">
        <f t="shared" si="73"/>
        <v>46083</v>
      </c>
      <c r="AO166" s="901">
        <f t="shared" si="73"/>
        <v>46090</v>
      </c>
      <c r="AP166" s="901">
        <f t="shared" si="73"/>
        <v>46097</v>
      </c>
      <c r="AQ166" s="901">
        <f t="shared" si="73"/>
        <v>46104</v>
      </c>
      <c r="AR166" s="901">
        <f t="shared" si="73"/>
        <v>46111</v>
      </c>
      <c r="AS166" s="901">
        <f t="shared" si="73"/>
        <v>46118</v>
      </c>
      <c r="AT166" s="901">
        <f t="shared" si="73"/>
        <v>46125</v>
      </c>
      <c r="AU166" s="901">
        <f t="shared" si="73"/>
        <v>46132</v>
      </c>
      <c r="AV166" s="901">
        <f t="shared" si="73"/>
        <v>46139</v>
      </c>
      <c r="AW166" s="901">
        <f t="shared" si="73"/>
        <v>46146</v>
      </c>
      <c r="AX166" s="901">
        <f t="shared" si="73"/>
        <v>46153</v>
      </c>
      <c r="AY166" s="901">
        <f t="shared" si="73"/>
        <v>46160</v>
      </c>
      <c r="AZ166" s="901">
        <f t="shared" si="73"/>
        <v>46167</v>
      </c>
      <c r="BA166" s="901">
        <f t="shared" si="73"/>
        <v>46174</v>
      </c>
      <c r="BB166" s="901">
        <f t="shared" si="73"/>
        <v>46181</v>
      </c>
      <c r="BC166" s="901">
        <f t="shared" si="73"/>
        <v>46188</v>
      </c>
      <c r="BD166" s="901">
        <f t="shared" si="73"/>
        <v>46195</v>
      </c>
      <c r="BE166" s="901">
        <f t="shared" si="73"/>
        <v>46202</v>
      </c>
      <c r="BF166" s="901">
        <f t="shared" si="73"/>
        <v>46209</v>
      </c>
      <c r="BG166" s="901">
        <f t="shared" si="73"/>
        <v>46216</v>
      </c>
      <c r="BH166" s="901">
        <f t="shared" si="73"/>
        <v>46223</v>
      </c>
      <c r="BI166" s="901">
        <f t="shared" si="73"/>
        <v>46230</v>
      </c>
      <c r="BJ166" s="901">
        <f t="shared" si="73"/>
        <v>46237</v>
      </c>
      <c r="BK166" s="901">
        <f t="shared" si="73"/>
        <v>46244</v>
      </c>
      <c r="BL166" s="901">
        <f t="shared" si="73"/>
        <v>46251</v>
      </c>
      <c r="BM166" s="1337">
        <f t="shared" si="73"/>
        <v>46258</v>
      </c>
      <c r="BN166" s="1338">
        <f t="shared" si="73"/>
        <v>46265</v>
      </c>
      <c r="BO166" s="1338">
        <f t="shared" ref="BO166" si="74">IF(WEEKDAY(BO158,1)=2,BO158,BO158-WEEKDAY(BO158,1)+2)</f>
        <v>46272</v>
      </c>
      <c r="BP166" s="413"/>
      <c r="BQ166" s="413"/>
      <c r="BR166" s="413"/>
      <c r="BS166" s="413"/>
      <c r="BT166" s="413"/>
      <c r="BU166" s="413"/>
      <c r="BV166" s="413"/>
      <c r="BW166" s="413"/>
      <c r="BX166" s="413"/>
      <c r="BY166" s="413"/>
      <c r="BZ166" s="413"/>
      <c r="CA166" s="413"/>
      <c r="CB166" s="413"/>
      <c r="CC166" s="413"/>
      <c r="CD166" s="413"/>
      <c r="CE166" s="413"/>
      <c r="CF166" s="413"/>
      <c r="CG166" s="413"/>
      <c r="CH166" s="413"/>
      <c r="CI166" s="413"/>
      <c r="CJ166" s="413"/>
      <c r="CK166" s="413"/>
      <c r="CL166" s="413"/>
      <c r="CM166" s="413"/>
      <c r="CN166" s="413"/>
      <c r="CO166" s="413"/>
      <c r="CP166" s="413"/>
      <c r="CQ166" s="413"/>
    </row>
    <row r="167" spans="3:95" hidden="1" x14ac:dyDescent="0.25">
      <c r="D167" s="569"/>
      <c r="E167" s="1225"/>
      <c r="F167" s="1225"/>
      <c r="G167" s="1225"/>
      <c r="H167" s="1225"/>
      <c r="I167" s="1225"/>
      <c r="J167" s="1225"/>
      <c r="K167" s="1225"/>
      <c r="L167" s="1225"/>
      <c r="M167" s="1225"/>
      <c r="N167" s="1225"/>
      <c r="O167" s="1225"/>
      <c r="P167" s="1225"/>
      <c r="Q167" s="1225"/>
      <c r="R167" s="1226"/>
      <c r="S167" s="1215"/>
      <c r="T167" s="1215"/>
      <c r="U167" s="1215"/>
      <c r="V167" s="1215"/>
      <c r="W167" s="1215"/>
      <c r="X167" s="1215"/>
      <c r="Y167" s="1215"/>
      <c r="Z167" s="1215"/>
      <c r="AA167" s="1215"/>
      <c r="AB167" s="1215"/>
      <c r="AC167" s="1215"/>
      <c r="AH167" s="1215"/>
      <c r="AI167" s="1215"/>
      <c r="AJ167" s="1215"/>
      <c r="AK167" s="1215"/>
      <c r="AL167" s="1215"/>
      <c r="AM167" s="1215"/>
      <c r="AN167" s="1215"/>
      <c r="AO167" s="1215"/>
      <c r="AP167" s="1215"/>
      <c r="AQ167" s="1215"/>
      <c r="AR167" s="1215"/>
      <c r="AS167" s="1215"/>
      <c r="AT167" s="1215"/>
      <c r="AU167" s="1215"/>
      <c r="AV167" s="1215"/>
      <c r="AW167" s="1215"/>
      <c r="AX167" s="1215"/>
      <c r="AY167" s="1215"/>
      <c r="AZ167" s="1215"/>
      <c r="BA167" s="1215"/>
      <c r="BB167" s="1215"/>
      <c r="BC167" s="1215"/>
      <c r="BD167" s="1215"/>
      <c r="BE167" s="1215"/>
      <c r="BF167" s="1215"/>
      <c r="BG167" s="1215"/>
      <c r="BH167" s="1215"/>
      <c r="BI167" s="1215"/>
      <c r="BJ167" s="1215"/>
      <c r="BK167" s="1215"/>
      <c r="BL167" s="1215"/>
      <c r="BM167" s="1215"/>
      <c r="BN167" s="1339"/>
      <c r="BO167" s="1339"/>
      <c r="BP167" s="413"/>
      <c r="BQ167" s="413"/>
      <c r="BR167" s="413"/>
      <c r="BS167" s="413"/>
      <c r="BT167" s="413"/>
      <c r="BU167" s="413"/>
      <c r="BV167" s="413"/>
      <c r="BW167" s="413"/>
      <c r="BX167" s="413"/>
      <c r="BY167" s="413"/>
      <c r="BZ167" s="413"/>
      <c r="CA167" s="413"/>
      <c r="CB167" s="413"/>
      <c r="CC167" s="413"/>
      <c r="CD167" s="413"/>
      <c r="CE167" s="413"/>
      <c r="CF167" s="413"/>
      <c r="CG167" s="413"/>
      <c r="CH167" s="413"/>
      <c r="CI167" s="413"/>
      <c r="CJ167" s="413"/>
      <c r="CK167" s="413"/>
      <c r="CL167" s="413"/>
      <c r="CM167" s="413"/>
      <c r="CN167" s="413"/>
      <c r="CO167" s="413"/>
      <c r="CP167" s="413"/>
      <c r="CQ167" s="413"/>
    </row>
    <row r="168" spans="3:95" hidden="1" x14ac:dyDescent="0.25">
      <c r="BN168" s="1340"/>
      <c r="BO168" s="1340"/>
    </row>
    <row r="169" spans="3:95" ht="22.05" customHeight="1" x14ac:dyDescent="0.25">
      <c r="C169" s="1205" t="s">
        <v>2405</v>
      </c>
      <c r="D169" s="1205" t="s">
        <v>2407</v>
      </c>
      <c r="E169" s="1321"/>
      <c r="F169" s="1321">
        <f>SUM(F170:F269)</f>
        <v>202</v>
      </c>
      <c r="G169" s="1321"/>
      <c r="H169" s="1321"/>
      <c r="I169" s="1321">
        <f>SUM(I170:I269)</f>
        <v>202</v>
      </c>
      <c r="J169" s="1321"/>
      <c r="K169" s="1321">
        <f>SUM(K170:K269)</f>
        <v>202</v>
      </c>
      <c r="L169" s="1321">
        <f t="shared" ref="L169:AB169" si="75">SUM(L170:L269)</f>
        <v>202</v>
      </c>
      <c r="M169" s="1321">
        <f t="shared" si="75"/>
        <v>242</v>
      </c>
      <c r="N169" s="1321">
        <f t="shared" si="75"/>
        <v>242</v>
      </c>
      <c r="O169" s="1321">
        <f t="shared" si="75"/>
        <v>242</v>
      </c>
      <c r="P169" s="1321">
        <f t="shared" si="75"/>
        <v>242</v>
      </c>
      <c r="Q169" s="1321">
        <f t="shared" si="75"/>
        <v>242</v>
      </c>
      <c r="R169" s="1321">
        <f t="shared" si="75"/>
        <v>242</v>
      </c>
      <c r="S169" s="1321">
        <f t="shared" si="75"/>
        <v>242</v>
      </c>
      <c r="T169" s="1321">
        <f t="shared" si="75"/>
        <v>242</v>
      </c>
      <c r="U169" s="1321">
        <f t="shared" si="75"/>
        <v>242</v>
      </c>
      <c r="V169" s="1321"/>
      <c r="W169" s="1321"/>
      <c r="X169" s="1321"/>
      <c r="Y169" s="1321">
        <f t="shared" si="75"/>
        <v>202</v>
      </c>
      <c r="Z169" s="1321">
        <f t="shared" si="75"/>
        <v>202</v>
      </c>
      <c r="AA169" s="1321">
        <f t="shared" si="75"/>
        <v>202</v>
      </c>
      <c r="AB169" s="899">
        <f t="shared" si="75"/>
        <v>202</v>
      </c>
      <c r="AC169" s="899"/>
      <c r="AD169" s="1335"/>
      <c r="AE169" s="1335"/>
      <c r="AF169" s="1335"/>
      <c r="AG169" s="1335">
        <f>SUM(AG170:AG269)</f>
        <v>242</v>
      </c>
      <c r="AH169" s="899">
        <f t="shared" ref="AH169:AI169" si="76">SUM(AH170:AH269)</f>
        <v>242</v>
      </c>
      <c r="AI169" s="899">
        <f t="shared" si="76"/>
        <v>242</v>
      </c>
      <c r="AJ169" s="899">
        <f t="shared" ref="AJ169:BC169" si="77">SUM(AJ170:AJ269)</f>
        <v>242</v>
      </c>
      <c r="AK169" s="899">
        <f t="shared" si="77"/>
        <v>242</v>
      </c>
      <c r="AL169" s="899">
        <f t="shared" si="77"/>
        <v>242</v>
      </c>
      <c r="AM169" s="899">
        <f t="shared" si="77"/>
        <v>242</v>
      </c>
      <c r="AN169" s="899">
        <f t="shared" si="77"/>
        <v>242</v>
      </c>
      <c r="AO169" s="899">
        <f t="shared" si="77"/>
        <v>242</v>
      </c>
      <c r="AP169" s="899">
        <f t="shared" si="77"/>
        <v>242</v>
      </c>
      <c r="AQ169" s="899">
        <f t="shared" si="77"/>
        <v>242</v>
      </c>
      <c r="AR169" s="899">
        <f t="shared" si="77"/>
        <v>242</v>
      </c>
      <c r="AS169" s="899">
        <f t="shared" si="77"/>
        <v>242</v>
      </c>
      <c r="AT169" s="899">
        <f t="shared" si="77"/>
        <v>0</v>
      </c>
      <c r="AU169" s="899">
        <f t="shared" si="77"/>
        <v>0</v>
      </c>
      <c r="AV169" s="899">
        <f t="shared" si="77"/>
        <v>0</v>
      </c>
      <c r="AW169" s="899">
        <f t="shared" si="77"/>
        <v>0</v>
      </c>
      <c r="AX169" s="899">
        <f t="shared" si="77"/>
        <v>0</v>
      </c>
      <c r="AY169" s="899">
        <f t="shared" si="77"/>
        <v>0</v>
      </c>
      <c r="AZ169" s="899">
        <f t="shared" si="77"/>
        <v>0</v>
      </c>
      <c r="BA169" s="899">
        <f t="shared" si="77"/>
        <v>0</v>
      </c>
      <c r="BB169" s="899">
        <f t="shared" si="77"/>
        <v>0</v>
      </c>
      <c r="BC169" s="899">
        <f t="shared" si="77"/>
        <v>0</v>
      </c>
      <c r="BD169" s="899">
        <f t="shared" ref="BD169:BJ169" si="78">SUM(BD170:BD269)</f>
        <v>0</v>
      </c>
      <c r="BE169" s="899">
        <f t="shared" si="78"/>
        <v>0</v>
      </c>
      <c r="BF169" s="899">
        <f t="shared" si="78"/>
        <v>0</v>
      </c>
      <c r="BG169" s="899">
        <f t="shared" si="78"/>
        <v>0</v>
      </c>
      <c r="BH169" s="899">
        <f t="shared" si="78"/>
        <v>0</v>
      </c>
      <c r="BI169" s="899">
        <f t="shared" si="78"/>
        <v>0</v>
      </c>
      <c r="BJ169" s="899">
        <f t="shared" si="78"/>
        <v>0</v>
      </c>
      <c r="BK169" s="899">
        <f t="shared" ref="BK169:BM169" si="79">SUM(BK170:BK269)</f>
        <v>0</v>
      </c>
      <c r="BL169" s="899">
        <f t="shared" si="79"/>
        <v>0</v>
      </c>
      <c r="BM169" s="899">
        <f t="shared" si="79"/>
        <v>0</v>
      </c>
      <c r="BN169" s="1335">
        <f>SUM(BN170:BN269)</f>
        <v>0</v>
      </c>
      <c r="BO169" s="1335">
        <f>SUM(BO170:BO269)</f>
        <v>0</v>
      </c>
      <c r="BP169" s="413"/>
      <c r="BQ169" s="413"/>
      <c r="BR169" s="413"/>
      <c r="BS169" s="413"/>
      <c r="BT169" s="413"/>
      <c r="BU169" s="413"/>
      <c r="BV169" s="413"/>
      <c r="BW169" s="413"/>
      <c r="BX169" s="413"/>
      <c r="BY169" s="413"/>
      <c r="BZ169" s="413"/>
      <c r="CA169" s="413"/>
      <c r="CB169" s="413"/>
      <c r="CC169" s="413"/>
      <c r="CD169" s="413"/>
      <c r="CE169" s="413"/>
      <c r="CF169" s="413"/>
      <c r="CG169" s="413"/>
      <c r="CH169" s="413"/>
      <c r="CI169" s="413"/>
      <c r="CJ169" s="413"/>
      <c r="CK169" s="413"/>
      <c r="CL169" s="413"/>
      <c r="CM169" s="413"/>
      <c r="CN169" s="413"/>
      <c r="CO169" s="413"/>
      <c r="CP169" s="413"/>
      <c r="CQ169" s="413"/>
    </row>
    <row r="170" spans="3:95" x14ac:dyDescent="0.25">
      <c r="C170" s="1289" t="str">
        <f>IF(ISBLANK(Z48),C48,Z48)</f>
        <v>Dallas</v>
      </c>
      <c r="D170" s="1317" t="str">
        <f>IF(K48="","",K48)</f>
        <v>Data Analyst</v>
      </c>
      <c r="E170" s="1322"/>
      <c r="F170" s="1332">
        <f>IF($E$30="Enter Duration (wks)","",IF($Y48="Enter Hrs/Wk","",IF($E$30&gt;='FORMULA REFS'!A$1,$Y48,"")))</f>
        <v>40</v>
      </c>
      <c r="G170" s="1324"/>
      <c r="H170" s="1333"/>
      <c r="I170" s="1325">
        <f>IF($E$30="Enter Duration (wks)","",IF($Y48="Enter Hrs/Wk","",IF($E$30&gt;='FORMULA REFS'!B$1,$Y48,"")))</f>
        <v>40</v>
      </c>
      <c r="J170" s="1325"/>
      <c r="K170" s="1325">
        <f>IF($E$30="Enter Duration (wks)","",IF($Y48="Enter Hrs/Wk","",IF($E$30&gt;='FORMULA REFS'!C$1,$Y48,"")))</f>
        <v>40</v>
      </c>
      <c r="L170" s="1325">
        <f>IF($E$30="Enter Duration (wks)","",IF($Y48="Enter Hrs/Wk","",IF($E$30&gt;='FORMULA REFS'!D$1,$Y48,"")))</f>
        <v>40</v>
      </c>
      <c r="M170" s="1325">
        <f>IF($E$30="Enter Duration (wks)","",IF($Y48="Enter Hrs/Wk","",IF($E$30&gt;='FORMULA REFS'!E$1,$Y48,"")))</f>
        <v>40</v>
      </c>
      <c r="N170" s="1325">
        <f>IF($E$30="Enter Duration (wks)","",IF($Y48="Enter Hrs/Wk","",IF($E$30&gt;='FORMULA REFS'!F$1,$Y48,"")))</f>
        <v>40</v>
      </c>
      <c r="O170" s="1325">
        <f>IF($E$30="Enter Duration (wks)","",IF($Y48="Enter Hrs/Wk","",IF($E$30&gt;='FORMULA REFS'!G$1,$Y48,"")))</f>
        <v>40</v>
      </c>
      <c r="P170" s="1325">
        <f>IF($E$30="Enter Duration (wks)","",IF($Y48="Enter Hrs/Wk","",IF($E$30&gt;='FORMULA REFS'!H$1,$Y48,"")))</f>
        <v>40</v>
      </c>
      <c r="Q170" s="1325">
        <f>IF($E$30="Enter Duration (wks)","",IF($Y48="Enter Hrs/Wk","",IF($E$30&gt;='FORMULA REFS'!I$1,$Y48,"")))</f>
        <v>40</v>
      </c>
      <c r="R170" s="1325">
        <f>IF($E$30="Enter Duration (wks)","",IF($Y48="Enter Hrs/Wk","",IF($E$30&gt;='FORMULA REFS'!J$1,$Y48,"")))</f>
        <v>40</v>
      </c>
      <c r="S170" s="1325">
        <f>IF($E$30="Enter Duration (wks)","",IF($Y48="Enter Hrs/Wk","",IF($E$30&gt;='FORMULA REFS'!K$1,$Y48,"")))</f>
        <v>40</v>
      </c>
      <c r="T170" s="1333">
        <f>IF($E$30="Enter Duration (wks)","",IF($Y48="Enter Hrs/Wk","",IF($E$30&gt;='FORMULA REFS'!L$1,$Y48,"")))</f>
        <v>40</v>
      </c>
      <c r="U170" s="1333">
        <f>IF($E$30="Enter Duration (wks)","",IF($Y48="Enter Hrs/Wk","",IF($E$30&gt;='FORMULA REFS'!M$1,$Y48,"")))</f>
        <v>40</v>
      </c>
      <c r="V170" s="1333"/>
      <c r="W170" s="900"/>
      <c r="X170" s="1288"/>
      <c r="Y170" s="1288">
        <f>IF($E$30="Enter Duration (wks)","",IF($Y48="Enter Hrs/Wk","",IF($E$30&gt;='FORMULA REFS'!N$1,$Y48,"")))</f>
        <v>40</v>
      </c>
      <c r="Z170" s="1288">
        <f>IF($E$30="Enter Duration (wks)","",IF($Y48="Enter Hrs/Wk","",IF($E$30&gt;='FORMULA REFS'!O$1,$Y48,"")))</f>
        <v>40</v>
      </c>
      <c r="AA170" s="1288">
        <f>IF($E$30="Enter Duration (wks)","",IF($Y48="Enter Hrs/Wk","",IF($E$30&gt;='FORMULA REFS'!P$1,$Y48,"")))</f>
        <v>40</v>
      </c>
      <c r="AB170" s="1288">
        <f>IF($E$30="Enter Duration (wks)","",IF($Y48="Enter Hrs/Wk","",IF($E$30&gt;='FORMULA REFS'!Q$1,$Y48,"")))</f>
        <v>40</v>
      </c>
      <c r="AC170" s="1286"/>
      <c r="AD170" s="1286"/>
      <c r="AE170" s="1286"/>
      <c r="AF170" s="1286"/>
      <c r="AG170" s="1286">
        <f>IF($E$30="Enter Duration (wks)","",IF($Y48="Enter Hrs/Wk","",IF($E$30&gt;='FORMULA REFS'!R$1,$Y48,"")))</f>
        <v>40</v>
      </c>
      <c r="AH170" s="1286">
        <f>IF($E$30="Enter Duration (wks)","",IF($Y48="Enter Hrs/Wk","",IF($E$30&gt;='FORMULA REFS'!S$1,$Y48,"")))</f>
        <v>40</v>
      </c>
      <c r="AI170" s="1286">
        <f>IF($E$30="Enter Duration (wks)","",IF($Y48="Enter Hrs/Wk","",IF($E$30&gt;='FORMULA REFS'!T$1,$Y48,"")))</f>
        <v>40</v>
      </c>
      <c r="AJ170" s="1286">
        <f>IF($E$30="Enter Duration (wks)","",IF($Y48="Enter Hrs/Wk","",IF($E$30&gt;='FORMULA REFS'!U$1,$Y48,"")))</f>
        <v>40</v>
      </c>
      <c r="AK170" s="1286">
        <f>IF($E$30="Enter Duration (wks)","",IF($Y48="Enter Hrs/Wk","",IF($E$30&gt;='FORMULA REFS'!V$1,$Y48,"")))</f>
        <v>40</v>
      </c>
      <c r="AL170" s="1286">
        <f>IF($E$30="Enter Duration (wks)","",IF($Y48="Enter Hrs/Wk","",IF($E$30&gt;='FORMULA REFS'!W$1,$Y48,"")))</f>
        <v>40</v>
      </c>
      <c r="AM170" s="1286">
        <f>IF($E$30="Enter Duration (wks)","",IF($Y48="Enter Hrs/Wk","",IF($E$30&gt;='FORMULA REFS'!X$1,$Y48,"")))</f>
        <v>40</v>
      </c>
      <c r="AN170" s="1286">
        <f>IF($E$30="Enter Duration (wks)","",IF($Y48="Enter Hrs/Wk","",IF($E$30&gt;='FORMULA REFS'!Y$1,$Y48,"")))</f>
        <v>40</v>
      </c>
      <c r="AO170" s="1286">
        <f>IF($E$30="Enter Duration (wks)","",IF($Y48="Enter Hrs/Wk","",IF($E$30&gt;='FORMULA REFS'!Z$1,$Y48,"")))</f>
        <v>40</v>
      </c>
      <c r="AP170" s="1286">
        <f>IF($E$30="Enter Duration (wks)","",IF($Y48="Enter Hrs/Wk","",IF($E$30&gt;='FORMULA REFS'!AA$1,$Y48,"")))</f>
        <v>40</v>
      </c>
      <c r="AQ170" s="1286">
        <f>IF($E$30="Enter Duration (wks)","",IF($Y48="Enter Hrs/Wk","",IF($E$30&gt;='FORMULA REFS'!AB$1,$Y48,"")))</f>
        <v>40</v>
      </c>
      <c r="AR170" s="1286">
        <f>IF($E$30="Enter Duration (wks)","",IF($Y48="Enter Hrs/Wk","",IF($E$30&gt;='FORMULA REFS'!AC$1,$Y48,"")))</f>
        <v>40</v>
      </c>
      <c r="AS170" s="1286">
        <f>IF($E$30="Enter Duration (wks)","",IF($Y48="Enter Hrs/Wk","",IF($E$30&gt;='FORMULA REFS'!AD$1,$Y48,"")))</f>
        <v>40</v>
      </c>
      <c r="AT170" s="1286" t="str">
        <f>IF($E$30="Enter Duration (wks)","",IF($Y48="Enter Hrs/Wk","",IF($E$30&gt;='FORMULA REFS'!AE$1,$Y48,"")))</f>
        <v/>
      </c>
      <c r="AU170" s="1286" t="str">
        <f>IF($E$30="Enter Duration (wks)","",IF($Y48="Enter Hrs/Wk","",IF($E$30&gt;='FORMULA REFS'!AF$1,$Y48,"")))</f>
        <v/>
      </c>
      <c r="AV170" s="1286" t="str">
        <f>IF($E$30="Enter Duration (wks)","",IF($Y48="Enter Hrs/Wk","",IF($E$30&gt;='FORMULA REFS'!AG$1,$Y48,"")))</f>
        <v/>
      </c>
      <c r="AW170" s="1286" t="str">
        <f>IF($E$30="Enter Duration (wks)","",IF($Y48="Enter Hrs/Wk","",IF($E$30&gt;='FORMULA REFS'!AH$1,$Y48,"")))</f>
        <v/>
      </c>
      <c r="AX170" s="1286" t="str">
        <f>IF($E$30="Enter Duration (wks)","",IF($Y48="Enter Hrs/Wk","",IF($E$30&gt;='FORMULA REFS'!AI$1,$Y48,"")))</f>
        <v/>
      </c>
      <c r="AY170" s="1286" t="str">
        <f>IF($E$30="Enter Duration (wks)","",IF($Y48="Enter Hrs/Wk","",IF($E$30&gt;='FORMULA REFS'!AJ$1,$Y48,"")))</f>
        <v/>
      </c>
      <c r="AZ170" s="1286" t="str">
        <f>IF($E$30="Enter Duration (wks)","",IF($Y48="Enter Hrs/Wk","",IF($E$30&gt;='FORMULA REFS'!AK$1,$Y48,"")))</f>
        <v/>
      </c>
      <c r="BA170" s="1286" t="str">
        <f>IF($E$30="Enter Duration (wks)","",IF($Y48="Enter Hrs/Wk","",IF($E$30&gt;='FORMULA REFS'!AL$1,$Y48,"")))</f>
        <v/>
      </c>
      <c r="BB170" s="1286" t="str">
        <f>IF($E$30="Enter Duration (wks)","",IF($Y48="Enter Hrs/Wk","",IF($E$30&gt;='FORMULA REFS'!AM$1,$Y48,"")))</f>
        <v/>
      </c>
      <c r="BC170" s="1286" t="str">
        <f>IF($E$30="Enter Duration (wks)","",IF($Y48="Enter Hrs/Wk","",IF($E$30&gt;='FORMULA REFS'!AN$1,$Y48,"")))</f>
        <v/>
      </c>
      <c r="BD170" s="1286" t="str">
        <f>IF($E$30="Enter Duration (wks)","",IF($Y48="Enter Hrs/Wk","",IF($E$30&gt;='FORMULA REFS'!AO$1,$Y48,"")))</f>
        <v/>
      </c>
      <c r="BE170" s="1286" t="str">
        <f>IF($E$30="Enter Duration (wks)","",IF($Y48="Enter Hrs/Wk","",IF($E$30&gt;='FORMULA REFS'!AP$1,$Y48,"")))</f>
        <v/>
      </c>
      <c r="BF170" s="1286" t="str">
        <f>IF($E$30="Enter Duration (wks)","",IF($Y48="Enter Hrs/Wk","",IF($E$30&gt;='FORMULA REFS'!AQ$1,$Y48,"")))</f>
        <v/>
      </c>
      <c r="BG170" s="1286" t="str">
        <f>IF($E$30="Enter Duration (wks)","",IF($Y48="Enter Hrs/Wk","",IF($E$30&gt;='FORMULA REFS'!AR$1,$Y48,"")))</f>
        <v/>
      </c>
      <c r="BH170" s="1286" t="str">
        <f>IF($E$30="Enter Duration (wks)","",IF($Y48="Enter Hrs/Wk","",IF($E$30&gt;='FORMULA REFS'!AS$1,$Y48,"")))</f>
        <v/>
      </c>
      <c r="BI170" s="1286" t="str">
        <f>IF($E$30="Enter Duration (wks)","",IF($Y48="Enter Hrs/Wk","",IF($E$30&gt;='FORMULA REFS'!AT$1,$Y48,"")))</f>
        <v/>
      </c>
      <c r="BJ170" s="1286" t="str">
        <f>IF($E$30="Enter Duration (wks)","",IF($Y48="Enter Hrs/Wk","",IF($E$30&gt;='FORMULA REFS'!AU$1,$Y48,"")))</f>
        <v/>
      </c>
      <c r="BK170" s="1286" t="str">
        <f>IF($E$30="Enter Duration (wks)","",IF($Y48="Enter Hrs/Wk","",IF($E$30&gt;='FORMULA REFS'!AV$1,$Y48,"")))</f>
        <v/>
      </c>
      <c r="BL170" s="1286" t="str">
        <f>IF($E$30="Enter Duration (wks)","",IF($Y48="Enter Hrs/Wk","",IF($E$30&gt;='FORMULA REFS'!AW$1,$Y48,"")))</f>
        <v/>
      </c>
      <c r="BM170" s="1286" t="str">
        <f>IF($E$30="Enter Duration (wks)","",IF($Y48="Enter Hrs/Wk","",IF($E$30&gt;='FORMULA REFS'!AX$1,$Y48,"")))</f>
        <v/>
      </c>
      <c r="BN170" s="1286" t="str">
        <f>IF($E$30="Enter Duration (wks)","",IF($Y48="Enter Hrs/Wk","",IF($E$30&gt;='FORMULA REFS'!AY$1,$Y48,"")))</f>
        <v/>
      </c>
      <c r="BO170" s="1286" t="str">
        <f>IF($E$30="Enter Duration (wks)","",IF($Y48="Enter Hrs/Wk","",IF($E$30&gt;='FORMULA REFS'!AZ$1,$Y48,"")))</f>
        <v/>
      </c>
      <c r="BP170" s="533"/>
      <c r="BQ170" s="533"/>
      <c r="BR170" s="533"/>
      <c r="BS170" s="533"/>
      <c r="BT170" s="533"/>
      <c r="BU170" s="533"/>
      <c r="BV170" s="533"/>
      <c r="BW170" s="533"/>
      <c r="BX170" s="533"/>
      <c r="BY170" s="533"/>
      <c r="BZ170" s="533"/>
      <c r="CA170" s="533"/>
      <c r="CB170" s="534"/>
      <c r="CC170" s="534"/>
      <c r="CD170" s="534"/>
      <c r="CE170" s="529"/>
      <c r="CF170" s="529"/>
      <c r="CG170" s="529"/>
      <c r="CH170" s="535"/>
      <c r="CI170" s="536"/>
      <c r="CJ170" s="537"/>
      <c r="CK170" s="537"/>
      <c r="CL170" s="413"/>
      <c r="CM170" s="413"/>
      <c r="CN170" s="413"/>
      <c r="CO170" s="413"/>
      <c r="CP170" s="413"/>
      <c r="CQ170" s="413"/>
    </row>
    <row r="171" spans="3:95" x14ac:dyDescent="0.25">
      <c r="C171" s="1290" t="str">
        <f t="shared" ref="C171:C202" si="80">IF(ISBLANK(C49),"",C49)</f>
        <v>TADIndia</v>
      </c>
      <c r="D171" s="1318" t="str">
        <f>IF(K49="","",K49)</f>
        <v>Data Analyst</v>
      </c>
      <c r="E171" s="1326"/>
      <c r="F171" s="1327"/>
      <c r="G171" s="1327"/>
      <c r="H171" s="1570"/>
      <c r="I171" s="1329"/>
      <c r="J171" s="1316"/>
      <c r="K171" s="1286"/>
      <c r="L171" s="1331"/>
      <c r="M171" s="1331">
        <f>IF($E$30="Enter Duration (wks)","",IF($Y49="Enter Hrs/Wk","",IF($E$30&gt;='FORMULA REFS'!E$1,$Y49,"")))</f>
        <v>40</v>
      </c>
      <c r="N171" s="1331">
        <f>IF($E$30="Enter Duration (wks)","",IF($Y49="Enter Hrs/Wk","",IF($E$30&gt;='FORMULA REFS'!F$1,$Y49,"")))</f>
        <v>40</v>
      </c>
      <c r="O171" s="1331">
        <f>IF($E$30="Enter Duration (wks)","",IF($Y49="Enter Hrs/Wk","",IF($E$30&gt;='FORMULA REFS'!G$1,$Y49,"")))</f>
        <v>40</v>
      </c>
      <c r="P171" s="1331">
        <f>IF($E$30="Enter Duration (wks)","",IF($Y49="Enter Hrs/Wk","",IF($E$30&gt;='FORMULA REFS'!H$1,$Y49,"")))</f>
        <v>40</v>
      </c>
      <c r="Q171" s="1331">
        <f>IF($E$30="Enter Duration (wks)","",IF($Y49="Enter Hrs/Wk","",IF($E$30&gt;='FORMULA REFS'!I$1,$Y49,"")))</f>
        <v>40</v>
      </c>
      <c r="R171" s="1331">
        <f>IF($E$30="Enter Duration (wks)","",IF($Y49="Enter Hrs/Wk","",IF($E$30&gt;='FORMULA REFS'!J$1,$Y49,"")))</f>
        <v>40</v>
      </c>
      <c r="S171" s="1331">
        <f>IF($E$30="Enter Duration (wks)","",IF($Y49="Enter Hrs/Wk","",IF($E$30&gt;='FORMULA REFS'!K$1,$Y49,"")))</f>
        <v>40</v>
      </c>
      <c r="T171" s="1316">
        <f>IF($E$30="Enter Duration (wks)","",IF($Y49="Enter Hrs/Wk","",IF($E$30&gt;='FORMULA REFS'!L$1,$Y49,"")))</f>
        <v>40</v>
      </c>
      <c r="U171" s="882">
        <f>IF($E$30="Enter Duration (wks)","",IF($Y49="Enter Hrs/Wk","",IF($E$30&gt;='FORMULA REFS'!M$1,$Y49,"")))</f>
        <v>40</v>
      </c>
      <c r="V171" s="1331"/>
      <c r="W171" s="1331"/>
      <c r="X171" s="1285"/>
      <c r="Y171" s="1285"/>
      <c r="Z171" s="1343"/>
      <c r="AA171" s="882"/>
      <c r="AB171" s="882"/>
      <c r="AC171" s="882"/>
      <c r="AD171" s="882"/>
      <c r="AE171" s="882"/>
      <c r="AF171" s="882"/>
      <c r="AG171" s="1286">
        <f>IF($E$30="Enter Duration (wks)","",IF($Y49="Enter Hrs/Wk","",IF($E$30&gt;='FORMULA REFS'!R$1,$Y49,"")))</f>
        <v>40</v>
      </c>
      <c r="AH171" s="1286">
        <f>IF($E$30="Enter Duration (wks)","",IF($Y49="Enter Hrs/Wk","",IF($E$30&gt;='FORMULA REFS'!S$1,$Y49,"")))</f>
        <v>40</v>
      </c>
      <c r="AI171" s="1286">
        <f>IF($E$30="Enter Duration (wks)","",IF($Y49="Enter Hrs/Wk","",IF($E$30&gt;='FORMULA REFS'!T$1,$Y49,"")))</f>
        <v>40</v>
      </c>
      <c r="AJ171" s="1286">
        <f>IF($E$30="Enter Duration (wks)","",IF($Y49="Enter Hrs/Wk","",IF($E$30&gt;='FORMULA REFS'!U$1,$Y49,"")))</f>
        <v>40</v>
      </c>
      <c r="AK171" s="1286">
        <f>IF($E$30="Enter Duration (wks)","",IF($Y49="Enter Hrs/Wk","",IF($E$30&gt;='FORMULA REFS'!V$1,$Y49,"")))</f>
        <v>40</v>
      </c>
      <c r="AL171" s="1286">
        <f>IF($E$30="Enter Duration (wks)","",IF($Y49="Enter Hrs/Wk","",IF($E$30&gt;='FORMULA REFS'!W$1,$Y49,"")))</f>
        <v>40</v>
      </c>
      <c r="AM171" s="1286">
        <f>IF($E$30="Enter Duration (wks)","",IF($Y49="Enter Hrs/Wk","",IF($E$30&gt;='FORMULA REFS'!X$1,$Y49,"")))</f>
        <v>40</v>
      </c>
      <c r="AN171" s="1286">
        <f>IF($E$30="Enter Duration (wks)","",IF($Y49="Enter Hrs/Wk","",IF($E$30&gt;='FORMULA REFS'!Y$1,$Y49,"")))</f>
        <v>40</v>
      </c>
      <c r="AO171" s="1286">
        <f>IF($E$30="Enter Duration (wks)","",IF($Y49="Enter Hrs/Wk","",IF($E$30&gt;='FORMULA REFS'!Z$1,$Y49,"")))</f>
        <v>40</v>
      </c>
      <c r="AP171" s="1286">
        <f>IF($E$30="Enter Duration (wks)","",IF($Y49="Enter Hrs/Wk","",IF($E$30&gt;='FORMULA REFS'!AA$1,$Y49,"")))</f>
        <v>40</v>
      </c>
      <c r="AQ171" s="1286">
        <f>IF($E$30="Enter Duration (wks)","",IF($Y49="Enter Hrs/Wk","",IF($E$30&gt;='FORMULA REFS'!AB$1,$Y49,"")))</f>
        <v>40</v>
      </c>
      <c r="AR171" s="1286">
        <f>IF($E$30="Enter Duration (wks)","",IF($Y49="Enter Hrs/Wk","",IF($E$30&gt;='FORMULA REFS'!AC$1,$Y49,"")))</f>
        <v>40</v>
      </c>
      <c r="AS171" s="1286">
        <f>IF($E$30="Enter Duration (wks)","",IF($Y49="Enter Hrs/Wk","",IF($E$30&gt;='FORMULA REFS'!AD$1,$Y49,"")))</f>
        <v>40</v>
      </c>
      <c r="AT171" s="1286" t="str">
        <f>IF($E$30="Enter Duration (wks)","",IF($Y49="Enter Hrs/Wk","",IF($E$30&gt;='FORMULA REFS'!AE$1,$Y49,"")))</f>
        <v/>
      </c>
      <c r="AU171" s="1286" t="str">
        <f>IF($E$30="Enter Duration (wks)","",IF($Y49="Enter Hrs/Wk","",IF($E$30&gt;='FORMULA REFS'!AF$1,$Y49,"")))</f>
        <v/>
      </c>
      <c r="AV171" s="1286" t="str">
        <f>IF($E$30="Enter Duration (wks)","",IF($Y49="Enter Hrs/Wk","",IF($E$30&gt;='FORMULA REFS'!AG$1,$Y49,"")))</f>
        <v/>
      </c>
      <c r="AW171" s="1286" t="str">
        <f>IF($E$30="Enter Duration (wks)","",IF($Y49="Enter Hrs/Wk","",IF($E$30&gt;='FORMULA REFS'!AH$1,$Y49,"")))</f>
        <v/>
      </c>
      <c r="AX171" s="1286" t="str">
        <f>IF($E$30="Enter Duration (wks)","",IF($Y49="Enter Hrs/Wk","",IF($E$30&gt;='FORMULA REFS'!AI$1,$Y49,"")))</f>
        <v/>
      </c>
      <c r="AY171" s="1286" t="str">
        <f>IF($E$30="Enter Duration (wks)","",IF($Y49="Enter Hrs/Wk","",IF($E$30&gt;='FORMULA REFS'!AJ$1,$Y49,"")))</f>
        <v/>
      </c>
      <c r="AZ171" s="1286" t="str">
        <f>IF($E$30="Enter Duration (wks)","",IF($Y49="Enter Hrs/Wk","",IF($E$30&gt;='FORMULA REFS'!AK$1,$Y49,"")))</f>
        <v/>
      </c>
      <c r="BA171" s="1286" t="str">
        <f>IF($E$30="Enter Duration (wks)","",IF($Y49="Enter Hrs/Wk","",IF($E$30&gt;='FORMULA REFS'!AL$1,$Y49,"")))</f>
        <v/>
      </c>
      <c r="BB171" s="1286" t="str">
        <f>IF($E$30="Enter Duration (wks)","",IF($Y49="Enter Hrs/Wk","",IF($E$30&gt;='FORMULA REFS'!AM$1,$Y49,"")))</f>
        <v/>
      </c>
      <c r="BC171" s="1286" t="str">
        <f>IF($E$30="Enter Duration (wks)","",IF($Y49="Enter Hrs/Wk","",IF($E$30&gt;='FORMULA REFS'!AN$1,$Y49,"")))</f>
        <v/>
      </c>
      <c r="BD171" s="1286" t="str">
        <f>IF($E$30="Enter Duration (wks)","",IF($Y49="Enter Hrs/Wk","",IF($E$30&gt;='FORMULA REFS'!AO$1,$Y49,"")))</f>
        <v/>
      </c>
      <c r="BE171" s="1286" t="str">
        <f>IF($E$30="Enter Duration (wks)","",IF($Y49="Enter Hrs/Wk","",IF($E$30&gt;='FORMULA REFS'!AP$1,$Y49,"")))</f>
        <v/>
      </c>
      <c r="BF171" s="1286" t="str">
        <f>IF($E$30="Enter Duration (wks)","",IF($Y49="Enter Hrs/Wk","",IF($E$30&gt;='FORMULA REFS'!AQ$1,$Y49,"")))</f>
        <v/>
      </c>
      <c r="BG171" s="1286" t="str">
        <f>IF($E$30="Enter Duration (wks)","",IF($Y49="Enter Hrs/Wk","",IF($E$30&gt;='FORMULA REFS'!AR$1,$Y49,"")))</f>
        <v/>
      </c>
      <c r="BH171" s="1286" t="str">
        <f>IF($E$30="Enter Duration (wks)","",IF($Y49="Enter Hrs/Wk","",IF($E$30&gt;='FORMULA REFS'!AS$1,$Y49,"")))</f>
        <v/>
      </c>
      <c r="BI171" s="1286" t="str">
        <f>IF($E$30="Enter Duration (wks)","",IF($Y49="Enter Hrs/Wk","",IF($E$30&gt;='FORMULA REFS'!AT$1,$Y49,"")))</f>
        <v/>
      </c>
      <c r="BJ171" s="1286" t="str">
        <f>IF($E$30="Enter Duration (wks)","",IF($Y49="Enter Hrs/Wk","",IF($E$30&gt;='FORMULA REFS'!AU$1,$Y49,"")))</f>
        <v/>
      </c>
      <c r="BK171" s="1286" t="str">
        <f>IF($E$30="Enter Duration (wks)","",IF($Y49="Enter Hrs/Wk","",IF($E$30&gt;='FORMULA REFS'!AV$1,$Y49,"")))</f>
        <v/>
      </c>
      <c r="BL171" s="1286" t="str">
        <f>IF($E$30="Enter Duration (wks)","",IF($Y49="Enter Hrs/Wk","",IF($E$30&gt;='FORMULA REFS'!AW$1,$Y49,"")))</f>
        <v/>
      </c>
      <c r="BM171" s="1286" t="str">
        <f>IF($E$30="Enter Duration (wks)","",IF($Y49="Enter Hrs/Wk","",IF($E$30&gt;='FORMULA REFS'!AX$1,$Y49,"")))</f>
        <v/>
      </c>
      <c r="BN171" s="1286" t="str">
        <f>IF($E$30="Enter Duration (wks)","",IF($Y49="Enter Hrs/Wk","",IF($E$30&gt;='FORMULA REFS'!AY$1,$Y49,"")))</f>
        <v/>
      </c>
      <c r="BO171" s="1286" t="str">
        <f>IF($E$30="Enter Duration (wks)","",IF($Y49="Enter Hrs/Wk","",IF($E$30&gt;='FORMULA REFS'!AZ$1,$Y49,"")))</f>
        <v/>
      </c>
      <c r="BP171" s="538"/>
      <c r="BQ171" s="538"/>
      <c r="BR171" s="538"/>
      <c r="BS171" s="538"/>
      <c r="BT171" s="538"/>
      <c r="BU171" s="538"/>
      <c r="BV171" s="538"/>
      <c r="BW171" s="538"/>
      <c r="BX171" s="538"/>
      <c r="BY171" s="538"/>
      <c r="BZ171" s="538"/>
      <c r="CA171" s="538"/>
      <c r="CB171" s="538"/>
      <c r="CC171" s="538"/>
      <c r="CD171" s="527"/>
      <c r="CE171" s="527"/>
      <c r="CF171" s="527"/>
      <c r="CG171" s="527"/>
      <c r="CH171" s="527"/>
      <c r="CI171" s="527"/>
      <c r="CJ171" s="527"/>
      <c r="CK171" s="527"/>
      <c r="CL171" s="413"/>
      <c r="CM171" s="413"/>
      <c r="CN171" s="413"/>
      <c r="CO171" s="413"/>
      <c r="CP171" s="413"/>
      <c r="CQ171" s="413"/>
    </row>
    <row r="172" spans="3:95" x14ac:dyDescent="0.25">
      <c r="C172" s="1290" t="str">
        <f t="shared" si="80"/>
        <v>TADNorthAmerica</v>
      </c>
      <c r="D172" s="1318" t="str">
        <f>IF(K50="","",K50)</f>
        <v>UX Designer</v>
      </c>
      <c r="E172" s="1326"/>
      <c r="F172" s="1327">
        <f>IF($E$30="Enter Duration (wks)","",IF($Y50="Enter Hrs/Wk","",IF($E$30&gt;='FORMULA REFS'!A$1,$Y50,"")))</f>
        <v>40</v>
      </c>
      <c r="G172" s="1328"/>
      <c r="H172" s="1570"/>
      <c r="I172" s="1329">
        <f>IF($E$30="Enter Duration (wks)","",IF($Y50="Enter Hrs/Wk","",IF($E$30&gt;='FORMULA REFS'!B$1,$Y50,"")))</f>
        <v>40</v>
      </c>
      <c r="J172" s="1323"/>
      <c r="K172" s="1286">
        <f>IF($E$30="Enter Duration (wks)","",IF($Y50="Enter Hrs/Wk","",IF($E$30&gt;='FORMULA REFS'!C$1,$Y50,"")))</f>
        <v>40</v>
      </c>
      <c r="L172" s="882">
        <f>IF($E$30="Enter Duration (wks)","",IF($Y50="Enter Hrs/Wk","",IF($E$30&gt;='FORMULA REFS'!D$1,$Y50,"")))</f>
        <v>40</v>
      </c>
      <c r="M172" s="882">
        <f>IF($E$30="Enter Duration (wks)","",IF($Y50="Enter Hrs/Wk","",IF($E$30&gt;='FORMULA REFS'!E$1,$Y50,"")))</f>
        <v>40</v>
      </c>
      <c r="N172" s="882">
        <f>IF($E$30="Enter Duration (wks)","",IF($Y50="Enter Hrs/Wk","",IF($E$30&gt;='FORMULA REFS'!F$1,$Y50,"")))</f>
        <v>40</v>
      </c>
      <c r="O172" s="882">
        <f>IF($E$30="Enter Duration (wks)","",IF($Y50="Enter Hrs/Wk","",IF($E$30&gt;='FORMULA REFS'!G$1,$Y50,"")))</f>
        <v>40</v>
      </c>
      <c r="P172" s="882">
        <f>IF($E$30="Enter Duration (wks)","",IF($Y50="Enter Hrs/Wk","",IF($E$30&gt;='FORMULA REFS'!H$1,$Y50,"")))</f>
        <v>40</v>
      </c>
      <c r="Q172" s="882">
        <f>IF($E$30="Enter Duration (wks)","",IF($Y50="Enter Hrs/Wk","",IF($E$30&gt;='FORMULA REFS'!I$1,$Y50,"")))</f>
        <v>40</v>
      </c>
      <c r="R172" s="882">
        <f>IF($E$30="Enter Duration (wks)","",IF($Y50="Enter Hrs/Wk","",IF($E$30&gt;='FORMULA REFS'!J$1,$Y50,"")))</f>
        <v>40</v>
      </c>
      <c r="S172" s="882">
        <f>IF($E$30="Enter Duration (wks)","",IF($Y50="Enter Hrs/Wk","",IF($E$30&gt;='FORMULA REFS'!K$1,$Y50,"")))</f>
        <v>40</v>
      </c>
      <c r="T172" s="1323">
        <f>IF($E$30="Enter Duration (wks)","",IF($Y50="Enter Hrs/Wk","",IF($E$30&gt;='FORMULA REFS'!L$1,$Y50,"")))</f>
        <v>40</v>
      </c>
      <c r="U172" s="882">
        <f>IF($E$30="Enter Duration (wks)","",IF($Y50="Enter Hrs/Wk","",IF($E$30&gt;='FORMULA REFS'!M$1,$Y50,"")))</f>
        <v>40</v>
      </c>
      <c r="V172" s="882"/>
      <c r="W172" s="882"/>
      <c r="X172" s="1285"/>
      <c r="Y172" s="1285">
        <f>IF($E$30="Enter Duration (wks)","",IF($Y50="Enter Hrs/Wk","",IF($E$30&gt;='FORMULA REFS'!N$1,$Y50,"")))</f>
        <v>40</v>
      </c>
      <c r="Z172" s="1343">
        <f>IF($E$30="Enter Duration (wks)","",IF($Y50="Enter Hrs/Wk","",IF($E$30&gt;='FORMULA REFS'!O$1,$Y50,"")))</f>
        <v>40</v>
      </c>
      <c r="AA172" s="882">
        <f>IF($E$30="Enter Duration (wks)","",IF($Y50="Enter Hrs/Wk","",IF($E$30&gt;='FORMULA REFS'!P$1,$Y50,"")))</f>
        <v>40</v>
      </c>
      <c r="AB172" s="882">
        <f>IF($E$30="Enter Duration (wks)","",IF($Y50="Enter Hrs/Wk","",IF($E$30&gt;='FORMULA REFS'!Q$1,$Y50,"")))</f>
        <v>40</v>
      </c>
      <c r="AC172" s="882"/>
      <c r="AD172" s="882"/>
      <c r="AE172" s="882"/>
      <c r="AF172" s="882"/>
      <c r="AG172" s="1286">
        <f>IF($E$30="Enter Duration (wks)","",IF($Y50="Enter Hrs/Wk","",IF($E$30&gt;='FORMULA REFS'!R$1,$Y50,"")))</f>
        <v>40</v>
      </c>
      <c r="AH172" s="1286">
        <f>IF($E$30="Enter Duration (wks)","",IF($Y50="Enter Hrs/Wk","",IF($E$30&gt;='FORMULA REFS'!S$1,$Y50,"")))</f>
        <v>40</v>
      </c>
      <c r="AI172" s="1286">
        <f>IF($E$30="Enter Duration (wks)","",IF($Y50="Enter Hrs/Wk","",IF($E$30&gt;='FORMULA REFS'!T$1,$Y50,"")))</f>
        <v>40</v>
      </c>
      <c r="AJ172" s="1286">
        <f>IF($E$30="Enter Duration (wks)","",IF($Y50="Enter Hrs/Wk","",IF($E$30&gt;='FORMULA REFS'!U$1,$Y50,"")))</f>
        <v>40</v>
      </c>
      <c r="AK172" s="1286">
        <f>IF($E$30="Enter Duration (wks)","",IF($Y50="Enter Hrs/Wk","",IF($E$30&gt;='FORMULA REFS'!V$1,$Y50,"")))</f>
        <v>40</v>
      </c>
      <c r="AL172" s="1286">
        <f>IF($E$30="Enter Duration (wks)","",IF($Y50="Enter Hrs/Wk","",IF($E$30&gt;='FORMULA REFS'!W$1,$Y50,"")))</f>
        <v>40</v>
      </c>
      <c r="AM172" s="1286">
        <f>IF($E$30="Enter Duration (wks)","",IF($Y50="Enter Hrs/Wk","",IF($E$30&gt;='FORMULA REFS'!X$1,$Y50,"")))</f>
        <v>40</v>
      </c>
      <c r="AN172" s="1286">
        <f>IF($E$30="Enter Duration (wks)","",IF($Y50="Enter Hrs/Wk","",IF($E$30&gt;='FORMULA REFS'!Y$1,$Y50,"")))</f>
        <v>40</v>
      </c>
      <c r="AO172" s="1286">
        <f>IF($E$30="Enter Duration (wks)","",IF($Y50="Enter Hrs/Wk","",IF($E$30&gt;='FORMULA REFS'!Z$1,$Y50,"")))</f>
        <v>40</v>
      </c>
      <c r="AP172" s="1286">
        <f>IF($E$30="Enter Duration (wks)","",IF($Y50="Enter Hrs/Wk","",IF($E$30&gt;='FORMULA REFS'!AA$1,$Y50,"")))</f>
        <v>40</v>
      </c>
      <c r="AQ172" s="1286">
        <f>IF($E$30="Enter Duration (wks)","",IF($Y50="Enter Hrs/Wk","",IF($E$30&gt;='FORMULA REFS'!AB$1,$Y50,"")))</f>
        <v>40</v>
      </c>
      <c r="AR172" s="1286">
        <f>IF($E$30="Enter Duration (wks)","",IF($Y50="Enter Hrs/Wk","",IF($E$30&gt;='FORMULA REFS'!AC$1,$Y50,"")))</f>
        <v>40</v>
      </c>
      <c r="AS172" s="1286">
        <f>IF($E$30="Enter Duration (wks)","",IF($Y50="Enter Hrs/Wk","",IF($E$30&gt;='FORMULA REFS'!AD$1,$Y50,"")))</f>
        <v>40</v>
      </c>
      <c r="AT172" s="1286" t="str">
        <f>IF($E$30="Enter Duration (wks)","",IF($Y50="Enter Hrs/Wk","",IF($E$30&gt;='FORMULA REFS'!AE$1,$Y50,"")))</f>
        <v/>
      </c>
      <c r="AU172" s="1286" t="str">
        <f>IF($E$30="Enter Duration (wks)","",IF($Y50="Enter Hrs/Wk","",IF($E$30&gt;='FORMULA REFS'!AF$1,$Y50,"")))</f>
        <v/>
      </c>
      <c r="AV172" s="1286" t="str">
        <f>IF($E$30="Enter Duration (wks)","",IF($Y50="Enter Hrs/Wk","",IF($E$30&gt;='FORMULA REFS'!AG$1,$Y50,"")))</f>
        <v/>
      </c>
      <c r="AW172" s="1286" t="str">
        <f>IF($E$30="Enter Duration (wks)","",IF($Y50="Enter Hrs/Wk","",IF($E$30&gt;='FORMULA REFS'!AH$1,$Y50,"")))</f>
        <v/>
      </c>
      <c r="AX172" s="1286" t="str">
        <f>IF($E$30="Enter Duration (wks)","",IF($Y50="Enter Hrs/Wk","",IF($E$30&gt;='FORMULA REFS'!AI$1,$Y50,"")))</f>
        <v/>
      </c>
      <c r="AY172" s="1286" t="str">
        <f>IF($E$30="Enter Duration (wks)","",IF($Y50="Enter Hrs/Wk","",IF($E$30&gt;='FORMULA REFS'!AJ$1,$Y50,"")))</f>
        <v/>
      </c>
      <c r="AZ172" s="1286" t="str">
        <f>IF($E$30="Enter Duration (wks)","",IF($Y50="Enter Hrs/Wk","",IF($E$30&gt;='FORMULA REFS'!AK$1,$Y50,"")))</f>
        <v/>
      </c>
      <c r="BA172" s="1286" t="str">
        <f>IF($E$30="Enter Duration (wks)","",IF($Y50="Enter Hrs/Wk","",IF($E$30&gt;='FORMULA REFS'!AL$1,$Y50,"")))</f>
        <v/>
      </c>
      <c r="BB172" s="1286" t="str">
        <f>IF($E$30="Enter Duration (wks)","",IF($Y50="Enter Hrs/Wk","",IF($E$30&gt;='FORMULA REFS'!AM$1,$Y50,"")))</f>
        <v/>
      </c>
      <c r="BC172" s="1286" t="str">
        <f>IF($E$30="Enter Duration (wks)","",IF($Y50="Enter Hrs/Wk","",IF($E$30&gt;='FORMULA REFS'!AN$1,$Y50,"")))</f>
        <v/>
      </c>
      <c r="BD172" s="1286" t="str">
        <f>IF($E$30="Enter Duration (wks)","",IF($Y50="Enter Hrs/Wk","",IF($E$30&gt;='FORMULA REFS'!AO$1,$Y50,"")))</f>
        <v/>
      </c>
      <c r="BE172" s="1286" t="str">
        <f>IF($E$30="Enter Duration (wks)","",IF($Y50="Enter Hrs/Wk","",IF($E$30&gt;='FORMULA REFS'!AP$1,$Y50,"")))</f>
        <v/>
      </c>
      <c r="BF172" s="1286" t="str">
        <f>IF($E$30="Enter Duration (wks)","",IF($Y50="Enter Hrs/Wk","",IF($E$30&gt;='FORMULA REFS'!AQ$1,$Y50,"")))</f>
        <v/>
      </c>
      <c r="BG172" s="1286" t="str">
        <f>IF($E$30="Enter Duration (wks)","",IF($Y50="Enter Hrs/Wk","",IF($E$30&gt;='FORMULA REFS'!AR$1,$Y50,"")))</f>
        <v/>
      </c>
      <c r="BH172" s="1286" t="str">
        <f>IF($E$30="Enter Duration (wks)","",IF($Y50="Enter Hrs/Wk","",IF($E$30&gt;='FORMULA REFS'!AS$1,$Y50,"")))</f>
        <v/>
      </c>
      <c r="BI172" s="1286" t="str">
        <f>IF($E$30="Enter Duration (wks)","",IF($Y50="Enter Hrs/Wk","",IF($E$30&gt;='FORMULA REFS'!AT$1,$Y50,"")))</f>
        <v/>
      </c>
      <c r="BJ172" s="1286" t="str">
        <f>IF($E$30="Enter Duration (wks)","",IF($Y50="Enter Hrs/Wk","",IF($E$30&gt;='FORMULA REFS'!AU$1,$Y50,"")))</f>
        <v/>
      </c>
      <c r="BK172" s="1286" t="str">
        <f>IF($E$30="Enter Duration (wks)","",IF($Y50="Enter Hrs/Wk","",IF($E$30&gt;='FORMULA REFS'!AV$1,$Y50,"")))</f>
        <v/>
      </c>
      <c r="BL172" s="1286" t="str">
        <f>IF($E$30="Enter Duration (wks)","",IF($Y50="Enter Hrs/Wk","",IF($E$30&gt;='FORMULA REFS'!AW$1,$Y50,"")))</f>
        <v/>
      </c>
      <c r="BM172" s="1286" t="str">
        <f>IF($E$30="Enter Duration (wks)","",IF($Y50="Enter Hrs/Wk","",IF($E$30&gt;='FORMULA REFS'!AX$1,$Y50,"")))</f>
        <v/>
      </c>
      <c r="BN172" s="1286" t="str">
        <f>IF($E$30="Enter Duration (wks)","",IF($Y50="Enter Hrs/Wk","",IF($E$30&gt;='FORMULA REFS'!AY$1,$Y50,"")))</f>
        <v/>
      </c>
      <c r="BO172" s="1286" t="str">
        <f>IF($E$30="Enter Duration (wks)","",IF($Y50="Enter Hrs/Wk","",IF($E$30&gt;='FORMULA REFS'!AZ$1,$Y50,"")))</f>
        <v/>
      </c>
      <c r="BP172" s="523"/>
      <c r="BQ172" s="523"/>
      <c r="BR172" s="523"/>
      <c r="BS172" s="523"/>
      <c r="BT172" s="523"/>
      <c r="BU172" s="523"/>
      <c r="BV172" s="523"/>
      <c r="BW172" s="523"/>
      <c r="BX172" s="523"/>
      <c r="BY172" s="523"/>
      <c r="BZ172" s="523"/>
      <c r="CA172" s="523"/>
      <c r="CB172" s="539"/>
      <c r="CC172" s="539"/>
      <c r="CD172" s="539"/>
      <c r="CE172" s="540"/>
      <c r="CF172" s="540"/>
      <c r="CG172" s="523"/>
      <c r="CH172" s="523"/>
      <c r="CI172" s="541"/>
      <c r="CJ172" s="523"/>
      <c r="CK172" s="523"/>
      <c r="CL172" s="413"/>
      <c r="CM172" s="413"/>
      <c r="CN172" s="413"/>
      <c r="CO172" s="413"/>
      <c r="CP172" s="413"/>
      <c r="CQ172" s="413"/>
    </row>
    <row r="173" spans="3:95" x14ac:dyDescent="0.25">
      <c r="C173" s="1290" t="str">
        <f t="shared" si="80"/>
        <v>TADIndia</v>
      </c>
      <c r="D173" s="1318" t="str">
        <f>IF(K51="","",K51)</f>
        <v>UX Designer</v>
      </c>
      <c r="E173" s="1326"/>
      <c r="F173" s="1327">
        <f>IF($E$30="Enter Duration (wks)","",IF($Y51="Enter Hrs/Wk","",IF($E$30&gt;='FORMULA REFS'!A$1,$Y51,"")))</f>
        <v>40</v>
      </c>
      <c r="G173" s="1328"/>
      <c r="H173" s="1570"/>
      <c r="I173" s="1329">
        <f>IF($E$30="Enter Duration (wks)","",IF($Y51="Enter Hrs/Wk","",IF($E$30&gt;='FORMULA REFS'!B$1,$Y51,"")))</f>
        <v>40</v>
      </c>
      <c r="J173" s="1323"/>
      <c r="K173" s="1286">
        <f>IF($E$30="Enter Duration (wks)","",IF($Y51="Enter Hrs/Wk","",IF($E$30&gt;='FORMULA REFS'!C$1,$Y51,"")))</f>
        <v>40</v>
      </c>
      <c r="L173" s="882">
        <f>IF($E$30="Enter Duration (wks)","",IF($Y51="Enter Hrs/Wk","",IF($E$30&gt;='FORMULA REFS'!D$1,$Y51,"")))</f>
        <v>40</v>
      </c>
      <c r="M173" s="882">
        <f>IF($E$30="Enter Duration (wks)","",IF($Y51="Enter Hrs/Wk","",IF($E$30&gt;='FORMULA REFS'!E$1,$Y51,"")))</f>
        <v>40</v>
      </c>
      <c r="N173" s="882">
        <f>IF($E$30="Enter Duration (wks)","",IF($Y51="Enter Hrs/Wk","",IF($E$30&gt;='FORMULA REFS'!F$1,$Y51,"")))</f>
        <v>40</v>
      </c>
      <c r="O173" s="882">
        <f>IF($E$30="Enter Duration (wks)","",IF($Y51="Enter Hrs/Wk","",IF($E$30&gt;='FORMULA REFS'!G$1,$Y51,"")))</f>
        <v>40</v>
      </c>
      <c r="P173" s="882">
        <f>IF($E$30="Enter Duration (wks)","",IF($Y51="Enter Hrs/Wk","",IF($E$30&gt;='FORMULA REFS'!H$1,$Y51,"")))</f>
        <v>40</v>
      </c>
      <c r="Q173" s="882">
        <f>IF($E$30="Enter Duration (wks)","",IF($Y51="Enter Hrs/Wk","",IF($E$30&gt;='FORMULA REFS'!I$1,$Y51,"")))</f>
        <v>40</v>
      </c>
      <c r="R173" s="882">
        <f>IF($E$30="Enter Duration (wks)","",IF($Y51="Enter Hrs/Wk","",IF($E$30&gt;='FORMULA REFS'!J$1,$Y51,"")))</f>
        <v>40</v>
      </c>
      <c r="S173" s="882">
        <f>IF($E$30="Enter Duration (wks)","",IF($Y51="Enter Hrs/Wk","",IF($E$30&gt;='FORMULA REFS'!K$1,$Y51,"")))</f>
        <v>40</v>
      </c>
      <c r="T173" s="1323">
        <f>IF($E$30="Enter Duration (wks)","",IF($Y51="Enter Hrs/Wk","",IF($E$30&gt;='FORMULA REFS'!L$1,$Y51,"")))</f>
        <v>40</v>
      </c>
      <c r="U173" s="882">
        <f>IF($E$30="Enter Duration (wks)","",IF($Y51="Enter Hrs/Wk","",IF($E$30&gt;='FORMULA REFS'!M$1,$Y51,"")))</f>
        <v>40</v>
      </c>
      <c r="V173" s="882"/>
      <c r="W173" s="882"/>
      <c r="X173" s="1285"/>
      <c r="Y173" s="1285">
        <f>IF($E$30="Enter Duration (wks)","",IF($Y51="Enter Hrs/Wk","",IF($E$30&gt;='FORMULA REFS'!N$1,$Y51,"")))</f>
        <v>40</v>
      </c>
      <c r="Z173" s="1343">
        <f>IF($E$30="Enter Duration (wks)","",IF($Y51="Enter Hrs/Wk","",IF($E$30&gt;='FORMULA REFS'!O$1,$Y51,"")))</f>
        <v>40</v>
      </c>
      <c r="AA173" s="882">
        <f>IF($E$30="Enter Duration (wks)","",IF($Y51="Enter Hrs/Wk","",IF($E$30&gt;='FORMULA REFS'!P$1,$Y51,"")))</f>
        <v>40</v>
      </c>
      <c r="AB173" s="882">
        <f>IF($E$30="Enter Duration (wks)","",IF($Y51="Enter Hrs/Wk","",IF($E$30&gt;='FORMULA REFS'!Q$1,$Y51,"")))</f>
        <v>40</v>
      </c>
      <c r="AC173" s="882"/>
      <c r="AD173" s="882"/>
      <c r="AE173" s="882"/>
      <c r="AF173" s="882"/>
      <c r="AG173" s="1286">
        <f>IF($E$30="Enter Duration (wks)","",IF($Y51="Enter Hrs/Wk","",IF($E$30&gt;='FORMULA REFS'!R$1,$Y51,"")))</f>
        <v>40</v>
      </c>
      <c r="AH173" s="1286">
        <f>IF($E$30="Enter Duration (wks)","",IF($Y51="Enter Hrs/Wk","",IF($E$30&gt;='FORMULA REFS'!S$1,$Y51,"")))</f>
        <v>40</v>
      </c>
      <c r="AI173" s="1286">
        <f>IF($E$30="Enter Duration (wks)","",IF($Y51="Enter Hrs/Wk","",IF($E$30&gt;='FORMULA REFS'!T$1,$Y51,"")))</f>
        <v>40</v>
      </c>
      <c r="AJ173" s="1286">
        <f>IF($E$30="Enter Duration (wks)","",IF($Y51="Enter Hrs/Wk","",IF($E$30&gt;='FORMULA REFS'!U$1,$Y51,"")))</f>
        <v>40</v>
      </c>
      <c r="AK173" s="1286">
        <f>IF($E$30="Enter Duration (wks)","",IF($Y51="Enter Hrs/Wk","",IF($E$30&gt;='FORMULA REFS'!V$1,$Y51,"")))</f>
        <v>40</v>
      </c>
      <c r="AL173" s="1286">
        <f>IF($E$30="Enter Duration (wks)","",IF($Y51="Enter Hrs/Wk","",IF($E$30&gt;='FORMULA REFS'!W$1,$Y51,"")))</f>
        <v>40</v>
      </c>
      <c r="AM173" s="1286">
        <f>IF($E$30="Enter Duration (wks)","",IF($Y51="Enter Hrs/Wk","",IF($E$30&gt;='FORMULA REFS'!X$1,$Y51,"")))</f>
        <v>40</v>
      </c>
      <c r="AN173" s="1286">
        <f>IF($E$30="Enter Duration (wks)","",IF($Y51="Enter Hrs/Wk","",IF($E$30&gt;='FORMULA REFS'!Y$1,$Y51,"")))</f>
        <v>40</v>
      </c>
      <c r="AO173" s="1286">
        <f>IF($E$30="Enter Duration (wks)","",IF($Y51="Enter Hrs/Wk","",IF($E$30&gt;='FORMULA REFS'!Z$1,$Y51,"")))</f>
        <v>40</v>
      </c>
      <c r="AP173" s="1286">
        <f>IF($E$30="Enter Duration (wks)","",IF($Y51="Enter Hrs/Wk","",IF($E$30&gt;='FORMULA REFS'!AA$1,$Y51,"")))</f>
        <v>40</v>
      </c>
      <c r="AQ173" s="1286">
        <f>IF($E$30="Enter Duration (wks)","",IF($Y51="Enter Hrs/Wk","",IF($E$30&gt;='FORMULA REFS'!AB$1,$Y51,"")))</f>
        <v>40</v>
      </c>
      <c r="AR173" s="1286">
        <f>IF($E$30="Enter Duration (wks)","",IF($Y51="Enter Hrs/Wk","",IF($E$30&gt;='FORMULA REFS'!AC$1,$Y51,"")))</f>
        <v>40</v>
      </c>
      <c r="AS173" s="1286">
        <f>IF($E$30="Enter Duration (wks)","",IF($Y51="Enter Hrs/Wk","",IF($E$30&gt;='FORMULA REFS'!AD$1,$Y51,"")))</f>
        <v>40</v>
      </c>
      <c r="AT173" s="1286" t="str">
        <f>IF($E$30="Enter Duration (wks)","",IF($Y51="Enter Hrs/Wk","",IF($E$30&gt;='FORMULA REFS'!AE$1,$Y51,"")))</f>
        <v/>
      </c>
      <c r="AU173" s="1286" t="str">
        <f>IF($E$30="Enter Duration (wks)","",IF($Y51="Enter Hrs/Wk","",IF($E$30&gt;='FORMULA REFS'!AF$1,$Y51,"")))</f>
        <v/>
      </c>
      <c r="AV173" s="1286" t="str">
        <f>IF($E$30="Enter Duration (wks)","",IF($Y51="Enter Hrs/Wk","",IF($E$30&gt;='FORMULA REFS'!AG$1,$Y51,"")))</f>
        <v/>
      </c>
      <c r="AW173" s="1286" t="str">
        <f>IF($E$30="Enter Duration (wks)","",IF($Y51="Enter Hrs/Wk","",IF($E$30&gt;='FORMULA REFS'!AH$1,$Y51,"")))</f>
        <v/>
      </c>
      <c r="AX173" s="1286" t="str">
        <f>IF($E$30="Enter Duration (wks)","",IF($Y51="Enter Hrs/Wk","",IF($E$30&gt;='FORMULA REFS'!AI$1,$Y51,"")))</f>
        <v/>
      </c>
      <c r="AY173" s="1286" t="str">
        <f>IF($E$30="Enter Duration (wks)","",IF($Y51="Enter Hrs/Wk","",IF($E$30&gt;='FORMULA REFS'!AJ$1,$Y51,"")))</f>
        <v/>
      </c>
      <c r="AZ173" s="1286" t="str">
        <f>IF($E$30="Enter Duration (wks)","",IF($Y51="Enter Hrs/Wk","",IF($E$30&gt;='FORMULA REFS'!AK$1,$Y51,"")))</f>
        <v/>
      </c>
      <c r="BA173" s="1286" t="str">
        <f>IF($E$30="Enter Duration (wks)","",IF($Y51="Enter Hrs/Wk","",IF($E$30&gt;='FORMULA REFS'!AL$1,$Y51,"")))</f>
        <v/>
      </c>
      <c r="BB173" s="1286" t="str">
        <f>IF($E$30="Enter Duration (wks)","",IF($Y51="Enter Hrs/Wk","",IF($E$30&gt;='FORMULA REFS'!AM$1,$Y51,"")))</f>
        <v/>
      </c>
      <c r="BC173" s="1286" t="str">
        <f>IF($E$30="Enter Duration (wks)","",IF($Y51="Enter Hrs/Wk","",IF($E$30&gt;='FORMULA REFS'!AN$1,$Y51,"")))</f>
        <v/>
      </c>
      <c r="BD173" s="1286" t="str">
        <f>IF($E$30="Enter Duration (wks)","",IF($Y51="Enter Hrs/Wk","",IF($E$30&gt;='FORMULA REFS'!AO$1,$Y51,"")))</f>
        <v/>
      </c>
      <c r="BE173" s="1286" t="str">
        <f>IF($E$30="Enter Duration (wks)","",IF($Y51="Enter Hrs/Wk","",IF($E$30&gt;='FORMULA REFS'!AP$1,$Y51,"")))</f>
        <v/>
      </c>
      <c r="BF173" s="1286" t="str">
        <f>IF($E$30="Enter Duration (wks)","",IF($Y51="Enter Hrs/Wk","",IF($E$30&gt;='FORMULA REFS'!AQ$1,$Y51,"")))</f>
        <v/>
      </c>
      <c r="BG173" s="1286" t="str">
        <f>IF($E$30="Enter Duration (wks)","",IF($Y51="Enter Hrs/Wk","",IF($E$30&gt;='FORMULA REFS'!AR$1,$Y51,"")))</f>
        <v/>
      </c>
      <c r="BH173" s="1286" t="str">
        <f>IF($E$30="Enter Duration (wks)","",IF($Y51="Enter Hrs/Wk","",IF($E$30&gt;='FORMULA REFS'!AS$1,$Y51,"")))</f>
        <v/>
      </c>
      <c r="BI173" s="1286" t="str">
        <f>IF($E$30="Enter Duration (wks)","",IF($Y51="Enter Hrs/Wk","",IF($E$30&gt;='FORMULA REFS'!AT$1,$Y51,"")))</f>
        <v/>
      </c>
      <c r="BJ173" s="1286" t="str">
        <f>IF($E$30="Enter Duration (wks)","",IF($Y51="Enter Hrs/Wk","",IF($E$30&gt;='FORMULA REFS'!AU$1,$Y51,"")))</f>
        <v/>
      </c>
      <c r="BK173" s="1286" t="str">
        <f>IF($E$30="Enter Duration (wks)","",IF($Y51="Enter Hrs/Wk","",IF($E$30&gt;='FORMULA REFS'!AV$1,$Y51,"")))</f>
        <v/>
      </c>
      <c r="BL173" s="1286" t="str">
        <f>IF($E$30="Enter Duration (wks)","",IF($Y51="Enter Hrs/Wk","",IF($E$30&gt;='FORMULA REFS'!AW$1,$Y51,"")))</f>
        <v/>
      </c>
      <c r="BM173" s="1286" t="str">
        <f>IF($E$30="Enter Duration (wks)","",IF($Y51="Enter Hrs/Wk","",IF($E$30&gt;='FORMULA REFS'!AX$1,$Y51,"")))</f>
        <v/>
      </c>
      <c r="BN173" s="1286" t="str">
        <f>IF($E$30="Enter Duration (wks)","",IF($Y51="Enter Hrs/Wk","",IF($E$30&gt;='FORMULA REFS'!AY$1,$Y51,"")))</f>
        <v/>
      </c>
      <c r="BO173" s="1286" t="str">
        <f>IF($E$30="Enter Duration (wks)","",IF($Y51="Enter Hrs/Wk","",IF($E$30&gt;='FORMULA REFS'!AZ$1,$Y51,"")))</f>
        <v/>
      </c>
      <c r="BP173" s="542"/>
      <c r="BQ173" s="542"/>
      <c r="BR173" s="542"/>
      <c r="BS173" s="542"/>
      <c r="BT173" s="542"/>
      <c r="BU173" s="542"/>
      <c r="BV173" s="542"/>
      <c r="BW173" s="542"/>
      <c r="BX173" s="542"/>
      <c r="BY173" s="542"/>
      <c r="BZ173" s="542"/>
      <c r="CA173" s="542"/>
      <c r="CB173" s="543"/>
      <c r="CC173" s="543"/>
      <c r="CD173" s="543"/>
      <c r="CE173" s="544"/>
      <c r="CF173" s="544"/>
      <c r="CG173" s="523"/>
      <c r="CH173" s="523"/>
      <c r="CI173" s="541"/>
      <c r="CJ173" s="539"/>
      <c r="CK173" s="539"/>
      <c r="CL173" s="413"/>
      <c r="CM173" s="413"/>
      <c r="CN173" s="413"/>
      <c r="CO173" s="413"/>
      <c r="CP173" s="413"/>
      <c r="CQ173" s="413"/>
    </row>
    <row r="174" spans="3:95" x14ac:dyDescent="0.25">
      <c r="C174" s="1291" t="str">
        <f t="shared" si="80"/>
        <v>TADNorthAmerica</v>
      </c>
      <c r="D174" s="1318" t="str">
        <f t="shared" ref="D174:D237" si="81">IF(K52="","",K52)</f>
        <v>Technical Lead</v>
      </c>
      <c r="E174" s="1326"/>
      <c r="F174" s="1327">
        <f>IF($E$30="Enter Duration (wks)","",IF($Y52="Enter Hrs/Wk","",IF($E$30&gt;='FORMULA REFS'!A$1,$Y52,"")))</f>
        <v>40</v>
      </c>
      <c r="G174" s="1328"/>
      <c r="H174" s="1570"/>
      <c r="I174" s="1329">
        <f>IF($E$30="Enter Duration (wks)","",IF($Y52="Enter Hrs/Wk","",IF($E$30&gt;='FORMULA REFS'!B$1,$Y52,"")))</f>
        <v>40</v>
      </c>
      <c r="J174" s="1323"/>
      <c r="K174" s="1286">
        <f>IF($E$30="Enter Duration (wks)","",IF($Y52="Enter Hrs/Wk","",IF($E$30&gt;='FORMULA REFS'!C$1,$Y52,"")))</f>
        <v>40</v>
      </c>
      <c r="L174" s="882">
        <f>IF($E$30="Enter Duration (wks)","",IF($Y52="Enter Hrs/Wk","",IF($E$30&gt;='FORMULA REFS'!D$1,$Y52,"")))</f>
        <v>40</v>
      </c>
      <c r="M174" s="882">
        <f>IF($E$30="Enter Duration (wks)","",IF($Y52="Enter Hrs/Wk","",IF($E$30&gt;='FORMULA REFS'!E$1,$Y52,"")))</f>
        <v>40</v>
      </c>
      <c r="N174" s="882">
        <f>IF($E$30="Enter Duration (wks)","",IF($Y52="Enter Hrs/Wk","",IF($E$30&gt;='FORMULA REFS'!F$1,$Y52,"")))</f>
        <v>40</v>
      </c>
      <c r="O174" s="882">
        <f>IF($E$30="Enter Duration (wks)","",IF($Y52="Enter Hrs/Wk","",IF($E$30&gt;='FORMULA REFS'!G$1,$Y52,"")))</f>
        <v>40</v>
      </c>
      <c r="P174" s="882">
        <f>IF($E$30="Enter Duration (wks)","",IF($Y52="Enter Hrs/Wk","",IF($E$30&gt;='FORMULA REFS'!H$1,$Y52,"")))</f>
        <v>40</v>
      </c>
      <c r="Q174" s="882">
        <f>IF($E$30="Enter Duration (wks)","",IF($Y52="Enter Hrs/Wk","",IF($E$30&gt;='FORMULA REFS'!I$1,$Y52,"")))</f>
        <v>40</v>
      </c>
      <c r="R174" s="882">
        <f>IF($E$30="Enter Duration (wks)","",IF($Y52="Enter Hrs/Wk","",IF($E$30&gt;='FORMULA REFS'!J$1,$Y52,"")))</f>
        <v>40</v>
      </c>
      <c r="S174" s="882">
        <f>IF($E$30="Enter Duration (wks)","",IF($Y52="Enter Hrs/Wk","",IF($E$30&gt;='FORMULA REFS'!K$1,$Y52,"")))</f>
        <v>40</v>
      </c>
      <c r="T174" s="1323">
        <f>IF($E$30="Enter Duration (wks)","",IF($Y52="Enter Hrs/Wk","",IF($E$30&gt;='FORMULA REFS'!L$1,$Y52,"")))</f>
        <v>40</v>
      </c>
      <c r="U174" s="882">
        <f>IF($E$30="Enter Duration (wks)","",IF($Y52="Enter Hrs/Wk","",IF($E$30&gt;='FORMULA REFS'!M$1,$Y52,"")))</f>
        <v>40</v>
      </c>
      <c r="V174" s="882"/>
      <c r="W174" s="882"/>
      <c r="X174" s="1285"/>
      <c r="Y174" s="1285">
        <f>IF($E$30="Enter Duration (wks)","",IF($Y52="Enter Hrs/Wk","",IF($E$30&gt;='FORMULA REFS'!N$1,$Y52,"")))</f>
        <v>40</v>
      </c>
      <c r="Z174" s="1343">
        <f>IF($E$30="Enter Duration (wks)","",IF($Y52="Enter Hrs/Wk","",IF($E$30&gt;='FORMULA REFS'!O$1,$Y52,"")))</f>
        <v>40</v>
      </c>
      <c r="AA174" s="882">
        <f>IF($E$30="Enter Duration (wks)","",IF($Y52="Enter Hrs/Wk","",IF($E$30&gt;='FORMULA REFS'!P$1,$Y52,"")))</f>
        <v>40</v>
      </c>
      <c r="AB174" s="882">
        <f>IF($E$30="Enter Duration (wks)","",IF($Y52="Enter Hrs/Wk","",IF($E$30&gt;='FORMULA REFS'!Q$1,$Y52,"")))</f>
        <v>40</v>
      </c>
      <c r="AC174" s="882"/>
      <c r="AD174" s="882"/>
      <c r="AE174" s="882"/>
      <c r="AF174" s="882"/>
      <c r="AG174" s="1286">
        <f>IF($E$30="Enter Duration (wks)","",IF($Y52="Enter Hrs/Wk","",IF($E$30&gt;='FORMULA REFS'!R$1,$Y52,"")))</f>
        <v>40</v>
      </c>
      <c r="AH174" s="1286">
        <f>IF($E$30="Enter Duration (wks)","",IF($Y52="Enter Hrs/Wk","",IF($E$30&gt;='FORMULA REFS'!S$1,$Y52,"")))</f>
        <v>40</v>
      </c>
      <c r="AI174" s="1286">
        <f>IF($E$30="Enter Duration (wks)","",IF($Y52="Enter Hrs/Wk","",IF($E$30&gt;='FORMULA REFS'!T$1,$Y52,"")))</f>
        <v>40</v>
      </c>
      <c r="AJ174" s="1286">
        <f>IF($E$30="Enter Duration (wks)","",IF($Y52="Enter Hrs/Wk","",IF($E$30&gt;='FORMULA REFS'!U$1,$Y52,"")))</f>
        <v>40</v>
      </c>
      <c r="AK174" s="1286">
        <f>IF($E$30="Enter Duration (wks)","",IF($Y52="Enter Hrs/Wk","",IF($E$30&gt;='FORMULA REFS'!V$1,$Y52,"")))</f>
        <v>40</v>
      </c>
      <c r="AL174" s="1286">
        <f>IF($E$30="Enter Duration (wks)","",IF($Y52="Enter Hrs/Wk","",IF($E$30&gt;='FORMULA REFS'!W$1,$Y52,"")))</f>
        <v>40</v>
      </c>
      <c r="AM174" s="1286">
        <f>IF($E$30="Enter Duration (wks)","",IF($Y52="Enter Hrs/Wk","",IF($E$30&gt;='FORMULA REFS'!X$1,$Y52,"")))</f>
        <v>40</v>
      </c>
      <c r="AN174" s="1286">
        <f>IF($E$30="Enter Duration (wks)","",IF($Y52="Enter Hrs/Wk","",IF($E$30&gt;='FORMULA REFS'!Y$1,$Y52,"")))</f>
        <v>40</v>
      </c>
      <c r="AO174" s="1286">
        <f>IF($E$30="Enter Duration (wks)","",IF($Y52="Enter Hrs/Wk","",IF($E$30&gt;='FORMULA REFS'!Z$1,$Y52,"")))</f>
        <v>40</v>
      </c>
      <c r="AP174" s="1286">
        <f>IF($E$30="Enter Duration (wks)","",IF($Y52="Enter Hrs/Wk","",IF($E$30&gt;='FORMULA REFS'!AA$1,$Y52,"")))</f>
        <v>40</v>
      </c>
      <c r="AQ174" s="1286">
        <f>IF($E$30="Enter Duration (wks)","",IF($Y52="Enter Hrs/Wk","",IF($E$30&gt;='FORMULA REFS'!AB$1,$Y52,"")))</f>
        <v>40</v>
      </c>
      <c r="AR174" s="1286">
        <f>IF($E$30="Enter Duration (wks)","",IF($Y52="Enter Hrs/Wk","",IF($E$30&gt;='FORMULA REFS'!AC$1,$Y52,"")))</f>
        <v>40</v>
      </c>
      <c r="AS174" s="1286">
        <f>IF($E$30="Enter Duration (wks)","",IF($Y52="Enter Hrs/Wk","",IF($E$30&gt;='FORMULA REFS'!AD$1,$Y52,"")))</f>
        <v>40</v>
      </c>
      <c r="AT174" s="1286" t="str">
        <f>IF($E$30="Enter Duration (wks)","",IF($Y52="Enter Hrs/Wk","",IF($E$30&gt;='FORMULA REFS'!AE$1,$Y52,"")))</f>
        <v/>
      </c>
      <c r="AU174" s="1286" t="str">
        <f>IF($E$30="Enter Duration (wks)","",IF($Y52="Enter Hrs/Wk","",IF($E$30&gt;='FORMULA REFS'!AF$1,$Y52,"")))</f>
        <v/>
      </c>
      <c r="AV174" s="1286" t="str">
        <f>IF($E$30="Enter Duration (wks)","",IF($Y52="Enter Hrs/Wk","",IF($E$30&gt;='FORMULA REFS'!AG$1,$Y52,"")))</f>
        <v/>
      </c>
      <c r="AW174" s="1286" t="str">
        <f>IF($E$30="Enter Duration (wks)","",IF($Y52="Enter Hrs/Wk","",IF($E$30&gt;='FORMULA REFS'!AH$1,$Y52,"")))</f>
        <v/>
      </c>
      <c r="AX174" s="1286" t="str">
        <f>IF($E$30="Enter Duration (wks)","",IF($Y52="Enter Hrs/Wk","",IF($E$30&gt;='FORMULA REFS'!AI$1,$Y52,"")))</f>
        <v/>
      </c>
      <c r="AY174" s="1286" t="str">
        <f>IF($E$30="Enter Duration (wks)","",IF($Y52="Enter Hrs/Wk","",IF($E$30&gt;='FORMULA REFS'!AJ$1,$Y52,"")))</f>
        <v/>
      </c>
      <c r="AZ174" s="1286" t="str">
        <f>IF($E$30="Enter Duration (wks)","",IF($Y52="Enter Hrs/Wk","",IF($E$30&gt;='FORMULA REFS'!AK$1,$Y52,"")))</f>
        <v/>
      </c>
      <c r="BA174" s="1286" t="str">
        <f>IF($E$30="Enter Duration (wks)","",IF($Y52="Enter Hrs/Wk","",IF($E$30&gt;='FORMULA REFS'!AL$1,$Y52,"")))</f>
        <v/>
      </c>
      <c r="BB174" s="1286" t="str">
        <f>IF($E$30="Enter Duration (wks)","",IF($Y52="Enter Hrs/Wk","",IF($E$30&gt;='FORMULA REFS'!AM$1,$Y52,"")))</f>
        <v/>
      </c>
      <c r="BC174" s="1286" t="str">
        <f>IF($E$30="Enter Duration (wks)","",IF($Y52="Enter Hrs/Wk","",IF($E$30&gt;='FORMULA REFS'!AN$1,$Y52,"")))</f>
        <v/>
      </c>
      <c r="BD174" s="1286" t="str">
        <f>IF($E$30="Enter Duration (wks)","",IF($Y52="Enter Hrs/Wk","",IF($E$30&gt;='FORMULA REFS'!AO$1,$Y52,"")))</f>
        <v/>
      </c>
      <c r="BE174" s="1286" t="str">
        <f>IF($E$30="Enter Duration (wks)","",IF($Y52="Enter Hrs/Wk","",IF($E$30&gt;='FORMULA REFS'!AP$1,$Y52,"")))</f>
        <v/>
      </c>
      <c r="BF174" s="1286" t="str">
        <f>IF($E$30="Enter Duration (wks)","",IF($Y52="Enter Hrs/Wk","",IF($E$30&gt;='FORMULA REFS'!AQ$1,$Y52,"")))</f>
        <v/>
      </c>
      <c r="BG174" s="1286" t="str">
        <f>IF($E$30="Enter Duration (wks)","",IF($Y52="Enter Hrs/Wk","",IF($E$30&gt;='FORMULA REFS'!AR$1,$Y52,"")))</f>
        <v/>
      </c>
      <c r="BH174" s="1286" t="str">
        <f>IF($E$30="Enter Duration (wks)","",IF($Y52="Enter Hrs/Wk","",IF($E$30&gt;='FORMULA REFS'!AS$1,$Y52,"")))</f>
        <v/>
      </c>
      <c r="BI174" s="1286" t="str">
        <f>IF($E$30="Enter Duration (wks)","",IF($Y52="Enter Hrs/Wk","",IF($E$30&gt;='FORMULA REFS'!AT$1,$Y52,"")))</f>
        <v/>
      </c>
      <c r="BJ174" s="1286" t="str">
        <f>IF($E$30="Enter Duration (wks)","",IF($Y52="Enter Hrs/Wk","",IF($E$30&gt;='FORMULA REFS'!AU$1,$Y52,"")))</f>
        <v/>
      </c>
      <c r="BK174" s="1286" t="str">
        <f>IF($E$30="Enter Duration (wks)","",IF($Y52="Enter Hrs/Wk","",IF($E$30&gt;='FORMULA REFS'!AV$1,$Y52,"")))</f>
        <v/>
      </c>
      <c r="BL174" s="1286" t="str">
        <f>IF($E$30="Enter Duration (wks)","",IF($Y52="Enter Hrs/Wk","",IF($E$30&gt;='FORMULA REFS'!AW$1,$Y52,"")))</f>
        <v/>
      </c>
      <c r="BM174" s="1286" t="str">
        <f>IF($E$30="Enter Duration (wks)","",IF($Y52="Enter Hrs/Wk","",IF($E$30&gt;='FORMULA REFS'!AX$1,$Y52,"")))</f>
        <v/>
      </c>
      <c r="BN174" s="1286" t="str">
        <f>IF($E$30="Enter Duration (wks)","",IF($Y52="Enter Hrs/Wk","",IF($E$30&gt;='FORMULA REFS'!AY$1,$Y52,"")))</f>
        <v/>
      </c>
      <c r="BO174" s="1286" t="str">
        <f>IF($E$30="Enter Duration (wks)","",IF($Y52="Enter Hrs/Wk","",IF($E$30&gt;='FORMULA REFS'!AZ$1,$Y52,"")))</f>
        <v/>
      </c>
      <c r="BP174" s="545"/>
      <c r="BQ174" s="545"/>
      <c r="BR174" s="545"/>
      <c r="BS174" s="545"/>
      <c r="BT174" s="545"/>
      <c r="BU174" s="545"/>
      <c r="BV174" s="545"/>
      <c r="BW174" s="545"/>
      <c r="BX174" s="545"/>
      <c r="BY174" s="545"/>
      <c r="BZ174" s="545"/>
      <c r="CA174" s="545"/>
      <c r="CB174" s="543"/>
      <c r="CC174" s="543"/>
      <c r="CD174" s="543"/>
      <c r="CE174" s="544"/>
      <c r="CF174" s="544"/>
      <c r="CG174" s="523"/>
      <c r="CH174" s="523"/>
      <c r="CI174" s="546"/>
      <c r="CJ174" s="547"/>
      <c r="CK174" s="547"/>
      <c r="CL174" s="413"/>
      <c r="CM174" s="413"/>
      <c r="CN174" s="413"/>
      <c r="CO174" s="413"/>
      <c r="CP174" s="413"/>
      <c r="CQ174" s="413"/>
    </row>
    <row r="175" spans="3:95" x14ac:dyDescent="0.25">
      <c r="C175" s="1291" t="str">
        <f t="shared" si="80"/>
        <v>TADIndia</v>
      </c>
      <c r="D175" s="1318" t="str">
        <f t="shared" si="81"/>
        <v>Associate DevOps Engineer</v>
      </c>
      <c r="E175" s="1326"/>
      <c r="F175" s="1327">
        <f>IF($E$30="Enter Duration (wks)","",IF($Y53="Enter Hrs/Wk","",IF($E$30&gt;='FORMULA REFS'!A$1,$Y53,"")))</f>
        <v>32</v>
      </c>
      <c r="G175" s="1328"/>
      <c r="H175" s="1570"/>
      <c r="I175" s="1329">
        <f>IF($E$30="Enter Duration (wks)","",IF($Y53="Enter Hrs/Wk","",IF($E$30&gt;='FORMULA REFS'!B$1,$Y53,"")))</f>
        <v>32</v>
      </c>
      <c r="J175" s="1323"/>
      <c r="K175" s="1286">
        <f>IF($E$30="Enter Duration (wks)","",IF($Y53="Enter Hrs/Wk","",IF($E$30&gt;='FORMULA REFS'!C$1,$Y53,"")))</f>
        <v>32</v>
      </c>
      <c r="L175" s="882">
        <f>IF($E$30="Enter Duration (wks)","",IF($Y53="Enter Hrs/Wk","",IF($E$30&gt;='FORMULA REFS'!D$1,$Y53,"")))</f>
        <v>32</v>
      </c>
      <c r="M175" s="882">
        <f>IF($E$30="Enter Duration (wks)","",IF($Y53="Enter Hrs/Wk","",IF($E$30&gt;='FORMULA REFS'!E$1,$Y53,"")))</f>
        <v>32</v>
      </c>
      <c r="N175" s="882">
        <f>IF($E$30="Enter Duration (wks)","",IF($Y53="Enter Hrs/Wk","",IF($E$30&gt;='FORMULA REFS'!F$1,$Y53,"")))</f>
        <v>32</v>
      </c>
      <c r="O175" s="882">
        <f>IF($E$30="Enter Duration (wks)","",IF($Y53="Enter Hrs/Wk","",IF($E$30&gt;='FORMULA REFS'!G$1,$Y53,"")))</f>
        <v>32</v>
      </c>
      <c r="P175" s="882">
        <f>IF($E$30="Enter Duration (wks)","",IF($Y53="Enter Hrs/Wk","",IF($E$30&gt;='FORMULA REFS'!H$1,$Y53,"")))</f>
        <v>32</v>
      </c>
      <c r="Q175" s="882">
        <f>IF($E$30="Enter Duration (wks)","",IF($Y53="Enter Hrs/Wk","",IF($E$30&gt;='FORMULA REFS'!I$1,$Y53,"")))</f>
        <v>32</v>
      </c>
      <c r="R175" s="882">
        <f>IF($E$30="Enter Duration (wks)","",IF($Y53="Enter Hrs/Wk","",IF($E$30&gt;='FORMULA REFS'!J$1,$Y53,"")))</f>
        <v>32</v>
      </c>
      <c r="S175" s="882">
        <f>IF($E$30="Enter Duration (wks)","",IF($Y53="Enter Hrs/Wk","",IF($E$30&gt;='FORMULA REFS'!K$1,$Y53,"")))</f>
        <v>32</v>
      </c>
      <c r="T175" s="1323">
        <f>IF($E$30="Enter Duration (wks)","",IF($Y53="Enter Hrs/Wk","",IF($E$30&gt;='FORMULA REFS'!L$1,$Y53,"")))</f>
        <v>32</v>
      </c>
      <c r="U175" s="882">
        <f>IF($E$30="Enter Duration (wks)","",IF($Y53="Enter Hrs/Wk","",IF($E$30&gt;='FORMULA REFS'!M$1,$Y53,"")))</f>
        <v>32</v>
      </c>
      <c r="V175" s="882"/>
      <c r="W175" s="882"/>
      <c r="X175" s="1285"/>
      <c r="Y175" s="1285">
        <f>IF($E$30="Enter Duration (wks)","",IF($Y53="Enter Hrs/Wk","",IF($E$30&gt;='FORMULA REFS'!N$1,$Y53,"")))</f>
        <v>32</v>
      </c>
      <c r="Z175" s="1343">
        <f>IF($E$30="Enter Duration (wks)","",IF($Y53="Enter Hrs/Wk","",IF($E$30&gt;='FORMULA REFS'!O$1,$Y53,"")))</f>
        <v>32</v>
      </c>
      <c r="AA175" s="882">
        <f>IF($E$30="Enter Duration (wks)","",IF($Y53="Enter Hrs/Wk","",IF($E$30&gt;='FORMULA REFS'!P$1,$Y53,"")))</f>
        <v>32</v>
      </c>
      <c r="AB175" s="882">
        <f>IF($E$30="Enter Duration (wks)","",IF($Y53="Enter Hrs/Wk","",IF($E$30&gt;='FORMULA REFS'!Q$1,$Y53,"")))</f>
        <v>32</v>
      </c>
      <c r="AC175" s="882"/>
      <c r="AD175" s="882"/>
      <c r="AE175" s="882"/>
      <c r="AF175" s="882"/>
      <c r="AG175" s="1286">
        <f>IF($E$30="Enter Duration (wks)","",IF($Y53="Enter Hrs/Wk","",IF($E$30&gt;='FORMULA REFS'!R$1,$Y53,"")))</f>
        <v>32</v>
      </c>
      <c r="AH175" s="1286">
        <f>IF($E$30="Enter Duration (wks)","",IF($Y53="Enter Hrs/Wk","",IF($E$30&gt;='FORMULA REFS'!S$1,$Y53,"")))</f>
        <v>32</v>
      </c>
      <c r="AI175" s="1286">
        <f>IF($E$30="Enter Duration (wks)","",IF($Y53="Enter Hrs/Wk","",IF($E$30&gt;='FORMULA REFS'!T$1,$Y53,"")))</f>
        <v>32</v>
      </c>
      <c r="AJ175" s="1286">
        <f>IF($E$30="Enter Duration (wks)","",IF($Y53="Enter Hrs/Wk","",IF($E$30&gt;='FORMULA REFS'!U$1,$Y53,"")))</f>
        <v>32</v>
      </c>
      <c r="AK175" s="1286">
        <f>IF($E$30="Enter Duration (wks)","",IF($Y53="Enter Hrs/Wk","",IF($E$30&gt;='FORMULA REFS'!V$1,$Y53,"")))</f>
        <v>32</v>
      </c>
      <c r="AL175" s="1286">
        <f>IF($E$30="Enter Duration (wks)","",IF($Y53="Enter Hrs/Wk","",IF($E$30&gt;='FORMULA REFS'!W$1,$Y53,"")))</f>
        <v>32</v>
      </c>
      <c r="AM175" s="1286">
        <f>IF($E$30="Enter Duration (wks)","",IF($Y53="Enter Hrs/Wk","",IF($E$30&gt;='FORMULA REFS'!X$1,$Y53,"")))</f>
        <v>32</v>
      </c>
      <c r="AN175" s="1286">
        <f>IF($E$30="Enter Duration (wks)","",IF($Y53="Enter Hrs/Wk","",IF($E$30&gt;='FORMULA REFS'!Y$1,$Y53,"")))</f>
        <v>32</v>
      </c>
      <c r="AO175" s="1286">
        <f>IF($E$30="Enter Duration (wks)","",IF($Y53="Enter Hrs/Wk","",IF($E$30&gt;='FORMULA REFS'!Z$1,$Y53,"")))</f>
        <v>32</v>
      </c>
      <c r="AP175" s="1286">
        <f>IF($E$30="Enter Duration (wks)","",IF($Y53="Enter Hrs/Wk","",IF($E$30&gt;='FORMULA REFS'!AA$1,$Y53,"")))</f>
        <v>32</v>
      </c>
      <c r="AQ175" s="1286">
        <f>IF($E$30="Enter Duration (wks)","",IF($Y53="Enter Hrs/Wk","",IF($E$30&gt;='FORMULA REFS'!AB$1,$Y53,"")))</f>
        <v>32</v>
      </c>
      <c r="AR175" s="1286">
        <f>IF($E$30="Enter Duration (wks)","",IF($Y53="Enter Hrs/Wk","",IF($E$30&gt;='FORMULA REFS'!AC$1,$Y53,"")))</f>
        <v>32</v>
      </c>
      <c r="AS175" s="1286">
        <f>IF($E$30="Enter Duration (wks)","",IF($Y53="Enter Hrs/Wk","",IF($E$30&gt;='FORMULA REFS'!AD$1,$Y53,"")))</f>
        <v>32</v>
      </c>
      <c r="AT175" s="1286" t="str">
        <f>IF($E$30="Enter Duration (wks)","",IF($Y53="Enter Hrs/Wk","",IF($E$30&gt;='FORMULA REFS'!AE$1,$Y53,"")))</f>
        <v/>
      </c>
      <c r="AU175" s="1286" t="str">
        <f>IF($E$30="Enter Duration (wks)","",IF($Y53="Enter Hrs/Wk","",IF($E$30&gt;='FORMULA REFS'!AF$1,$Y53,"")))</f>
        <v/>
      </c>
      <c r="AV175" s="1286" t="str">
        <f>IF($E$30="Enter Duration (wks)","",IF($Y53="Enter Hrs/Wk","",IF($E$30&gt;='FORMULA REFS'!AG$1,$Y53,"")))</f>
        <v/>
      </c>
      <c r="AW175" s="1286" t="str">
        <f>IF($E$30="Enter Duration (wks)","",IF($Y53="Enter Hrs/Wk","",IF($E$30&gt;='FORMULA REFS'!AH$1,$Y53,"")))</f>
        <v/>
      </c>
      <c r="AX175" s="1286" t="str">
        <f>IF($E$30="Enter Duration (wks)","",IF($Y53="Enter Hrs/Wk","",IF($E$30&gt;='FORMULA REFS'!AI$1,$Y53,"")))</f>
        <v/>
      </c>
      <c r="AY175" s="1286" t="str">
        <f>IF($E$30="Enter Duration (wks)","",IF($Y53="Enter Hrs/Wk","",IF($E$30&gt;='FORMULA REFS'!AJ$1,$Y53,"")))</f>
        <v/>
      </c>
      <c r="AZ175" s="1286" t="str">
        <f>IF($E$30="Enter Duration (wks)","",IF($Y53="Enter Hrs/Wk","",IF($E$30&gt;='FORMULA REFS'!AK$1,$Y53,"")))</f>
        <v/>
      </c>
      <c r="BA175" s="1286" t="str">
        <f>IF($E$30="Enter Duration (wks)","",IF($Y53="Enter Hrs/Wk","",IF($E$30&gt;='FORMULA REFS'!AL$1,$Y53,"")))</f>
        <v/>
      </c>
      <c r="BB175" s="1286" t="str">
        <f>IF($E$30="Enter Duration (wks)","",IF($Y53="Enter Hrs/Wk","",IF($E$30&gt;='FORMULA REFS'!AM$1,$Y53,"")))</f>
        <v/>
      </c>
      <c r="BC175" s="1286" t="str">
        <f>IF($E$30="Enter Duration (wks)","",IF($Y53="Enter Hrs/Wk","",IF($E$30&gt;='FORMULA REFS'!AN$1,$Y53,"")))</f>
        <v/>
      </c>
      <c r="BD175" s="1286" t="str">
        <f>IF($E$30="Enter Duration (wks)","",IF($Y53="Enter Hrs/Wk","",IF($E$30&gt;='FORMULA REFS'!AO$1,$Y53,"")))</f>
        <v/>
      </c>
      <c r="BE175" s="1286" t="str">
        <f>IF($E$30="Enter Duration (wks)","",IF($Y53="Enter Hrs/Wk","",IF($E$30&gt;='FORMULA REFS'!AP$1,$Y53,"")))</f>
        <v/>
      </c>
      <c r="BF175" s="1286" t="str">
        <f>IF($E$30="Enter Duration (wks)","",IF($Y53="Enter Hrs/Wk","",IF($E$30&gt;='FORMULA REFS'!AQ$1,$Y53,"")))</f>
        <v/>
      </c>
      <c r="BG175" s="1286" t="str">
        <f>IF($E$30="Enter Duration (wks)","",IF($Y53="Enter Hrs/Wk","",IF($E$30&gt;='FORMULA REFS'!AR$1,$Y53,"")))</f>
        <v/>
      </c>
      <c r="BH175" s="1286" t="str">
        <f>IF($E$30="Enter Duration (wks)","",IF($Y53="Enter Hrs/Wk","",IF($E$30&gt;='FORMULA REFS'!AS$1,$Y53,"")))</f>
        <v/>
      </c>
      <c r="BI175" s="1286" t="str">
        <f>IF($E$30="Enter Duration (wks)","",IF($Y53="Enter Hrs/Wk","",IF($E$30&gt;='FORMULA REFS'!AT$1,$Y53,"")))</f>
        <v/>
      </c>
      <c r="BJ175" s="1286" t="str">
        <f>IF($E$30="Enter Duration (wks)","",IF($Y53="Enter Hrs/Wk","",IF($E$30&gt;='FORMULA REFS'!AU$1,$Y53,"")))</f>
        <v/>
      </c>
      <c r="BK175" s="1286" t="str">
        <f>IF($E$30="Enter Duration (wks)","",IF($Y53="Enter Hrs/Wk","",IF($E$30&gt;='FORMULA REFS'!AV$1,$Y53,"")))</f>
        <v/>
      </c>
      <c r="BL175" s="1286" t="str">
        <f>IF($E$30="Enter Duration (wks)","",IF($Y53="Enter Hrs/Wk","",IF($E$30&gt;='FORMULA REFS'!AW$1,$Y53,"")))</f>
        <v/>
      </c>
      <c r="BM175" s="1286" t="str">
        <f>IF($E$30="Enter Duration (wks)","",IF($Y53="Enter Hrs/Wk","",IF($E$30&gt;='FORMULA REFS'!AX$1,$Y53,"")))</f>
        <v/>
      </c>
      <c r="BN175" s="1286" t="str">
        <f>IF($E$30="Enter Duration (wks)","",IF($Y53="Enter Hrs/Wk","",IF($E$30&gt;='FORMULA REFS'!AY$1,$Y53,"")))</f>
        <v/>
      </c>
      <c r="BO175" s="1286" t="str">
        <f>IF($E$30="Enter Duration (wks)","",IF($Y53="Enter Hrs/Wk","",IF($E$30&gt;='FORMULA REFS'!AZ$1,$Y53,"")))</f>
        <v/>
      </c>
      <c r="BP175" s="545"/>
      <c r="BQ175" s="545"/>
      <c r="BR175" s="545"/>
      <c r="BS175" s="545"/>
      <c r="BT175" s="545"/>
      <c r="BU175" s="545"/>
      <c r="BV175" s="545"/>
      <c r="BW175" s="545"/>
      <c r="BX175" s="545"/>
      <c r="BY175" s="545"/>
      <c r="BZ175" s="545"/>
      <c r="CA175" s="545"/>
      <c r="CB175" s="543"/>
      <c r="CC175" s="543"/>
      <c r="CD175" s="543"/>
      <c r="CE175" s="544"/>
      <c r="CF175" s="544"/>
      <c r="CG175" s="523"/>
      <c r="CH175" s="523"/>
      <c r="CI175" s="548"/>
      <c r="CJ175" s="549"/>
      <c r="CK175" s="549"/>
      <c r="CL175" s="413"/>
      <c r="CM175" s="413"/>
      <c r="CN175" s="413"/>
      <c r="CO175" s="413"/>
      <c r="CP175" s="413"/>
      <c r="CQ175" s="413"/>
    </row>
    <row r="176" spans="3:95" ht="15" customHeight="1" x14ac:dyDescent="0.25">
      <c r="C176" s="1291" t="str">
        <f t="shared" si="80"/>
        <v/>
      </c>
      <c r="D176" s="1318" t="str">
        <f t="shared" si="81"/>
        <v/>
      </c>
      <c r="E176" s="1326"/>
      <c r="F176" s="1327">
        <f>IF($E$30="Enter Duration (wks)","",IF($Y54="Enter Hrs/Wk","",IF($E$30&gt;='FORMULA REFS'!A$1,$Y54,"")))</f>
        <v>10</v>
      </c>
      <c r="G176" s="1328"/>
      <c r="H176" s="1570"/>
      <c r="I176" s="1329">
        <f>IF($E$30="Enter Duration (wks)","",IF($Y54="Enter Hrs/Wk","",IF($E$30&gt;='FORMULA REFS'!B$1,$Y54,"")))</f>
        <v>10</v>
      </c>
      <c r="J176" s="1323"/>
      <c r="K176" s="1286">
        <f>IF($E$30="Enter Duration (wks)","",IF($Y54="Enter Hrs/Wk","",IF($E$30&gt;='FORMULA REFS'!C$1,$Y54,"")))</f>
        <v>10</v>
      </c>
      <c r="L176" s="882">
        <f>IF($E$30="Enter Duration (wks)","",IF($Y54="Enter Hrs/Wk","",IF($E$30&gt;='FORMULA REFS'!D$1,$Y54,"")))</f>
        <v>10</v>
      </c>
      <c r="M176" s="882">
        <f>IF($E$30="Enter Duration (wks)","",IF($Y54="Enter Hrs/Wk","",IF($E$30&gt;='FORMULA REFS'!E$1,$Y54,"")))</f>
        <v>10</v>
      </c>
      <c r="N176" s="882">
        <f>IF($E$30="Enter Duration (wks)","",IF($Y54="Enter Hrs/Wk","",IF($E$30&gt;='FORMULA REFS'!F$1,$Y54,"")))</f>
        <v>10</v>
      </c>
      <c r="O176" s="882">
        <f>IF($E$30="Enter Duration (wks)","",IF($Y54="Enter Hrs/Wk","",IF($E$30&gt;='FORMULA REFS'!G$1,$Y54,"")))</f>
        <v>10</v>
      </c>
      <c r="P176" s="882">
        <f>IF($E$30="Enter Duration (wks)","",IF($Y54="Enter Hrs/Wk","",IF($E$30&gt;='FORMULA REFS'!H$1,$Y54,"")))</f>
        <v>10</v>
      </c>
      <c r="Q176" s="882">
        <f>IF($E$30="Enter Duration (wks)","",IF($Y54="Enter Hrs/Wk","",IF($E$30&gt;='FORMULA REFS'!I$1,$Y54,"")))</f>
        <v>10</v>
      </c>
      <c r="R176" s="882">
        <f>IF($E$30="Enter Duration (wks)","",IF($Y54="Enter Hrs/Wk","",IF($E$30&gt;='FORMULA REFS'!J$1,$Y54,"")))</f>
        <v>10</v>
      </c>
      <c r="S176" s="882">
        <f>IF($E$30="Enter Duration (wks)","",IF($Y54="Enter Hrs/Wk","",IF($E$30&gt;='FORMULA REFS'!K$1,$Y54,"")))</f>
        <v>10</v>
      </c>
      <c r="T176" s="1323">
        <f>IF($E$30="Enter Duration (wks)","",IF($Y54="Enter Hrs/Wk","",IF($E$30&gt;='FORMULA REFS'!L$1,$Y54,"")))</f>
        <v>10</v>
      </c>
      <c r="U176" s="882">
        <f>IF($E$30="Enter Duration (wks)","",IF($Y54="Enter Hrs/Wk","",IF($E$30&gt;='FORMULA REFS'!M$1,$Y54,"")))</f>
        <v>10</v>
      </c>
      <c r="V176" s="882"/>
      <c r="W176" s="882"/>
      <c r="X176" s="1285"/>
      <c r="Y176" s="1285">
        <f>IF($E$30="Enter Duration (wks)","",IF($Y54="Enter Hrs/Wk","",IF($E$30&gt;='FORMULA REFS'!N$1,$Y54,"")))</f>
        <v>10</v>
      </c>
      <c r="Z176" s="1343">
        <f>IF($E$30="Enter Duration (wks)","",IF($Y54="Enter Hrs/Wk","",IF($E$30&gt;='FORMULA REFS'!O$1,$Y54,"")))</f>
        <v>10</v>
      </c>
      <c r="AA176" s="882">
        <f>IF($E$30="Enter Duration (wks)","",IF($Y54="Enter Hrs/Wk","",IF($E$30&gt;='FORMULA REFS'!P$1,$Y54,"")))</f>
        <v>10</v>
      </c>
      <c r="AB176" s="882">
        <f>IF($E$30="Enter Duration (wks)","",IF($Y54="Enter Hrs/Wk","",IF($E$30&gt;='FORMULA REFS'!Q$1,$Y54,"")))</f>
        <v>10</v>
      </c>
      <c r="AC176" s="882"/>
      <c r="AD176" s="882"/>
      <c r="AE176" s="882"/>
      <c r="AF176" s="882"/>
      <c r="AG176" s="1286">
        <f>IF($E$30="Enter Duration (wks)","",IF($Y54="Enter Hrs/Wk","",IF($E$30&gt;='FORMULA REFS'!R$1,$Y54,"")))</f>
        <v>10</v>
      </c>
      <c r="AH176" s="1286">
        <f>IF($E$30="Enter Duration (wks)","",IF($Y54="Enter Hrs/Wk","",IF($E$30&gt;='FORMULA REFS'!S$1,$Y54,"")))</f>
        <v>10</v>
      </c>
      <c r="AI176" s="1286">
        <f>IF($E$30="Enter Duration (wks)","",IF($Y54="Enter Hrs/Wk","",IF($E$30&gt;='FORMULA REFS'!T$1,$Y54,"")))</f>
        <v>10</v>
      </c>
      <c r="AJ176" s="1286">
        <f>IF($E$30="Enter Duration (wks)","",IF($Y54="Enter Hrs/Wk","",IF($E$30&gt;='FORMULA REFS'!U$1,$Y54,"")))</f>
        <v>10</v>
      </c>
      <c r="AK176" s="1286">
        <f>IF($E$30="Enter Duration (wks)","",IF($Y54="Enter Hrs/Wk","",IF($E$30&gt;='FORMULA REFS'!V$1,$Y54,"")))</f>
        <v>10</v>
      </c>
      <c r="AL176" s="1286">
        <f>IF($E$30="Enter Duration (wks)","",IF($Y54="Enter Hrs/Wk","",IF($E$30&gt;='FORMULA REFS'!W$1,$Y54,"")))</f>
        <v>10</v>
      </c>
      <c r="AM176" s="1286">
        <f>IF($E$30="Enter Duration (wks)","",IF($Y54="Enter Hrs/Wk","",IF($E$30&gt;='FORMULA REFS'!X$1,$Y54,"")))</f>
        <v>10</v>
      </c>
      <c r="AN176" s="1286">
        <f>IF($E$30="Enter Duration (wks)","",IF($Y54="Enter Hrs/Wk","",IF($E$30&gt;='FORMULA REFS'!Y$1,$Y54,"")))</f>
        <v>10</v>
      </c>
      <c r="AO176" s="1286">
        <f>IF($E$30="Enter Duration (wks)","",IF($Y54="Enter Hrs/Wk","",IF($E$30&gt;='FORMULA REFS'!Z$1,$Y54,"")))</f>
        <v>10</v>
      </c>
      <c r="AP176" s="1286">
        <f>IF($E$30="Enter Duration (wks)","",IF($Y54="Enter Hrs/Wk","",IF($E$30&gt;='FORMULA REFS'!AA$1,$Y54,"")))</f>
        <v>10</v>
      </c>
      <c r="AQ176" s="1286">
        <f>IF($E$30="Enter Duration (wks)","",IF($Y54="Enter Hrs/Wk","",IF($E$30&gt;='FORMULA REFS'!AB$1,$Y54,"")))</f>
        <v>10</v>
      </c>
      <c r="AR176" s="1286">
        <f>IF($E$30="Enter Duration (wks)","",IF($Y54="Enter Hrs/Wk","",IF($E$30&gt;='FORMULA REFS'!AC$1,$Y54,"")))</f>
        <v>10</v>
      </c>
      <c r="AS176" s="1286">
        <f>IF($E$30="Enter Duration (wks)","",IF($Y54="Enter Hrs/Wk","",IF($E$30&gt;='FORMULA REFS'!AD$1,$Y54,"")))</f>
        <v>10</v>
      </c>
      <c r="AT176" s="1286" t="str">
        <f>IF($E$30="Enter Duration (wks)","",IF($Y54="Enter Hrs/Wk","",IF($E$30&gt;='FORMULA REFS'!AE$1,$Y54,"")))</f>
        <v/>
      </c>
      <c r="AU176" s="1286" t="str">
        <f>IF($E$30="Enter Duration (wks)","",IF($Y54="Enter Hrs/Wk","",IF($E$30&gt;='FORMULA REFS'!AF$1,$Y54,"")))</f>
        <v/>
      </c>
      <c r="AV176" s="1286" t="str">
        <f>IF($E$30="Enter Duration (wks)","",IF($Y54="Enter Hrs/Wk","",IF($E$30&gt;='FORMULA REFS'!AG$1,$Y54,"")))</f>
        <v/>
      </c>
      <c r="AW176" s="1286" t="str">
        <f>IF($E$30="Enter Duration (wks)","",IF($Y54="Enter Hrs/Wk","",IF($E$30&gt;='FORMULA REFS'!AH$1,$Y54,"")))</f>
        <v/>
      </c>
      <c r="AX176" s="1286" t="str">
        <f>IF($E$30="Enter Duration (wks)","",IF($Y54="Enter Hrs/Wk","",IF($E$30&gt;='FORMULA REFS'!AI$1,$Y54,"")))</f>
        <v/>
      </c>
      <c r="AY176" s="1286" t="str">
        <f>IF($E$30="Enter Duration (wks)","",IF($Y54="Enter Hrs/Wk","",IF($E$30&gt;='FORMULA REFS'!AJ$1,$Y54,"")))</f>
        <v/>
      </c>
      <c r="AZ176" s="1286" t="str">
        <f>IF($E$30="Enter Duration (wks)","",IF($Y54="Enter Hrs/Wk","",IF($E$30&gt;='FORMULA REFS'!AK$1,$Y54,"")))</f>
        <v/>
      </c>
      <c r="BA176" s="1286" t="str">
        <f>IF($E$30="Enter Duration (wks)","",IF($Y54="Enter Hrs/Wk","",IF($E$30&gt;='FORMULA REFS'!AL$1,$Y54,"")))</f>
        <v/>
      </c>
      <c r="BB176" s="1286" t="str">
        <f>IF($E$30="Enter Duration (wks)","",IF($Y54="Enter Hrs/Wk","",IF($E$30&gt;='FORMULA REFS'!AM$1,$Y54,"")))</f>
        <v/>
      </c>
      <c r="BC176" s="1286" t="str">
        <f>IF($E$30="Enter Duration (wks)","",IF($Y54="Enter Hrs/Wk","",IF($E$30&gt;='FORMULA REFS'!AN$1,$Y54,"")))</f>
        <v/>
      </c>
      <c r="BD176" s="1286" t="str">
        <f>IF($E$30="Enter Duration (wks)","",IF($Y54="Enter Hrs/Wk","",IF($E$30&gt;='FORMULA REFS'!AO$1,$Y54,"")))</f>
        <v/>
      </c>
      <c r="BE176" s="1286" t="str">
        <f>IF($E$30="Enter Duration (wks)","",IF($Y54="Enter Hrs/Wk","",IF($E$30&gt;='FORMULA REFS'!AP$1,$Y54,"")))</f>
        <v/>
      </c>
      <c r="BF176" s="1286" t="str">
        <f>IF($E$30="Enter Duration (wks)","",IF($Y54="Enter Hrs/Wk","",IF($E$30&gt;='FORMULA REFS'!AQ$1,$Y54,"")))</f>
        <v/>
      </c>
      <c r="BG176" s="1286" t="str">
        <f>IF($E$30="Enter Duration (wks)","",IF($Y54="Enter Hrs/Wk","",IF($E$30&gt;='FORMULA REFS'!AR$1,$Y54,"")))</f>
        <v/>
      </c>
      <c r="BH176" s="1286" t="str">
        <f>IF($E$30="Enter Duration (wks)","",IF($Y54="Enter Hrs/Wk","",IF($E$30&gt;='FORMULA REFS'!AS$1,$Y54,"")))</f>
        <v/>
      </c>
      <c r="BI176" s="1286" t="str">
        <f>IF($E$30="Enter Duration (wks)","",IF($Y54="Enter Hrs/Wk","",IF($E$30&gt;='FORMULA REFS'!AT$1,$Y54,"")))</f>
        <v/>
      </c>
      <c r="BJ176" s="1286" t="str">
        <f>IF($E$30="Enter Duration (wks)","",IF($Y54="Enter Hrs/Wk","",IF($E$30&gt;='FORMULA REFS'!AU$1,$Y54,"")))</f>
        <v/>
      </c>
      <c r="BK176" s="1286" t="str">
        <f>IF($E$30="Enter Duration (wks)","",IF($Y54="Enter Hrs/Wk","",IF($E$30&gt;='FORMULA REFS'!AV$1,$Y54,"")))</f>
        <v/>
      </c>
      <c r="BL176" s="1286" t="str">
        <f>IF($E$30="Enter Duration (wks)","",IF($Y54="Enter Hrs/Wk","",IF($E$30&gt;='FORMULA REFS'!AW$1,$Y54,"")))</f>
        <v/>
      </c>
      <c r="BM176" s="1286" t="str">
        <f>IF($E$30="Enter Duration (wks)","",IF($Y54="Enter Hrs/Wk","",IF($E$30&gt;='FORMULA REFS'!AX$1,$Y54,"")))</f>
        <v/>
      </c>
      <c r="BN176" s="1286" t="str">
        <f>IF($E$30="Enter Duration (wks)","",IF($Y54="Enter Hrs/Wk","",IF($E$30&gt;='FORMULA REFS'!AY$1,$Y54,"")))</f>
        <v/>
      </c>
      <c r="BO176" s="1286" t="str">
        <f>IF($E$30="Enter Duration (wks)","",IF($Y54="Enter Hrs/Wk","",IF($E$30&gt;='FORMULA REFS'!AZ$1,$Y54,"")))</f>
        <v/>
      </c>
      <c r="BP176" s="550"/>
      <c r="BQ176" s="550"/>
      <c r="BR176" s="550"/>
      <c r="BS176" s="550"/>
      <c r="BT176" s="550"/>
      <c r="BU176" s="550"/>
      <c r="BV176" s="550"/>
      <c r="BW176" s="550"/>
      <c r="BX176" s="550"/>
      <c r="BY176" s="550"/>
      <c r="BZ176" s="550"/>
      <c r="CA176" s="550"/>
      <c r="CB176" s="523"/>
      <c r="CC176" s="523"/>
      <c r="CD176" s="523"/>
      <c r="CE176" s="523"/>
      <c r="CF176" s="523"/>
      <c r="CG176" s="523"/>
      <c r="CH176" s="523"/>
      <c r="CI176" s="546"/>
      <c r="CJ176" s="547"/>
      <c r="CK176" s="547"/>
      <c r="CL176" s="413"/>
      <c r="CM176" s="413"/>
      <c r="CN176" s="413"/>
      <c r="CO176" s="413"/>
      <c r="CP176" s="413"/>
      <c r="CQ176" s="413"/>
    </row>
    <row r="177" spans="3:95" x14ac:dyDescent="0.25">
      <c r="C177" s="1291" t="str">
        <f t="shared" si="80"/>
        <v/>
      </c>
      <c r="D177" s="1318" t="str">
        <f t="shared" si="81"/>
        <v/>
      </c>
      <c r="E177" s="1326"/>
      <c r="F177" s="1327" t="str">
        <f>IF($E$30="Enter Duration (wks)","",IF($Y55="Enter Hrs/Wk","",IF($E$30&gt;='FORMULA REFS'!A$1,$Y55,"")))</f>
        <v/>
      </c>
      <c r="G177" s="1328"/>
      <c r="H177" s="1570"/>
      <c r="I177" s="1329" t="str">
        <f>IF($E$30="Enter Duration (wks)","",IF($Y55="Enter Hrs/Wk","",IF($E$30&gt;='FORMULA REFS'!B$1,$Y55,"")))</f>
        <v/>
      </c>
      <c r="J177" s="1323"/>
      <c r="K177" s="1286" t="str">
        <f>IF($E$30="Enter Duration (wks)","",IF($Y55="Enter Hrs/Wk","",IF($E$30&gt;='FORMULA REFS'!C$1,$Y55,"")))</f>
        <v/>
      </c>
      <c r="L177" s="882" t="str">
        <f>IF($E$30="Enter Duration (wks)","",IF($Y55="Enter Hrs/Wk","",IF($E$30&gt;='FORMULA REFS'!D$1,$Y55,"")))</f>
        <v/>
      </c>
      <c r="M177" s="882" t="str">
        <f>IF($E$30="Enter Duration (wks)","",IF($Y55="Enter Hrs/Wk","",IF($E$30&gt;='FORMULA REFS'!E$1,$Y55,"")))</f>
        <v/>
      </c>
      <c r="N177" s="882" t="str">
        <f>IF($E$30="Enter Duration (wks)","",IF($Y55="Enter Hrs/Wk","",IF($E$30&gt;='FORMULA REFS'!F$1,$Y55,"")))</f>
        <v/>
      </c>
      <c r="O177" s="882" t="str">
        <f>IF($E$30="Enter Duration (wks)","",IF($Y55="Enter Hrs/Wk","",IF($E$30&gt;='FORMULA REFS'!G$1,$Y55,"")))</f>
        <v/>
      </c>
      <c r="P177" s="882" t="str">
        <f>IF($E$30="Enter Duration (wks)","",IF($Y55="Enter Hrs/Wk","",IF($E$30&gt;='FORMULA REFS'!H$1,$Y55,"")))</f>
        <v/>
      </c>
      <c r="Q177" s="882" t="str">
        <f>IF($E$30="Enter Duration (wks)","",IF($Y55="Enter Hrs/Wk","",IF($E$30&gt;='FORMULA REFS'!I$1,$Y55,"")))</f>
        <v/>
      </c>
      <c r="R177" s="882" t="str">
        <f>IF($E$30="Enter Duration (wks)","",IF($Y55="Enter Hrs/Wk","",IF($E$30&gt;='FORMULA REFS'!J$1,$Y55,"")))</f>
        <v/>
      </c>
      <c r="S177" s="882" t="str">
        <f>IF($E$30="Enter Duration (wks)","",IF($Y55="Enter Hrs/Wk","",IF($E$30&gt;='FORMULA REFS'!K$1,$Y55,"")))</f>
        <v/>
      </c>
      <c r="T177" s="1323" t="str">
        <f>IF($E$30="Enter Duration (wks)","",IF($Y55="Enter Hrs/Wk","",IF($E$30&gt;='FORMULA REFS'!L$1,$Y55,"")))</f>
        <v/>
      </c>
      <c r="U177" s="882" t="str">
        <f>IF($E$30="Enter Duration (wks)","",IF($Y55="Enter Hrs/Wk","",IF($E$30&gt;='FORMULA REFS'!M$1,$Y55,"")))</f>
        <v/>
      </c>
      <c r="V177" s="882"/>
      <c r="W177" s="882"/>
      <c r="X177" s="1285"/>
      <c r="Y177" s="1285" t="str">
        <f>IF($E$30="Enter Duration (wks)","",IF($Y55="Enter Hrs/Wk","",IF($E$30&gt;='FORMULA REFS'!N$1,$Y55,"")))</f>
        <v/>
      </c>
      <c r="Z177" s="1343" t="str">
        <f>IF($E$30="Enter Duration (wks)","",IF($Y55="Enter Hrs/Wk","",IF($E$30&gt;='FORMULA REFS'!O$1,$Y55,"")))</f>
        <v/>
      </c>
      <c r="AA177" s="882" t="str">
        <f>IF($E$30="Enter Duration (wks)","",IF($Y55="Enter Hrs/Wk","",IF($E$30&gt;='FORMULA REFS'!P$1,$Y55,"")))</f>
        <v/>
      </c>
      <c r="AB177" s="882" t="str">
        <f>IF($E$30="Enter Duration (wks)","",IF($Y55="Enter Hrs/Wk","",IF($E$30&gt;='FORMULA REFS'!Q$1,$Y55,"")))</f>
        <v/>
      </c>
      <c r="AC177" s="882"/>
      <c r="AD177" s="882"/>
      <c r="AE177" s="882"/>
      <c r="AF177" s="882"/>
      <c r="AG177" s="1286" t="str">
        <f>IF($E$30="Enter Duration (wks)","",IF($Y55="Enter Hrs/Wk","",IF($E$30&gt;='FORMULA REFS'!R$1,$Y55,"")))</f>
        <v/>
      </c>
      <c r="AH177" s="1286" t="str">
        <f>IF($E$30="Enter Duration (wks)","",IF($Y55="Enter Hrs/Wk","",IF($E$30&gt;='FORMULA REFS'!S$1,$Y55,"")))</f>
        <v/>
      </c>
      <c r="AI177" s="1286" t="str">
        <f>IF($E$30="Enter Duration (wks)","",IF($Y55="Enter Hrs/Wk","",IF($E$30&gt;='FORMULA REFS'!T$1,$Y55,"")))</f>
        <v/>
      </c>
      <c r="AJ177" s="1286" t="str">
        <f>IF($E$30="Enter Duration (wks)","",IF($Y55="Enter Hrs/Wk","",IF($E$30&gt;='FORMULA REFS'!U$1,$Y55,"")))</f>
        <v/>
      </c>
      <c r="AK177" s="1286" t="str">
        <f>IF($E$30="Enter Duration (wks)","",IF($Y55="Enter Hrs/Wk","",IF($E$30&gt;='FORMULA REFS'!V$1,$Y55,"")))</f>
        <v/>
      </c>
      <c r="AL177" s="1286" t="str">
        <f>IF($E$30="Enter Duration (wks)","",IF($Y55="Enter Hrs/Wk","",IF($E$30&gt;='FORMULA REFS'!W$1,$Y55,"")))</f>
        <v/>
      </c>
      <c r="AM177" s="1286" t="str">
        <f>IF($E$30="Enter Duration (wks)","",IF($Y55="Enter Hrs/Wk","",IF($E$30&gt;='FORMULA REFS'!X$1,$Y55,"")))</f>
        <v/>
      </c>
      <c r="AN177" s="1286" t="str">
        <f>IF($E$30="Enter Duration (wks)","",IF($Y55="Enter Hrs/Wk","",IF($E$30&gt;='FORMULA REFS'!Y$1,$Y55,"")))</f>
        <v/>
      </c>
      <c r="AO177" s="1286" t="str">
        <f>IF($E$30="Enter Duration (wks)","",IF($Y55="Enter Hrs/Wk","",IF($E$30&gt;='FORMULA REFS'!Z$1,$Y55,"")))</f>
        <v/>
      </c>
      <c r="AP177" s="1286" t="str">
        <f>IF($E$30="Enter Duration (wks)","",IF($Y55="Enter Hrs/Wk","",IF($E$30&gt;='FORMULA REFS'!AA$1,$Y55,"")))</f>
        <v/>
      </c>
      <c r="AQ177" s="1286" t="str">
        <f>IF($E$30="Enter Duration (wks)","",IF($Y55="Enter Hrs/Wk","",IF($E$30&gt;='FORMULA REFS'!AB$1,$Y55,"")))</f>
        <v/>
      </c>
      <c r="AR177" s="1286" t="str">
        <f>IF($E$30="Enter Duration (wks)","",IF($Y55="Enter Hrs/Wk","",IF($E$30&gt;='FORMULA REFS'!AC$1,$Y55,"")))</f>
        <v/>
      </c>
      <c r="AS177" s="1286" t="str">
        <f>IF($E$30="Enter Duration (wks)","",IF($Y55="Enter Hrs/Wk","",IF($E$30&gt;='FORMULA REFS'!AD$1,$Y55,"")))</f>
        <v/>
      </c>
      <c r="AT177" s="1286" t="str">
        <f>IF($E$30="Enter Duration (wks)","",IF($Y55="Enter Hrs/Wk","",IF($E$30&gt;='FORMULA REFS'!AE$1,$Y55,"")))</f>
        <v/>
      </c>
      <c r="AU177" s="1286" t="str">
        <f>IF($E$30="Enter Duration (wks)","",IF($Y55="Enter Hrs/Wk","",IF($E$30&gt;='FORMULA REFS'!AF$1,$Y55,"")))</f>
        <v/>
      </c>
      <c r="AV177" s="1286" t="str">
        <f>IF($E$30="Enter Duration (wks)","",IF($Y55="Enter Hrs/Wk","",IF($E$30&gt;='FORMULA REFS'!AG$1,$Y55,"")))</f>
        <v/>
      </c>
      <c r="AW177" s="1286" t="str">
        <f>IF($E$30="Enter Duration (wks)","",IF($Y55="Enter Hrs/Wk","",IF($E$30&gt;='FORMULA REFS'!AH$1,$Y55,"")))</f>
        <v/>
      </c>
      <c r="AX177" s="1286" t="str">
        <f>IF($E$30="Enter Duration (wks)","",IF($Y55="Enter Hrs/Wk","",IF($E$30&gt;='FORMULA REFS'!AI$1,$Y55,"")))</f>
        <v/>
      </c>
      <c r="AY177" s="1286" t="str">
        <f>IF($E$30="Enter Duration (wks)","",IF($Y55="Enter Hrs/Wk","",IF($E$30&gt;='FORMULA REFS'!AJ$1,$Y55,"")))</f>
        <v/>
      </c>
      <c r="AZ177" s="1286" t="str">
        <f>IF($E$30="Enter Duration (wks)","",IF($Y55="Enter Hrs/Wk","",IF($E$30&gt;='FORMULA REFS'!AK$1,$Y55,"")))</f>
        <v/>
      </c>
      <c r="BA177" s="1286" t="str">
        <f>IF($E$30="Enter Duration (wks)","",IF($Y55="Enter Hrs/Wk","",IF($E$30&gt;='FORMULA REFS'!AL$1,$Y55,"")))</f>
        <v/>
      </c>
      <c r="BB177" s="1286" t="str">
        <f>IF($E$30="Enter Duration (wks)","",IF($Y55="Enter Hrs/Wk","",IF($E$30&gt;='FORMULA REFS'!AM$1,$Y55,"")))</f>
        <v/>
      </c>
      <c r="BC177" s="1286" t="str">
        <f>IF($E$30="Enter Duration (wks)","",IF($Y55="Enter Hrs/Wk","",IF($E$30&gt;='FORMULA REFS'!AN$1,$Y55,"")))</f>
        <v/>
      </c>
      <c r="BD177" s="1286" t="str">
        <f>IF($E$30="Enter Duration (wks)","",IF($Y55="Enter Hrs/Wk","",IF($E$30&gt;='FORMULA REFS'!AO$1,$Y55,"")))</f>
        <v/>
      </c>
      <c r="BE177" s="1286" t="str">
        <f>IF($E$30="Enter Duration (wks)","",IF($Y55="Enter Hrs/Wk","",IF($E$30&gt;='FORMULA REFS'!AP$1,$Y55,"")))</f>
        <v/>
      </c>
      <c r="BF177" s="1286" t="str">
        <f>IF($E$30="Enter Duration (wks)","",IF($Y55="Enter Hrs/Wk","",IF($E$30&gt;='FORMULA REFS'!AQ$1,$Y55,"")))</f>
        <v/>
      </c>
      <c r="BG177" s="1286" t="str">
        <f>IF($E$30="Enter Duration (wks)","",IF($Y55="Enter Hrs/Wk","",IF($E$30&gt;='FORMULA REFS'!AR$1,$Y55,"")))</f>
        <v/>
      </c>
      <c r="BH177" s="1286" t="str">
        <f>IF($E$30="Enter Duration (wks)","",IF($Y55="Enter Hrs/Wk","",IF($E$30&gt;='FORMULA REFS'!AS$1,$Y55,"")))</f>
        <v/>
      </c>
      <c r="BI177" s="1286" t="str">
        <f>IF($E$30="Enter Duration (wks)","",IF($Y55="Enter Hrs/Wk","",IF($E$30&gt;='FORMULA REFS'!AT$1,$Y55,"")))</f>
        <v/>
      </c>
      <c r="BJ177" s="1286" t="str">
        <f>IF($E$30="Enter Duration (wks)","",IF($Y55="Enter Hrs/Wk","",IF($E$30&gt;='FORMULA REFS'!AU$1,$Y55,"")))</f>
        <v/>
      </c>
      <c r="BK177" s="1286" t="str">
        <f>IF($E$30="Enter Duration (wks)","",IF($Y55="Enter Hrs/Wk","",IF($E$30&gt;='FORMULA REFS'!AV$1,$Y55,"")))</f>
        <v/>
      </c>
      <c r="BL177" s="1286" t="str">
        <f>IF($E$30="Enter Duration (wks)","",IF($Y55="Enter Hrs/Wk","",IF($E$30&gt;='FORMULA REFS'!AW$1,$Y55,"")))</f>
        <v/>
      </c>
      <c r="BM177" s="1286" t="str">
        <f>IF($E$30="Enter Duration (wks)","",IF($Y55="Enter Hrs/Wk","",IF($E$30&gt;='FORMULA REFS'!AX$1,$Y55,"")))</f>
        <v/>
      </c>
      <c r="BN177" s="1286" t="str">
        <f>IF($E$30="Enter Duration (wks)","",IF($Y55="Enter Hrs/Wk","",IF($E$30&gt;='FORMULA REFS'!AY$1,$Y55,"")))</f>
        <v/>
      </c>
      <c r="BO177" s="1286" t="str">
        <f>IF($E$30="Enter Duration (wks)","",IF($Y55="Enter Hrs/Wk","",IF($E$30&gt;='FORMULA REFS'!AZ$1,$Y55,"")))</f>
        <v/>
      </c>
      <c r="BP177" s="550"/>
      <c r="BQ177" s="550"/>
      <c r="BR177" s="550"/>
      <c r="BS177" s="550"/>
      <c r="BT177" s="550"/>
      <c r="BU177" s="550"/>
      <c r="BV177" s="550"/>
      <c r="BW177" s="550"/>
      <c r="BX177" s="550"/>
      <c r="BY177" s="550"/>
      <c r="BZ177" s="550"/>
      <c r="CA177" s="550"/>
      <c r="CB177" s="413"/>
      <c r="CC177" s="413"/>
      <c r="CD177" s="413"/>
      <c r="CE177" s="413"/>
      <c r="CF177" s="413"/>
      <c r="CG177" s="551"/>
      <c r="CH177" s="523"/>
      <c r="CI177" s="523"/>
      <c r="CJ177" s="523"/>
      <c r="CK177" s="523"/>
      <c r="CL177" s="413"/>
      <c r="CM177" s="413"/>
      <c r="CN177" s="413"/>
      <c r="CO177" s="413"/>
      <c r="CP177" s="413"/>
      <c r="CQ177" s="413"/>
    </row>
    <row r="178" spans="3:95" x14ac:dyDescent="0.25">
      <c r="C178" s="1291" t="str">
        <f t="shared" si="80"/>
        <v/>
      </c>
      <c r="D178" s="1318" t="str">
        <f t="shared" si="81"/>
        <v/>
      </c>
      <c r="E178" s="1326"/>
      <c r="F178" s="1327" t="str">
        <f>IF($E$30="Enter Duration (wks)","",IF($Y56="Enter Hrs/Wk","",IF($E$30&gt;='FORMULA REFS'!A$1,$Y56,"")))</f>
        <v/>
      </c>
      <c r="G178" s="1328"/>
      <c r="H178" s="1570"/>
      <c r="I178" s="1329" t="str">
        <f>IF($E$30="Enter Duration (wks)","",IF($Y56="Enter Hrs/Wk","",IF($E$30&gt;='FORMULA REFS'!B$1,$Y56,"")))</f>
        <v/>
      </c>
      <c r="J178" s="1323"/>
      <c r="K178" s="1286" t="str">
        <f>IF($E$30="Enter Duration (wks)","",IF($Y56="Enter Hrs/Wk","",IF($E$30&gt;='FORMULA REFS'!C$1,$Y56,"")))</f>
        <v/>
      </c>
      <c r="L178" s="882" t="str">
        <f>IF($E$30="Enter Duration (wks)","",IF($Y56="Enter Hrs/Wk","",IF($E$30&gt;='FORMULA REFS'!D$1,$Y56,"")))</f>
        <v/>
      </c>
      <c r="M178" s="882" t="str">
        <f>IF($E$30="Enter Duration (wks)","",IF($Y56="Enter Hrs/Wk","",IF($E$30&gt;='FORMULA REFS'!E$1,$Y56,"")))</f>
        <v/>
      </c>
      <c r="N178" s="882" t="str">
        <f>IF($E$30="Enter Duration (wks)","",IF($Y56="Enter Hrs/Wk","",IF($E$30&gt;='FORMULA REFS'!F$1,$Y56,"")))</f>
        <v/>
      </c>
      <c r="O178" s="882" t="str">
        <f>IF($E$30="Enter Duration (wks)","",IF($Y56="Enter Hrs/Wk","",IF($E$30&gt;='FORMULA REFS'!G$1,$Y56,"")))</f>
        <v/>
      </c>
      <c r="P178" s="882" t="str">
        <f>IF($E$30="Enter Duration (wks)","",IF($Y56="Enter Hrs/Wk","",IF($E$30&gt;='FORMULA REFS'!H$1,$Y56,"")))</f>
        <v/>
      </c>
      <c r="Q178" s="882" t="str">
        <f>IF($E$30="Enter Duration (wks)","",IF($Y56="Enter Hrs/Wk","",IF($E$30&gt;='FORMULA REFS'!I$1,$Y56,"")))</f>
        <v/>
      </c>
      <c r="R178" s="882" t="str">
        <f>IF($E$30="Enter Duration (wks)","",IF($Y56="Enter Hrs/Wk","",IF($E$30&gt;='FORMULA REFS'!J$1,$Y56,"")))</f>
        <v/>
      </c>
      <c r="S178" s="882" t="str">
        <f>IF($E$30="Enter Duration (wks)","",IF($Y56="Enter Hrs/Wk","",IF($E$30&gt;='FORMULA REFS'!K$1,$Y56,"")))</f>
        <v/>
      </c>
      <c r="T178" s="1323" t="str">
        <f>IF($E$30="Enter Duration (wks)","",IF($Y56="Enter Hrs/Wk","",IF($E$30&gt;='FORMULA REFS'!L$1,$Y56,"")))</f>
        <v/>
      </c>
      <c r="U178" s="882" t="str">
        <f>IF($E$30="Enter Duration (wks)","",IF($Y56="Enter Hrs/Wk","",IF($E$30&gt;='FORMULA REFS'!M$1,$Y56,"")))</f>
        <v/>
      </c>
      <c r="V178" s="882"/>
      <c r="W178" s="882"/>
      <c r="X178" s="1285"/>
      <c r="Y178" s="1285" t="str">
        <f>IF($E$30="Enter Duration (wks)","",IF($Y56="Enter Hrs/Wk","",IF($E$30&gt;='FORMULA REFS'!N$1,$Y56,"")))</f>
        <v/>
      </c>
      <c r="Z178" s="1343" t="str">
        <f>IF($E$30="Enter Duration (wks)","",IF($Y56="Enter Hrs/Wk","",IF($E$30&gt;='FORMULA REFS'!O$1,$Y56,"")))</f>
        <v/>
      </c>
      <c r="AA178" s="882" t="str">
        <f>IF($E$30="Enter Duration (wks)","",IF($Y56="Enter Hrs/Wk","",IF($E$30&gt;='FORMULA REFS'!P$1,$Y56,"")))</f>
        <v/>
      </c>
      <c r="AB178" s="882" t="str">
        <f>IF($E$30="Enter Duration (wks)","",IF($Y56="Enter Hrs/Wk","",IF($E$30&gt;='FORMULA REFS'!Q$1,$Y56,"")))</f>
        <v/>
      </c>
      <c r="AC178" s="882"/>
      <c r="AD178" s="882"/>
      <c r="AE178" s="882"/>
      <c r="AF178" s="882"/>
      <c r="AG178" s="1286" t="str">
        <f>IF($E$30="Enter Duration (wks)","",IF($Y56="Enter Hrs/Wk","",IF($E$30&gt;='FORMULA REFS'!R$1,$Y56,"")))</f>
        <v/>
      </c>
      <c r="AH178" s="1286" t="str">
        <f>IF($E$30="Enter Duration (wks)","",IF($Y56="Enter Hrs/Wk","",IF($E$30&gt;='FORMULA REFS'!S$1,$Y56,"")))</f>
        <v/>
      </c>
      <c r="AI178" s="1286" t="str">
        <f>IF($E$30="Enter Duration (wks)","",IF($Y56="Enter Hrs/Wk","",IF($E$30&gt;='FORMULA REFS'!T$1,$Y56,"")))</f>
        <v/>
      </c>
      <c r="AJ178" s="1286" t="str">
        <f>IF($E$30="Enter Duration (wks)","",IF($Y56="Enter Hrs/Wk","",IF($E$30&gt;='FORMULA REFS'!U$1,$Y56,"")))</f>
        <v/>
      </c>
      <c r="AK178" s="1286" t="str">
        <f>IF($E$30="Enter Duration (wks)","",IF($Y56="Enter Hrs/Wk","",IF($E$30&gt;='FORMULA REFS'!V$1,$Y56,"")))</f>
        <v/>
      </c>
      <c r="AL178" s="1286" t="str">
        <f>IF($E$30="Enter Duration (wks)","",IF($Y56="Enter Hrs/Wk","",IF($E$30&gt;='FORMULA REFS'!W$1,$Y56,"")))</f>
        <v/>
      </c>
      <c r="AM178" s="1286" t="str">
        <f>IF($E$30="Enter Duration (wks)","",IF($Y56="Enter Hrs/Wk","",IF($E$30&gt;='FORMULA REFS'!X$1,$Y56,"")))</f>
        <v/>
      </c>
      <c r="AN178" s="1286" t="str">
        <f>IF($E$30="Enter Duration (wks)","",IF($Y56="Enter Hrs/Wk","",IF($E$30&gt;='FORMULA REFS'!Y$1,$Y56,"")))</f>
        <v/>
      </c>
      <c r="AO178" s="1286" t="str">
        <f>IF($E$30="Enter Duration (wks)","",IF($Y56="Enter Hrs/Wk","",IF($E$30&gt;='FORMULA REFS'!Z$1,$Y56,"")))</f>
        <v/>
      </c>
      <c r="AP178" s="1286" t="str">
        <f>IF($E$30="Enter Duration (wks)","",IF($Y56="Enter Hrs/Wk","",IF($E$30&gt;='FORMULA REFS'!AA$1,$Y56,"")))</f>
        <v/>
      </c>
      <c r="AQ178" s="1286" t="str">
        <f>IF($E$30="Enter Duration (wks)","",IF($Y56="Enter Hrs/Wk","",IF($E$30&gt;='FORMULA REFS'!AB$1,$Y56,"")))</f>
        <v/>
      </c>
      <c r="AR178" s="1286" t="str">
        <f>IF($E$30="Enter Duration (wks)","",IF($Y56="Enter Hrs/Wk","",IF($E$30&gt;='FORMULA REFS'!AC$1,$Y56,"")))</f>
        <v/>
      </c>
      <c r="AS178" s="1286" t="str">
        <f>IF($E$30="Enter Duration (wks)","",IF($Y56="Enter Hrs/Wk","",IF($E$30&gt;='FORMULA REFS'!AD$1,$Y56,"")))</f>
        <v/>
      </c>
      <c r="AT178" s="1286" t="str">
        <f>IF($E$30="Enter Duration (wks)","",IF($Y56="Enter Hrs/Wk","",IF($E$30&gt;='FORMULA REFS'!AE$1,$Y56,"")))</f>
        <v/>
      </c>
      <c r="AU178" s="1286" t="str">
        <f>IF($E$30="Enter Duration (wks)","",IF($Y56="Enter Hrs/Wk","",IF($E$30&gt;='FORMULA REFS'!AF$1,$Y56,"")))</f>
        <v/>
      </c>
      <c r="AV178" s="1286" t="str">
        <f>IF($E$30="Enter Duration (wks)","",IF($Y56="Enter Hrs/Wk","",IF($E$30&gt;='FORMULA REFS'!AG$1,$Y56,"")))</f>
        <v/>
      </c>
      <c r="AW178" s="1286" t="str">
        <f>IF($E$30="Enter Duration (wks)","",IF($Y56="Enter Hrs/Wk","",IF($E$30&gt;='FORMULA REFS'!AH$1,$Y56,"")))</f>
        <v/>
      </c>
      <c r="AX178" s="1286" t="str">
        <f>IF($E$30="Enter Duration (wks)","",IF($Y56="Enter Hrs/Wk","",IF($E$30&gt;='FORMULA REFS'!AI$1,$Y56,"")))</f>
        <v/>
      </c>
      <c r="AY178" s="1286" t="str">
        <f>IF($E$30="Enter Duration (wks)","",IF($Y56="Enter Hrs/Wk","",IF($E$30&gt;='FORMULA REFS'!AJ$1,$Y56,"")))</f>
        <v/>
      </c>
      <c r="AZ178" s="1286" t="str">
        <f>IF($E$30="Enter Duration (wks)","",IF($Y56="Enter Hrs/Wk","",IF($E$30&gt;='FORMULA REFS'!AK$1,$Y56,"")))</f>
        <v/>
      </c>
      <c r="BA178" s="1286" t="str">
        <f>IF($E$30="Enter Duration (wks)","",IF($Y56="Enter Hrs/Wk","",IF($E$30&gt;='FORMULA REFS'!AL$1,$Y56,"")))</f>
        <v/>
      </c>
      <c r="BB178" s="1286" t="str">
        <f>IF($E$30="Enter Duration (wks)","",IF($Y56="Enter Hrs/Wk","",IF($E$30&gt;='FORMULA REFS'!AM$1,$Y56,"")))</f>
        <v/>
      </c>
      <c r="BC178" s="1286" t="str">
        <f>IF($E$30="Enter Duration (wks)","",IF($Y56="Enter Hrs/Wk","",IF($E$30&gt;='FORMULA REFS'!AN$1,$Y56,"")))</f>
        <v/>
      </c>
      <c r="BD178" s="1286" t="str">
        <f>IF($E$30="Enter Duration (wks)","",IF($Y56="Enter Hrs/Wk","",IF($E$30&gt;='FORMULA REFS'!AO$1,$Y56,"")))</f>
        <v/>
      </c>
      <c r="BE178" s="1286" t="str">
        <f>IF($E$30="Enter Duration (wks)","",IF($Y56="Enter Hrs/Wk","",IF($E$30&gt;='FORMULA REFS'!AP$1,$Y56,"")))</f>
        <v/>
      </c>
      <c r="BF178" s="1286" t="str">
        <f>IF($E$30="Enter Duration (wks)","",IF($Y56="Enter Hrs/Wk","",IF($E$30&gt;='FORMULA REFS'!AQ$1,$Y56,"")))</f>
        <v/>
      </c>
      <c r="BG178" s="1286" t="str">
        <f>IF($E$30="Enter Duration (wks)","",IF($Y56="Enter Hrs/Wk","",IF($E$30&gt;='FORMULA REFS'!AR$1,$Y56,"")))</f>
        <v/>
      </c>
      <c r="BH178" s="1286" t="str">
        <f>IF($E$30="Enter Duration (wks)","",IF($Y56="Enter Hrs/Wk","",IF($E$30&gt;='FORMULA REFS'!AS$1,$Y56,"")))</f>
        <v/>
      </c>
      <c r="BI178" s="1286" t="str">
        <f>IF($E$30="Enter Duration (wks)","",IF($Y56="Enter Hrs/Wk","",IF($E$30&gt;='FORMULA REFS'!AT$1,$Y56,"")))</f>
        <v/>
      </c>
      <c r="BJ178" s="1286" t="str">
        <f>IF($E$30="Enter Duration (wks)","",IF($Y56="Enter Hrs/Wk","",IF($E$30&gt;='FORMULA REFS'!AU$1,$Y56,"")))</f>
        <v/>
      </c>
      <c r="BK178" s="1286" t="str">
        <f>IF($E$30="Enter Duration (wks)","",IF($Y56="Enter Hrs/Wk","",IF($E$30&gt;='FORMULA REFS'!AV$1,$Y56,"")))</f>
        <v/>
      </c>
      <c r="BL178" s="1286" t="str">
        <f>IF($E$30="Enter Duration (wks)","",IF($Y56="Enter Hrs/Wk","",IF($E$30&gt;='FORMULA REFS'!AW$1,$Y56,"")))</f>
        <v/>
      </c>
      <c r="BM178" s="1286" t="str">
        <f>IF($E$30="Enter Duration (wks)","",IF($Y56="Enter Hrs/Wk","",IF($E$30&gt;='FORMULA REFS'!AX$1,$Y56,"")))</f>
        <v/>
      </c>
      <c r="BN178" s="1286" t="str">
        <f>IF($E$30="Enter Duration (wks)","",IF($Y56="Enter Hrs/Wk","",IF($E$30&gt;='FORMULA REFS'!AY$1,$Y56,"")))</f>
        <v/>
      </c>
      <c r="BO178" s="1286" t="str">
        <f>IF($E$30="Enter Duration (wks)","",IF($Y56="Enter Hrs/Wk","",IF($E$30&gt;='FORMULA REFS'!AZ$1,$Y56,"")))</f>
        <v/>
      </c>
      <c r="BP178" s="542"/>
      <c r="BQ178" s="542"/>
      <c r="BR178" s="542"/>
      <c r="BS178" s="542"/>
      <c r="BT178" s="542"/>
      <c r="BU178" s="542"/>
      <c r="BV178" s="542"/>
      <c r="BW178" s="542"/>
      <c r="BX178" s="542"/>
      <c r="BY178" s="542"/>
      <c r="BZ178" s="542"/>
      <c r="CA178" s="542"/>
      <c r="CB178" s="413"/>
      <c r="CC178" s="413"/>
      <c r="CD178" s="413"/>
      <c r="CE178" s="413"/>
      <c r="CF178" s="413"/>
      <c r="CG178" s="523"/>
      <c r="CH178" s="523"/>
      <c r="CI178" s="523"/>
      <c r="CJ178" s="539"/>
      <c r="CK178" s="539"/>
      <c r="CL178" s="413"/>
      <c r="CM178" s="413"/>
      <c r="CN178" s="413"/>
      <c r="CO178" s="413"/>
      <c r="CP178" s="413"/>
      <c r="CQ178" s="413"/>
    </row>
    <row r="179" spans="3:95" x14ac:dyDescent="0.25">
      <c r="C179" s="1291" t="str">
        <f t="shared" si="80"/>
        <v/>
      </c>
      <c r="D179" s="1318" t="str">
        <f t="shared" si="81"/>
        <v/>
      </c>
      <c r="E179" s="1326"/>
      <c r="F179" s="1327" t="str">
        <f>IF($E$30="Enter Duration (wks)","",IF($Y57="Enter Hrs/Wk","",IF($E$30&gt;='FORMULA REFS'!A$1,$Y57,"")))</f>
        <v/>
      </c>
      <c r="G179" s="1328"/>
      <c r="H179" s="1570"/>
      <c r="I179" s="1329" t="str">
        <f>IF($E$30="Enter Duration (wks)","",IF($Y57="Enter Hrs/Wk","",IF($E$30&gt;='FORMULA REFS'!B$1,$Y57,"")))</f>
        <v/>
      </c>
      <c r="J179" s="1323"/>
      <c r="K179" s="1286" t="str">
        <f>IF($E$30="Enter Duration (wks)","",IF($Y57="Enter Hrs/Wk","",IF($E$30&gt;='FORMULA REFS'!C$1,$Y57,"")))</f>
        <v/>
      </c>
      <c r="L179" s="882" t="str">
        <f>IF($E$30="Enter Duration (wks)","",IF($Y57="Enter Hrs/Wk","",IF($E$30&gt;='FORMULA REFS'!D$1,$Y57,"")))</f>
        <v/>
      </c>
      <c r="M179" s="882" t="str">
        <f>IF($E$30="Enter Duration (wks)","",IF($Y57="Enter Hrs/Wk","",IF($E$30&gt;='FORMULA REFS'!E$1,$Y57,"")))</f>
        <v/>
      </c>
      <c r="N179" s="882" t="str">
        <f>IF($E$30="Enter Duration (wks)","",IF($Y57="Enter Hrs/Wk","",IF($E$30&gt;='FORMULA REFS'!F$1,$Y57,"")))</f>
        <v/>
      </c>
      <c r="O179" s="882" t="str">
        <f>IF($E$30="Enter Duration (wks)","",IF($Y57="Enter Hrs/Wk","",IF($E$30&gt;='FORMULA REFS'!G$1,$Y57,"")))</f>
        <v/>
      </c>
      <c r="P179" s="882" t="str">
        <f>IF($E$30="Enter Duration (wks)","",IF($Y57="Enter Hrs/Wk","",IF($E$30&gt;='FORMULA REFS'!H$1,$Y57,"")))</f>
        <v/>
      </c>
      <c r="Q179" s="882" t="str">
        <f>IF($E$30="Enter Duration (wks)","",IF($Y57="Enter Hrs/Wk","",IF($E$30&gt;='FORMULA REFS'!I$1,$Y57,"")))</f>
        <v/>
      </c>
      <c r="R179" s="882" t="str">
        <f>IF($E$30="Enter Duration (wks)","",IF($Y57="Enter Hrs/Wk","",IF($E$30&gt;='FORMULA REFS'!J$1,$Y57,"")))</f>
        <v/>
      </c>
      <c r="S179" s="882" t="str">
        <f>IF($E$30="Enter Duration (wks)","",IF($Y57="Enter Hrs/Wk","",IF($E$30&gt;='FORMULA REFS'!K$1,$Y57,"")))</f>
        <v/>
      </c>
      <c r="T179" s="1323" t="str">
        <f>IF($E$30="Enter Duration (wks)","",IF($Y57="Enter Hrs/Wk","",IF($E$30&gt;='FORMULA REFS'!L$1,$Y57,"")))</f>
        <v/>
      </c>
      <c r="U179" s="882" t="str">
        <f>IF($E$30="Enter Duration (wks)","",IF($Y57="Enter Hrs/Wk","",IF($E$30&gt;='FORMULA REFS'!M$1,$Y57,"")))</f>
        <v/>
      </c>
      <c r="V179" s="882"/>
      <c r="W179" s="882"/>
      <c r="X179" s="1285"/>
      <c r="Y179" s="1285" t="str">
        <f>IF($E$30="Enter Duration (wks)","",IF($Y57="Enter Hrs/Wk","",IF($E$30&gt;='FORMULA REFS'!N$1,$Y57,"")))</f>
        <v/>
      </c>
      <c r="Z179" s="1343" t="str">
        <f>IF($E$30="Enter Duration (wks)","",IF($Y57="Enter Hrs/Wk","",IF($E$30&gt;='FORMULA REFS'!O$1,$Y57,"")))</f>
        <v/>
      </c>
      <c r="AA179" s="882" t="str">
        <f>IF($E$30="Enter Duration (wks)","",IF($Y57="Enter Hrs/Wk","",IF($E$30&gt;='FORMULA REFS'!P$1,$Y57,"")))</f>
        <v/>
      </c>
      <c r="AB179" s="882" t="str">
        <f>IF($E$30="Enter Duration (wks)","",IF($Y57="Enter Hrs/Wk","",IF($E$30&gt;='FORMULA REFS'!Q$1,$Y57,"")))</f>
        <v/>
      </c>
      <c r="AC179" s="882"/>
      <c r="AD179" s="882"/>
      <c r="AE179" s="882"/>
      <c r="AF179" s="882"/>
      <c r="AG179" s="1286" t="str">
        <f>IF($E$30="Enter Duration (wks)","",IF($Y57="Enter Hrs/Wk","",IF($E$30&gt;='FORMULA REFS'!R$1,$Y57,"")))</f>
        <v/>
      </c>
      <c r="AH179" s="1286" t="str">
        <f>IF($E$30="Enter Duration (wks)","",IF($Y57="Enter Hrs/Wk","",IF($E$30&gt;='FORMULA REFS'!S$1,$Y57,"")))</f>
        <v/>
      </c>
      <c r="AI179" s="1286" t="str">
        <f>IF($E$30="Enter Duration (wks)","",IF($Y57="Enter Hrs/Wk","",IF($E$30&gt;='FORMULA REFS'!T$1,$Y57,"")))</f>
        <v/>
      </c>
      <c r="AJ179" s="1286" t="str">
        <f>IF($E$30="Enter Duration (wks)","",IF($Y57="Enter Hrs/Wk","",IF($E$30&gt;='FORMULA REFS'!U$1,$Y57,"")))</f>
        <v/>
      </c>
      <c r="AK179" s="1286" t="str">
        <f>IF($E$30="Enter Duration (wks)","",IF($Y57="Enter Hrs/Wk","",IF($E$30&gt;='FORMULA REFS'!V$1,$Y57,"")))</f>
        <v/>
      </c>
      <c r="AL179" s="1286" t="str">
        <f>IF($E$30="Enter Duration (wks)","",IF($Y57="Enter Hrs/Wk","",IF($E$30&gt;='FORMULA REFS'!W$1,$Y57,"")))</f>
        <v/>
      </c>
      <c r="AM179" s="1286" t="str">
        <f>IF($E$30="Enter Duration (wks)","",IF($Y57="Enter Hrs/Wk","",IF($E$30&gt;='FORMULA REFS'!X$1,$Y57,"")))</f>
        <v/>
      </c>
      <c r="AN179" s="1286" t="str">
        <f>IF($E$30="Enter Duration (wks)","",IF($Y57="Enter Hrs/Wk","",IF($E$30&gt;='FORMULA REFS'!Y$1,$Y57,"")))</f>
        <v/>
      </c>
      <c r="AO179" s="1286" t="str">
        <f>IF($E$30="Enter Duration (wks)","",IF($Y57="Enter Hrs/Wk","",IF($E$30&gt;='FORMULA REFS'!Z$1,$Y57,"")))</f>
        <v/>
      </c>
      <c r="AP179" s="1286" t="str">
        <f>IF($E$30="Enter Duration (wks)","",IF($Y57="Enter Hrs/Wk","",IF($E$30&gt;='FORMULA REFS'!AA$1,$Y57,"")))</f>
        <v/>
      </c>
      <c r="AQ179" s="1286" t="str">
        <f>IF($E$30="Enter Duration (wks)","",IF($Y57="Enter Hrs/Wk","",IF($E$30&gt;='FORMULA REFS'!AB$1,$Y57,"")))</f>
        <v/>
      </c>
      <c r="AR179" s="1286" t="str">
        <f>IF($E$30="Enter Duration (wks)","",IF($Y57="Enter Hrs/Wk","",IF($E$30&gt;='FORMULA REFS'!AC$1,$Y57,"")))</f>
        <v/>
      </c>
      <c r="AS179" s="1286" t="str">
        <f>IF($E$30="Enter Duration (wks)","",IF($Y57="Enter Hrs/Wk","",IF($E$30&gt;='FORMULA REFS'!AD$1,$Y57,"")))</f>
        <v/>
      </c>
      <c r="AT179" s="1286" t="str">
        <f>IF($E$30="Enter Duration (wks)","",IF($Y57="Enter Hrs/Wk","",IF($E$30&gt;='FORMULA REFS'!AE$1,$Y57,"")))</f>
        <v/>
      </c>
      <c r="AU179" s="1286" t="str">
        <f>IF($E$30="Enter Duration (wks)","",IF($Y57="Enter Hrs/Wk","",IF($E$30&gt;='FORMULA REFS'!AF$1,$Y57,"")))</f>
        <v/>
      </c>
      <c r="AV179" s="1286" t="str">
        <f>IF($E$30="Enter Duration (wks)","",IF($Y57="Enter Hrs/Wk","",IF($E$30&gt;='FORMULA REFS'!AG$1,$Y57,"")))</f>
        <v/>
      </c>
      <c r="AW179" s="1286" t="str">
        <f>IF($E$30="Enter Duration (wks)","",IF($Y57="Enter Hrs/Wk","",IF($E$30&gt;='FORMULA REFS'!AH$1,$Y57,"")))</f>
        <v/>
      </c>
      <c r="AX179" s="1286" t="str">
        <f>IF($E$30="Enter Duration (wks)","",IF($Y57="Enter Hrs/Wk","",IF($E$30&gt;='FORMULA REFS'!AI$1,$Y57,"")))</f>
        <v/>
      </c>
      <c r="AY179" s="1286" t="str">
        <f>IF($E$30="Enter Duration (wks)","",IF($Y57="Enter Hrs/Wk","",IF($E$30&gt;='FORMULA REFS'!AJ$1,$Y57,"")))</f>
        <v/>
      </c>
      <c r="AZ179" s="1286" t="str">
        <f>IF($E$30="Enter Duration (wks)","",IF($Y57="Enter Hrs/Wk","",IF($E$30&gt;='FORMULA REFS'!AK$1,$Y57,"")))</f>
        <v/>
      </c>
      <c r="BA179" s="1286" t="str">
        <f>IF($E$30="Enter Duration (wks)","",IF($Y57="Enter Hrs/Wk","",IF($E$30&gt;='FORMULA REFS'!AL$1,$Y57,"")))</f>
        <v/>
      </c>
      <c r="BB179" s="1286" t="str">
        <f>IF($E$30="Enter Duration (wks)","",IF($Y57="Enter Hrs/Wk","",IF($E$30&gt;='FORMULA REFS'!AM$1,$Y57,"")))</f>
        <v/>
      </c>
      <c r="BC179" s="1286" t="str">
        <f>IF($E$30="Enter Duration (wks)","",IF($Y57="Enter Hrs/Wk","",IF($E$30&gt;='FORMULA REFS'!AN$1,$Y57,"")))</f>
        <v/>
      </c>
      <c r="BD179" s="1286" t="str">
        <f>IF($E$30="Enter Duration (wks)","",IF($Y57="Enter Hrs/Wk","",IF($E$30&gt;='FORMULA REFS'!AO$1,$Y57,"")))</f>
        <v/>
      </c>
      <c r="BE179" s="1286" t="str">
        <f>IF($E$30="Enter Duration (wks)","",IF($Y57="Enter Hrs/Wk","",IF($E$30&gt;='FORMULA REFS'!AP$1,$Y57,"")))</f>
        <v/>
      </c>
      <c r="BF179" s="1286" t="str">
        <f>IF($E$30="Enter Duration (wks)","",IF($Y57="Enter Hrs/Wk","",IF($E$30&gt;='FORMULA REFS'!AQ$1,$Y57,"")))</f>
        <v/>
      </c>
      <c r="BG179" s="1286" t="str">
        <f>IF($E$30="Enter Duration (wks)","",IF($Y57="Enter Hrs/Wk","",IF($E$30&gt;='FORMULA REFS'!AR$1,$Y57,"")))</f>
        <v/>
      </c>
      <c r="BH179" s="1286" t="str">
        <f>IF($E$30="Enter Duration (wks)","",IF($Y57="Enter Hrs/Wk","",IF($E$30&gt;='FORMULA REFS'!AS$1,$Y57,"")))</f>
        <v/>
      </c>
      <c r="BI179" s="1286" t="str">
        <f>IF($E$30="Enter Duration (wks)","",IF($Y57="Enter Hrs/Wk","",IF($E$30&gt;='FORMULA REFS'!AT$1,$Y57,"")))</f>
        <v/>
      </c>
      <c r="BJ179" s="1286" t="str">
        <f>IF($E$30="Enter Duration (wks)","",IF($Y57="Enter Hrs/Wk","",IF($E$30&gt;='FORMULA REFS'!AU$1,$Y57,"")))</f>
        <v/>
      </c>
      <c r="BK179" s="1286" t="str">
        <f>IF($E$30="Enter Duration (wks)","",IF($Y57="Enter Hrs/Wk","",IF($E$30&gt;='FORMULA REFS'!AV$1,$Y57,"")))</f>
        <v/>
      </c>
      <c r="BL179" s="1286" t="str">
        <f>IF($E$30="Enter Duration (wks)","",IF($Y57="Enter Hrs/Wk","",IF($E$30&gt;='FORMULA REFS'!AW$1,$Y57,"")))</f>
        <v/>
      </c>
      <c r="BM179" s="1286" t="str">
        <f>IF($E$30="Enter Duration (wks)","",IF($Y57="Enter Hrs/Wk","",IF($E$30&gt;='FORMULA REFS'!AX$1,$Y57,"")))</f>
        <v/>
      </c>
      <c r="BN179" s="1286" t="str">
        <f>IF($E$30="Enter Duration (wks)","",IF($Y57="Enter Hrs/Wk","",IF($E$30&gt;='FORMULA REFS'!AY$1,$Y57,"")))</f>
        <v/>
      </c>
      <c r="BO179" s="1286" t="str">
        <f>IF($E$30="Enter Duration (wks)","",IF($Y57="Enter Hrs/Wk","",IF($E$30&gt;='FORMULA REFS'!AZ$1,$Y57,"")))</f>
        <v/>
      </c>
      <c r="BP179" s="545"/>
      <c r="BQ179" s="545"/>
      <c r="BR179" s="545"/>
      <c r="BS179" s="545"/>
      <c r="BT179" s="545"/>
      <c r="BU179" s="545"/>
      <c r="BV179" s="545"/>
      <c r="BW179" s="545"/>
      <c r="BX179" s="545"/>
      <c r="BY179" s="545"/>
      <c r="BZ179" s="545"/>
      <c r="CA179" s="545"/>
      <c r="CB179" s="413"/>
      <c r="CC179" s="413"/>
      <c r="CD179" s="413"/>
      <c r="CE179" s="413"/>
      <c r="CF179" s="413"/>
      <c r="CG179" s="523"/>
      <c r="CH179" s="523"/>
      <c r="CI179" s="546"/>
      <c r="CJ179" s="547"/>
      <c r="CK179" s="547"/>
      <c r="CL179" s="413"/>
      <c r="CM179" s="413"/>
      <c r="CN179" s="413"/>
      <c r="CO179" s="413"/>
      <c r="CP179" s="413"/>
      <c r="CQ179" s="413"/>
    </row>
    <row r="180" spans="3:95" x14ac:dyDescent="0.25">
      <c r="C180" s="1291" t="str">
        <f t="shared" si="80"/>
        <v/>
      </c>
      <c r="D180" s="1318" t="str">
        <f t="shared" si="81"/>
        <v/>
      </c>
      <c r="E180" s="1326"/>
      <c r="F180" s="1327" t="str">
        <f>IF($E$30="Enter Duration (wks)","",IF($Y58="Enter Hrs/Wk","",IF($E$30&gt;='FORMULA REFS'!A$1,$Y58,"")))</f>
        <v/>
      </c>
      <c r="G180" s="1328"/>
      <c r="H180" s="1570"/>
      <c r="I180" s="1329" t="str">
        <f>IF($E$30="Enter Duration (wks)","",IF($Y58="Enter Hrs/Wk","",IF($E$30&gt;='FORMULA REFS'!B$1,$Y58,"")))</f>
        <v/>
      </c>
      <c r="J180" s="1323"/>
      <c r="K180" s="1286" t="str">
        <f>IF($E$30="Enter Duration (wks)","",IF($Y58="Enter Hrs/Wk","",IF($E$30&gt;='FORMULA REFS'!C$1,$Y58,"")))</f>
        <v/>
      </c>
      <c r="L180" s="882" t="str">
        <f>IF($E$30="Enter Duration (wks)","",IF($Y58="Enter Hrs/Wk","",IF($E$30&gt;='FORMULA REFS'!D$1,$Y58,"")))</f>
        <v/>
      </c>
      <c r="M180" s="882" t="str">
        <f>IF($E$30="Enter Duration (wks)","",IF($Y58="Enter Hrs/Wk","",IF($E$30&gt;='FORMULA REFS'!E$1,$Y58,"")))</f>
        <v/>
      </c>
      <c r="N180" s="882" t="str">
        <f>IF($E$30="Enter Duration (wks)","",IF($Y58="Enter Hrs/Wk","",IF($E$30&gt;='FORMULA REFS'!F$1,$Y58,"")))</f>
        <v/>
      </c>
      <c r="O180" s="882" t="str">
        <f>IF($E$30="Enter Duration (wks)","",IF($Y58="Enter Hrs/Wk","",IF($E$30&gt;='FORMULA REFS'!G$1,$Y58,"")))</f>
        <v/>
      </c>
      <c r="P180" s="882" t="str">
        <f>IF($E$30="Enter Duration (wks)","",IF($Y58="Enter Hrs/Wk","",IF($E$30&gt;='FORMULA REFS'!H$1,$Y58,"")))</f>
        <v/>
      </c>
      <c r="Q180" s="882" t="str">
        <f>IF($E$30="Enter Duration (wks)","",IF($Y58="Enter Hrs/Wk","",IF($E$30&gt;='FORMULA REFS'!I$1,$Y58,"")))</f>
        <v/>
      </c>
      <c r="R180" s="882" t="str">
        <f>IF($E$30="Enter Duration (wks)","",IF($Y58="Enter Hrs/Wk","",IF($E$30&gt;='FORMULA REFS'!J$1,$Y58,"")))</f>
        <v/>
      </c>
      <c r="S180" s="882" t="str">
        <f>IF($E$30="Enter Duration (wks)","",IF($Y58="Enter Hrs/Wk","",IF($E$30&gt;='FORMULA REFS'!K$1,$Y58,"")))</f>
        <v/>
      </c>
      <c r="T180" s="1323" t="str">
        <f>IF($E$30="Enter Duration (wks)","",IF($Y58="Enter Hrs/Wk","",IF($E$30&gt;='FORMULA REFS'!L$1,$Y58,"")))</f>
        <v/>
      </c>
      <c r="U180" s="882" t="str">
        <f>IF($E$30="Enter Duration (wks)","",IF($Y58="Enter Hrs/Wk","",IF($E$30&gt;='FORMULA REFS'!M$1,$Y58,"")))</f>
        <v/>
      </c>
      <c r="V180" s="882"/>
      <c r="W180" s="882"/>
      <c r="X180" s="1285"/>
      <c r="Y180" s="1285" t="str">
        <f>IF($E$30="Enter Duration (wks)","",IF($Y58="Enter Hrs/Wk","",IF($E$30&gt;='FORMULA REFS'!N$1,$Y58,"")))</f>
        <v/>
      </c>
      <c r="Z180" s="1343" t="str">
        <f>IF($E$30="Enter Duration (wks)","",IF($Y58="Enter Hrs/Wk","",IF($E$30&gt;='FORMULA REFS'!O$1,$Y58,"")))</f>
        <v/>
      </c>
      <c r="AA180" s="882" t="str">
        <f>IF($E$30="Enter Duration (wks)","",IF($Y58="Enter Hrs/Wk","",IF($E$30&gt;='FORMULA REFS'!P$1,$Y58,"")))</f>
        <v/>
      </c>
      <c r="AB180" s="882" t="str">
        <f>IF($E$30="Enter Duration (wks)","",IF($Y58="Enter Hrs/Wk","",IF($E$30&gt;='FORMULA REFS'!Q$1,$Y58,"")))</f>
        <v/>
      </c>
      <c r="AC180" s="882"/>
      <c r="AD180" s="882"/>
      <c r="AE180" s="882"/>
      <c r="AF180" s="882"/>
      <c r="AG180" s="1286" t="str">
        <f>IF($E$30="Enter Duration (wks)","",IF($Y58="Enter Hrs/Wk","",IF($E$30&gt;='FORMULA REFS'!R$1,$Y58,"")))</f>
        <v/>
      </c>
      <c r="AH180" s="1286" t="str">
        <f>IF($E$30="Enter Duration (wks)","",IF($Y58="Enter Hrs/Wk","",IF($E$30&gt;='FORMULA REFS'!S$1,$Y58,"")))</f>
        <v/>
      </c>
      <c r="AI180" s="1286" t="str">
        <f>IF($E$30="Enter Duration (wks)","",IF($Y58="Enter Hrs/Wk","",IF($E$30&gt;='FORMULA REFS'!T$1,$Y58,"")))</f>
        <v/>
      </c>
      <c r="AJ180" s="1286" t="str">
        <f>IF($E$30="Enter Duration (wks)","",IF($Y58="Enter Hrs/Wk","",IF($E$30&gt;='FORMULA REFS'!U$1,$Y58,"")))</f>
        <v/>
      </c>
      <c r="AK180" s="1286" t="str">
        <f>IF($E$30="Enter Duration (wks)","",IF($Y58="Enter Hrs/Wk","",IF($E$30&gt;='FORMULA REFS'!V$1,$Y58,"")))</f>
        <v/>
      </c>
      <c r="AL180" s="1286" t="str">
        <f>IF($E$30="Enter Duration (wks)","",IF($Y58="Enter Hrs/Wk","",IF($E$30&gt;='FORMULA REFS'!W$1,$Y58,"")))</f>
        <v/>
      </c>
      <c r="AM180" s="1286" t="str">
        <f>IF($E$30="Enter Duration (wks)","",IF($Y58="Enter Hrs/Wk","",IF($E$30&gt;='FORMULA REFS'!X$1,$Y58,"")))</f>
        <v/>
      </c>
      <c r="AN180" s="1286" t="str">
        <f>IF($E$30="Enter Duration (wks)","",IF($Y58="Enter Hrs/Wk","",IF($E$30&gt;='FORMULA REFS'!Y$1,$Y58,"")))</f>
        <v/>
      </c>
      <c r="AO180" s="1286" t="str">
        <f>IF($E$30="Enter Duration (wks)","",IF($Y58="Enter Hrs/Wk","",IF($E$30&gt;='FORMULA REFS'!Z$1,$Y58,"")))</f>
        <v/>
      </c>
      <c r="AP180" s="1286" t="str">
        <f>IF($E$30="Enter Duration (wks)","",IF($Y58="Enter Hrs/Wk","",IF($E$30&gt;='FORMULA REFS'!AA$1,$Y58,"")))</f>
        <v/>
      </c>
      <c r="AQ180" s="1286" t="str">
        <f>IF($E$30="Enter Duration (wks)","",IF($Y58="Enter Hrs/Wk","",IF($E$30&gt;='FORMULA REFS'!AB$1,$Y58,"")))</f>
        <v/>
      </c>
      <c r="AR180" s="1286" t="str">
        <f>IF($E$30="Enter Duration (wks)","",IF($Y58="Enter Hrs/Wk","",IF($E$30&gt;='FORMULA REFS'!AC$1,$Y58,"")))</f>
        <v/>
      </c>
      <c r="AS180" s="1286" t="str">
        <f>IF($E$30="Enter Duration (wks)","",IF($Y58="Enter Hrs/Wk","",IF($E$30&gt;='FORMULA REFS'!AD$1,$Y58,"")))</f>
        <v/>
      </c>
      <c r="AT180" s="1286" t="str">
        <f>IF($E$30="Enter Duration (wks)","",IF($Y58="Enter Hrs/Wk","",IF($E$30&gt;='FORMULA REFS'!AE$1,$Y58,"")))</f>
        <v/>
      </c>
      <c r="AU180" s="1286" t="str">
        <f>IF($E$30="Enter Duration (wks)","",IF($Y58="Enter Hrs/Wk","",IF($E$30&gt;='FORMULA REFS'!AF$1,$Y58,"")))</f>
        <v/>
      </c>
      <c r="AV180" s="1286" t="str">
        <f>IF($E$30="Enter Duration (wks)","",IF($Y58="Enter Hrs/Wk","",IF($E$30&gt;='FORMULA REFS'!AG$1,$Y58,"")))</f>
        <v/>
      </c>
      <c r="AW180" s="1286" t="str">
        <f>IF($E$30="Enter Duration (wks)","",IF($Y58="Enter Hrs/Wk","",IF($E$30&gt;='FORMULA REFS'!AH$1,$Y58,"")))</f>
        <v/>
      </c>
      <c r="AX180" s="1286" t="str">
        <f>IF($E$30="Enter Duration (wks)","",IF($Y58="Enter Hrs/Wk","",IF($E$30&gt;='FORMULA REFS'!AI$1,$Y58,"")))</f>
        <v/>
      </c>
      <c r="AY180" s="1286" t="str">
        <f>IF($E$30="Enter Duration (wks)","",IF($Y58="Enter Hrs/Wk","",IF($E$30&gt;='FORMULA REFS'!AJ$1,$Y58,"")))</f>
        <v/>
      </c>
      <c r="AZ180" s="1286" t="str">
        <f>IF($E$30="Enter Duration (wks)","",IF($Y58="Enter Hrs/Wk","",IF($E$30&gt;='FORMULA REFS'!AK$1,$Y58,"")))</f>
        <v/>
      </c>
      <c r="BA180" s="1286" t="str">
        <f>IF($E$30="Enter Duration (wks)","",IF($Y58="Enter Hrs/Wk","",IF($E$30&gt;='FORMULA REFS'!AL$1,$Y58,"")))</f>
        <v/>
      </c>
      <c r="BB180" s="1286" t="str">
        <f>IF($E$30="Enter Duration (wks)","",IF($Y58="Enter Hrs/Wk","",IF($E$30&gt;='FORMULA REFS'!AM$1,$Y58,"")))</f>
        <v/>
      </c>
      <c r="BC180" s="1286" t="str">
        <f>IF($E$30="Enter Duration (wks)","",IF($Y58="Enter Hrs/Wk","",IF($E$30&gt;='FORMULA REFS'!AN$1,$Y58,"")))</f>
        <v/>
      </c>
      <c r="BD180" s="1286" t="str">
        <f>IF($E$30="Enter Duration (wks)","",IF($Y58="Enter Hrs/Wk","",IF($E$30&gt;='FORMULA REFS'!AO$1,$Y58,"")))</f>
        <v/>
      </c>
      <c r="BE180" s="1286" t="str">
        <f>IF($E$30="Enter Duration (wks)","",IF($Y58="Enter Hrs/Wk","",IF($E$30&gt;='FORMULA REFS'!AP$1,$Y58,"")))</f>
        <v/>
      </c>
      <c r="BF180" s="1286" t="str">
        <f>IF($E$30="Enter Duration (wks)","",IF($Y58="Enter Hrs/Wk","",IF($E$30&gt;='FORMULA REFS'!AQ$1,$Y58,"")))</f>
        <v/>
      </c>
      <c r="BG180" s="1286" t="str">
        <f>IF($E$30="Enter Duration (wks)","",IF($Y58="Enter Hrs/Wk","",IF($E$30&gt;='FORMULA REFS'!AR$1,$Y58,"")))</f>
        <v/>
      </c>
      <c r="BH180" s="1286" t="str">
        <f>IF($E$30="Enter Duration (wks)","",IF($Y58="Enter Hrs/Wk","",IF($E$30&gt;='FORMULA REFS'!AS$1,$Y58,"")))</f>
        <v/>
      </c>
      <c r="BI180" s="1286" t="str">
        <f>IF($E$30="Enter Duration (wks)","",IF($Y58="Enter Hrs/Wk","",IF($E$30&gt;='FORMULA REFS'!AT$1,$Y58,"")))</f>
        <v/>
      </c>
      <c r="BJ180" s="1286" t="str">
        <f>IF($E$30="Enter Duration (wks)","",IF($Y58="Enter Hrs/Wk","",IF($E$30&gt;='FORMULA REFS'!AU$1,$Y58,"")))</f>
        <v/>
      </c>
      <c r="BK180" s="1286" t="str">
        <f>IF($E$30="Enter Duration (wks)","",IF($Y58="Enter Hrs/Wk","",IF($E$30&gt;='FORMULA REFS'!AV$1,$Y58,"")))</f>
        <v/>
      </c>
      <c r="BL180" s="1286" t="str">
        <f>IF($E$30="Enter Duration (wks)","",IF($Y58="Enter Hrs/Wk","",IF($E$30&gt;='FORMULA REFS'!AW$1,$Y58,"")))</f>
        <v/>
      </c>
      <c r="BM180" s="1286" t="str">
        <f>IF($E$30="Enter Duration (wks)","",IF($Y58="Enter Hrs/Wk","",IF($E$30&gt;='FORMULA REFS'!AX$1,$Y58,"")))</f>
        <v/>
      </c>
      <c r="BN180" s="1286" t="str">
        <f>IF($E$30="Enter Duration (wks)","",IF($Y58="Enter Hrs/Wk","",IF($E$30&gt;='FORMULA REFS'!AY$1,$Y58,"")))</f>
        <v/>
      </c>
      <c r="BO180" s="1286" t="str">
        <f>IF($E$30="Enter Duration (wks)","",IF($Y58="Enter Hrs/Wk","",IF($E$30&gt;='FORMULA REFS'!AZ$1,$Y58,"")))</f>
        <v/>
      </c>
      <c r="BP180" s="545"/>
      <c r="BQ180" s="545"/>
      <c r="BR180" s="545"/>
      <c r="BS180" s="545"/>
      <c r="BT180" s="545"/>
      <c r="BU180" s="545"/>
      <c r="BV180" s="545"/>
      <c r="BW180" s="545"/>
      <c r="BX180" s="545"/>
      <c r="BY180" s="545"/>
      <c r="BZ180" s="545"/>
      <c r="CA180" s="545"/>
      <c r="CB180" s="413"/>
      <c r="CC180" s="413"/>
      <c r="CD180" s="413"/>
      <c r="CE180" s="413"/>
      <c r="CF180" s="413"/>
      <c r="CG180" s="523"/>
      <c r="CH180" s="523"/>
      <c r="CI180" s="546"/>
      <c r="CJ180" s="547"/>
      <c r="CK180" s="547"/>
      <c r="CL180" s="413"/>
      <c r="CM180" s="413"/>
      <c r="CN180" s="413"/>
      <c r="CO180" s="413"/>
      <c r="CP180" s="413"/>
      <c r="CQ180" s="413"/>
    </row>
    <row r="181" spans="3:95" x14ac:dyDescent="0.25">
      <c r="C181" s="1291" t="str">
        <f t="shared" si="80"/>
        <v/>
      </c>
      <c r="D181" s="1318" t="str">
        <f t="shared" si="81"/>
        <v/>
      </c>
      <c r="E181" s="1326"/>
      <c r="F181" s="1327" t="str">
        <f>IF($E$30="Enter Duration (wks)","",IF($Y59="Enter Hrs/Wk","",IF($E$30&gt;='FORMULA REFS'!A$1,$Y59,"")))</f>
        <v/>
      </c>
      <c r="G181" s="1328"/>
      <c r="H181" s="1570"/>
      <c r="I181" s="1329" t="str">
        <f>IF($E$30="Enter Duration (wks)","",IF($Y59="Enter Hrs/Wk","",IF($E$30&gt;='FORMULA REFS'!B$1,$Y59,"")))</f>
        <v/>
      </c>
      <c r="J181" s="1323"/>
      <c r="K181" s="1286" t="str">
        <f>IF($E$30="Enter Duration (wks)","",IF($Y59="Enter Hrs/Wk","",IF($E$30&gt;='FORMULA REFS'!C$1,$Y59,"")))</f>
        <v/>
      </c>
      <c r="L181" s="882" t="str">
        <f>IF($E$30="Enter Duration (wks)","",IF($Y59="Enter Hrs/Wk","",IF($E$30&gt;='FORMULA REFS'!D$1,$Y59,"")))</f>
        <v/>
      </c>
      <c r="M181" s="882" t="str">
        <f>IF($E$30="Enter Duration (wks)","",IF($Y59="Enter Hrs/Wk","",IF($E$30&gt;='FORMULA REFS'!E$1,$Y59,"")))</f>
        <v/>
      </c>
      <c r="N181" s="882" t="str">
        <f>IF($E$30="Enter Duration (wks)","",IF($Y59="Enter Hrs/Wk","",IF($E$30&gt;='FORMULA REFS'!F$1,$Y59,"")))</f>
        <v/>
      </c>
      <c r="O181" s="882" t="str">
        <f>IF($E$30="Enter Duration (wks)","",IF($Y59="Enter Hrs/Wk","",IF($E$30&gt;='FORMULA REFS'!G$1,$Y59,"")))</f>
        <v/>
      </c>
      <c r="P181" s="882" t="str">
        <f>IF($E$30="Enter Duration (wks)","",IF($Y59="Enter Hrs/Wk","",IF($E$30&gt;='FORMULA REFS'!H$1,$Y59,"")))</f>
        <v/>
      </c>
      <c r="Q181" s="882" t="str">
        <f>IF($E$30="Enter Duration (wks)","",IF($Y59="Enter Hrs/Wk","",IF($E$30&gt;='FORMULA REFS'!I$1,$Y59,"")))</f>
        <v/>
      </c>
      <c r="R181" s="882" t="str">
        <f>IF($E$30="Enter Duration (wks)","",IF($Y59="Enter Hrs/Wk","",IF($E$30&gt;='FORMULA REFS'!J$1,$Y59,"")))</f>
        <v/>
      </c>
      <c r="S181" s="882" t="str">
        <f>IF($E$30="Enter Duration (wks)","",IF($Y59="Enter Hrs/Wk","",IF($E$30&gt;='FORMULA REFS'!K$1,$Y59,"")))</f>
        <v/>
      </c>
      <c r="T181" s="1323" t="str">
        <f>IF($E$30="Enter Duration (wks)","",IF($Y59="Enter Hrs/Wk","",IF($E$30&gt;='FORMULA REFS'!L$1,$Y59,"")))</f>
        <v/>
      </c>
      <c r="U181" s="882" t="str">
        <f>IF($E$30="Enter Duration (wks)","",IF($Y59="Enter Hrs/Wk","",IF($E$30&gt;='FORMULA REFS'!M$1,$Y59,"")))</f>
        <v/>
      </c>
      <c r="V181" s="882"/>
      <c r="W181" s="882"/>
      <c r="X181" s="1285"/>
      <c r="Y181" s="1285" t="str">
        <f>IF($E$30="Enter Duration (wks)","",IF($Y59="Enter Hrs/Wk","",IF($E$30&gt;='FORMULA REFS'!N$1,$Y59,"")))</f>
        <v/>
      </c>
      <c r="Z181" s="1343" t="str">
        <f>IF($E$30="Enter Duration (wks)","",IF($Y59="Enter Hrs/Wk","",IF($E$30&gt;='FORMULA REFS'!O$1,$Y59,"")))</f>
        <v/>
      </c>
      <c r="AA181" s="882" t="str">
        <f>IF($E$30="Enter Duration (wks)","",IF($Y59="Enter Hrs/Wk","",IF($E$30&gt;='FORMULA REFS'!P$1,$Y59,"")))</f>
        <v/>
      </c>
      <c r="AB181" s="882" t="str">
        <f>IF($E$30="Enter Duration (wks)","",IF($Y59="Enter Hrs/Wk","",IF($E$30&gt;='FORMULA REFS'!Q$1,$Y59,"")))</f>
        <v/>
      </c>
      <c r="AC181" s="882"/>
      <c r="AD181" s="882"/>
      <c r="AE181" s="882"/>
      <c r="AF181" s="882"/>
      <c r="AG181" s="1286" t="str">
        <f>IF($E$30="Enter Duration (wks)","",IF($Y59="Enter Hrs/Wk","",IF($E$30&gt;='FORMULA REFS'!R$1,$Y59,"")))</f>
        <v/>
      </c>
      <c r="AH181" s="1286" t="str">
        <f>IF($E$30="Enter Duration (wks)","",IF($Y59="Enter Hrs/Wk","",IF($E$30&gt;='FORMULA REFS'!S$1,$Y59,"")))</f>
        <v/>
      </c>
      <c r="AI181" s="1286" t="str">
        <f>IF($E$30="Enter Duration (wks)","",IF($Y59="Enter Hrs/Wk","",IF($E$30&gt;='FORMULA REFS'!T$1,$Y59,"")))</f>
        <v/>
      </c>
      <c r="AJ181" s="1286" t="str">
        <f>IF($E$30="Enter Duration (wks)","",IF($Y59="Enter Hrs/Wk","",IF($E$30&gt;='FORMULA REFS'!U$1,$Y59,"")))</f>
        <v/>
      </c>
      <c r="AK181" s="1286" t="str">
        <f>IF($E$30="Enter Duration (wks)","",IF($Y59="Enter Hrs/Wk","",IF($E$30&gt;='FORMULA REFS'!V$1,$Y59,"")))</f>
        <v/>
      </c>
      <c r="AL181" s="1286" t="str">
        <f>IF($E$30="Enter Duration (wks)","",IF($Y59="Enter Hrs/Wk","",IF($E$30&gt;='FORMULA REFS'!W$1,$Y59,"")))</f>
        <v/>
      </c>
      <c r="AM181" s="1286" t="str">
        <f>IF($E$30="Enter Duration (wks)","",IF($Y59="Enter Hrs/Wk","",IF($E$30&gt;='FORMULA REFS'!X$1,$Y59,"")))</f>
        <v/>
      </c>
      <c r="AN181" s="1286" t="str">
        <f>IF($E$30="Enter Duration (wks)","",IF($Y59="Enter Hrs/Wk","",IF($E$30&gt;='FORMULA REFS'!Y$1,$Y59,"")))</f>
        <v/>
      </c>
      <c r="AO181" s="1286" t="str">
        <f>IF($E$30="Enter Duration (wks)","",IF($Y59="Enter Hrs/Wk","",IF($E$30&gt;='FORMULA REFS'!Z$1,$Y59,"")))</f>
        <v/>
      </c>
      <c r="AP181" s="1286" t="str">
        <f>IF($E$30="Enter Duration (wks)","",IF($Y59="Enter Hrs/Wk","",IF($E$30&gt;='FORMULA REFS'!AA$1,$Y59,"")))</f>
        <v/>
      </c>
      <c r="AQ181" s="1286" t="str">
        <f>IF($E$30="Enter Duration (wks)","",IF($Y59="Enter Hrs/Wk","",IF($E$30&gt;='FORMULA REFS'!AB$1,$Y59,"")))</f>
        <v/>
      </c>
      <c r="AR181" s="1286" t="str">
        <f>IF($E$30="Enter Duration (wks)","",IF($Y59="Enter Hrs/Wk","",IF($E$30&gt;='FORMULA REFS'!AC$1,$Y59,"")))</f>
        <v/>
      </c>
      <c r="AS181" s="1286" t="str">
        <f>IF($E$30="Enter Duration (wks)","",IF($Y59="Enter Hrs/Wk","",IF($E$30&gt;='FORMULA REFS'!AD$1,$Y59,"")))</f>
        <v/>
      </c>
      <c r="AT181" s="1286" t="str">
        <f>IF($E$30="Enter Duration (wks)","",IF($Y59="Enter Hrs/Wk","",IF($E$30&gt;='FORMULA REFS'!AE$1,$Y59,"")))</f>
        <v/>
      </c>
      <c r="AU181" s="1286" t="str">
        <f>IF($E$30="Enter Duration (wks)","",IF($Y59="Enter Hrs/Wk","",IF($E$30&gt;='FORMULA REFS'!AF$1,$Y59,"")))</f>
        <v/>
      </c>
      <c r="AV181" s="1286" t="str">
        <f>IF($E$30="Enter Duration (wks)","",IF($Y59="Enter Hrs/Wk","",IF($E$30&gt;='FORMULA REFS'!AG$1,$Y59,"")))</f>
        <v/>
      </c>
      <c r="AW181" s="1286" t="str">
        <f>IF($E$30="Enter Duration (wks)","",IF($Y59="Enter Hrs/Wk","",IF($E$30&gt;='FORMULA REFS'!AH$1,$Y59,"")))</f>
        <v/>
      </c>
      <c r="AX181" s="1286" t="str">
        <f>IF($E$30="Enter Duration (wks)","",IF($Y59="Enter Hrs/Wk","",IF($E$30&gt;='FORMULA REFS'!AI$1,$Y59,"")))</f>
        <v/>
      </c>
      <c r="AY181" s="1286" t="str">
        <f>IF($E$30="Enter Duration (wks)","",IF($Y59="Enter Hrs/Wk","",IF($E$30&gt;='FORMULA REFS'!AJ$1,$Y59,"")))</f>
        <v/>
      </c>
      <c r="AZ181" s="1286" t="str">
        <f>IF($E$30="Enter Duration (wks)","",IF($Y59="Enter Hrs/Wk","",IF($E$30&gt;='FORMULA REFS'!AK$1,$Y59,"")))</f>
        <v/>
      </c>
      <c r="BA181" s="1286" t="str">
        <f>IF($E$30="Enter Duration (wks)","",IF($Y59="Enter Hrs/Wk","",IF($E$30&gt;='FORMULA REFS'!AL$1,$Y59,"")))</f>
        <v/>
      </c>
      <c r="BB181" s="1286" t="str">
        <f>IF($E$30="Enter Duration (wks)","",IF($Y59="Enter Hrs/Wk","",IF($E$30&gt;='FORMULA REFS'!AM$1,$Y59,"")))</f>
        <v/>
      </c>
      <c r="BC181" s="1286" t="str">
        <f>IF($E$30="Enter Duration (wks)","",IF($Y59="Enter Hrs/Wk","",IF($E$30&gt;='FORMULA REFS'!AN$1,$Y59,"")))</f>
        <v/>
      </c>
      <c r="BD181" s="1286" t="str">
        <f>IF($E$30="Enter Duration (wks)","",IF($Y59="Enter Hrs/Wk","",IF($E$30&gt;='FORMULA REFS'!AO$1,$Y59,"")))</f>
        <v/>
      </c>
      <c r="BE181" s="1286" t="str">
        <f>IF($E$30="Enter Duration (wks)","",IF($Y59="Enter Hrs/Wk","",IF($E$30&gt;='FORMULA REFS'!AP$1,$Y59,"")))</f>
        <v/>
      </c>
      <c r="BF181" s="1286" t="str">
        <f>IF($E$30="Enter Duration (wks)","",IF($Y59="Enter Hrs/Wk","",IF($E$30&gt;='FORMULA REFS'!AQ$1,$Y59,"")))</f>
        <v/>
      </c>
      <c r="BG181" s="1286" t="str">
        <f>IF($E$30="Enter Duration (wks)","",IF($Y59="Enter Hrs/Wk","",IF($E$30&gt;='FORMULA REFS'!AR$1,$Y59,"")))</f>
        <v/>
      </c>
      <c r="BH181" s="1286" t="str">
        <f>IF($E$30="Enter Duration (wks)","",IF($Y59="Enter Hrs/Wk","",IF($E$30&gt;='FORMULA REFS'!AS$1,$Y59,"")))</f>
        <v/>
      </c>
      <c r="BI181" s="1286" t="str">
        <f>IF($E$30="Enter Duration (wks)","",IF($Y59="Enter Hrs/Wk","",IF($E$30&gt;='FORMULA REFS'!AT$1,$Y59,"")))</f>
        <v/>
      </c>
      <c r="BJ181" s="1286" t="str">
        <f>IF($E$30="Enter Duration (wks)","",IF($Y59="Enter Hrs/Wk","",IF($E$30&gt;='FORMULA REFS'!AU$1,$Y59,"")))</f>
        <v/>
      </c>
      <c r="BK181" s="1286" t="str">
        <f>IF($E$30="Enter Duration (wks)","",IF($Y59="Enter Hrs/Wk","",IF($E$30&gt;='FORMULA REFS'!AV$1,$Y59,"")))</f>
        <v/>
      </c>
      <c r="BL181" s="1286" t="str">
        <f>IF($E$30="Enter Duration (wks)","",IF($Y59="Enter Hrs/Wk","",IF($E$30&gt;='FORMULA REFS'!AW$1,$Y59,"")))</f>
        <v/>
      </c>
      <c r="BM181" s="1286" t="str">
        <f>IF($E$30="Enter Duration (wks)","",IF($Y59="Enter Hrs/Wk","",IF($E$30&gt;='FORMULA REFS'!AX$1,$Y59,"")))</f>
        <v/>
      </c>
      <c r="BN181" s="1286" t="str">
        <f>IF($E$30="Enter Duration (wks)","",IF($Y59="Enter Hrs/Wk","",IF($E$30&gt;='FORMULA REFS'!AY$1,$Y59,"")))</f>
        <v/>
      </c>
      <c r="BO181" s="1286" t="str">
        <f>IF($E$30="Enter Duration (wks)","",IF($Y59="Enter Hrs/Wk","",IF($E$30&gt;='FORMULA REFS'!AZ$1,$Y59,"")))</f>
        <v/>
      </c>
      <c r="BP181" s="545"/>
      <c r="BQ181" s="545"/>
      <c r="BR181" s="545"/>
      <c r="BS181" s="545"/>
      <c r="BT181" s="545"/>
      <c r="BU181" s="545"/>
      <c r="BV181" s="545"/>
      <c r="BW181" s="545"/>
      <c r="BX181" s="545"/>
      <c r="BY181" s="545"/>
      <c r="BZ181" s="545"/>
      <c r="CA181" s="545"/>
      <c r="CB181" s="413"/>
      <c r="CC181" s="413"/>
      <c r="CD181" s="413"/>
      <c r="CE181" s="413"/>
      <c r="CF181" s="413"/>
      <c r="CG181" s="523"/>
      <c r="CH181" s="523"/>
      <c r="CI181" s="548"/>
      <c r="CJ181" s="549"/>
      <c r="CK181" s="549"/>
      <c r="CL181" s="413"/>
      <c r="CM181" s="413"/>
      <c r="CN181" s="413"/>
      <c r="CO181" s="413"/>
      <c r="CP181" s="413"/>
      <c r="CQ181" s="413"/>
    </row>
    <row r="182" spans="3:95" x14ac:dyDescent="0.25">
      <c r="C182" s="1291" t="str">
        <f t="shared" si="80"/>
        <v/>
      </c>
      <c r="D182" s="1318" t="str">
        <f t="shared" si="81"/>
        <v/>
      </c>
      <c r="E182" s="1326"/>
      <c r="F182" s="1327" t="str">
        <f>IF($E$30="Enter Duration (wks)","",IF($Y60="Enter Hrs/Wk","",IF($E$30&gt;='FORMULA REFS'!A$1,$Y60,"")))</f>
        <v/>
      </c>
      <c r="G182" s="1328"/>
      <c r="H182" s="1570"/>
      <c r="I182" s="1329" t="str">
        <f>IF($E$30="Enter Duration (wks)","",IF($Y60="Enter Hrs/Wk","",IF($E$30&gt;='FORMULA REFS'!B$1,$Y60,"")))</f>
        <v/>
      </c>
      <c r="J182" s="1323"/>
      <c r="K182" s="1286" t="str">
        <f>IF($E$30="Enter Duration (wks)","",IF($Y60="Enter Hrs/Wk","",IF($E$30&gt;='FORMULA REFS'!C$1,$Y60,"")))</f>
        <v/>
      </c>
      <c r="L182" s="882" t="str">
        <f>IF($E$30="Enter Duration (wks)","",IF($Y60="Enter Hrs/Wk","",IF($E$30&gt;='FORMULA REFS'!D$1,$Y60,"")))</f>
        <v/>
      </c>
      <c r="M182" s="882" t="str">
        <f>IF($E$30="Enter Duration (wks)","",IF($Y60="Enter Hrs/Wk","",IF($E$30&gt;='FORMULA REFS'!E$1,$Y60,"")))</f>
        <v/>
      </c>
      <c r="N182" s="882" t="str">
        <f>IF($E$30="Enter Duration (wks)","",IF($Y60="Enter Hrs/Wk","",IF($E$30&gt;='FORMULA REFS'!F$1,$Y60,"")))</f>
        <v/>
      </c>
      <c r="O182" s="882" t="str">
        <f>IF($E$30="Enter Duration (wks)","",IF($Y60="Enter Hrs/Wk","",IF($E$30&gt;='FORMULA REFS'!G$1,$Y60,"")))</f>
        <v/>
      </c>
      <c r="P182" s="882" t="str">
        <f>IF($E$30="Enter Duration (wks)","",IF($Y60="Enter Hrs/Wk","",IF($E$30&gt;='FORMULA REFS'!H$1,$Y60,"")))</f>
        <v/>
      </c>
      <c r="Q182" s="882" t="str">
        <f>IF($E$30="Enter Duration (wks)","",IF($Y60="Enter Hrs/Wk","",IF($E$30&gt;='FORMULA REFS'!I$1,$Y60,"")))</f>
        <v/>
      </c>
      <c r="R182" s="882" t="str">
        <f>IF($E$30="Enter Duration (wks)","",IF($Y60="Enter Hrs/Wk","",IF($E$30&gt;='FORMULA REFS'!J$1,$Y60,"")))</f>
        <v/>
      </c>
      <c r="S182" s="882" t="str">
        <f>IF($E$30="Enter Duration (wks)","",IF($Y60="Enter Hrs/Wk","",IF($E$30&gt;='FORMULA REFS'!K$1,$Y60,"")))</f>
        <v/>
      </c>
      <c r="T182" s="1323" t="str">
        <f>IF($E$30="Enter Duration (wks)","",IF($Y60="Enter Hrs/Wk","",IF($E$30&gt;='FORMULA REFS'!L$1,$Y60,"")))</f>
        <v/>
      </c>
      <c r="U182" s="882" t="str">
        <f>IF($E$30="Enter Duration (wks)","",IF($Y60="Enter Hrs/Wk","",IF($E$30&gt;='FORMULA REFS'!M$1,$Y60,"")))</f>
        <v/>
      </c>
      <c r="V182" s="882"/>
      <c r="W182" s="882"/>
      <c r="X182" s="1285"/>
      <c r="Y182" s="1285" t="str">
        <f>IF($E$30="Enter Duration (wks)","",IF($Y60="Enter Hrs/Wk","",IF($E$30&gt;='FORMULA REFS'!N$1,$Y60,"")))</f>
        <v/>
      </c>
      <c r="Z182" s="1343" t="str">
        <f>IF($E$30="Enter Duration (wks)","",IF($Y60="Enter Hrs/Wk","",IF($E$30&gt;='FORMULA REFS'!O$1,$Y60,"")))</f>
        <v/>
      </c>
      <c r="AA182" s="882" t="str">
        <f>IF($E$30="Enter Duration (wks)","",IF($Y60="Enter Hrs/Wk","",IF($E$30&gt;='FORMULA REFS'!P$1,$Y60,"")))</f>
        <v/>
      </c>
      <c r="AB182" s="882" t="str">
        <f>IF($E$30="Enter Duration (wks)","",IF($Y60="Enter Hrs/Wk","",IF($E$30&gt;='FORMULA REFS'!Q$1,$Y60,"")))</f>
        <v/>
      </c>
      <c r="AC182" s="882"/>
      <c r="AD182" s="882"/>
      <c r="AE182" s="882"/>
      <c r="AF182" s="882"/>
      <c r="AG182" s="1286" t="str">
        <f>IF($E$30="Enter Duration (wks)","",IF($Y60="Enter Hrs/Wk","",IF($E$30&gt;='FORMULA REFS'!R$1,$Y60,"")))</f>
        <v/>
      </c>
      <c r="AH182" s="1286" t="str">
        <f>IF($E$30="Enter Duration (wks)","",IF($Y60="Enter Hrs/Wk","",IF($E$30&gt;='FORMULA REFS'!S$1,$Y60,"")))</f>
        <v/>
      </c>
      <c r="AI182" s="1286" t="str">
        <f>IF($E$30="Enter Duration (wks)","",IF($Y60="Enter Hrs/Wk","",IF($E$30&gt;='FORMULA REFS'!T$1,$Y60,"")))</f>
        <v/>
      </c>
      <c r="AJ182" s="1286" t="str">
        <f>IF($E$30="Enter Duration (wks)","",IF($Y60="Enter Hrs/Wk","",IF($E$30&gt;='FORMULA REFS'!U$1,$Y60,"")))</f>
        <v/>
      </c>
      <c r="AK182" s="1286" t="str">
        <f>IF($E$30="Enter Duration (wks)","",IF($Y60="Enter Hrs/Wk","",IF($E$30&gt;='FORMULA REFS'!V$1,$Y60,"")))</f>
        <v/>
      </c>
      <c r="AL182" s="1286" t="str">
        <f>IF($E$30="Enter Duration (wks)","",IF($Y60="Enter Hrs/Wk","",IF($E$30&gt;='FORMULA REFS'!W$1,$Y60,"")))</f>
        <v/>
      </c>
      <c r="AM182" s="1286" t="str">
        <f>IF($E$30="Enter Duration (wks)","",IF($Y60="Enter Hrs/Wk","",IF($E$30&gt;='FORMULA REFS'!X$1,$Y60,"")))</f>
        <v/>
      </c>
      <c r="AN182" s="1286" t="str">
        <f>IF($E$30="Enter Duration (wks)","",IF($Y60="Enter Hrs/Wk","",IF($E$30&gt;='FORMULA REFS'!Y$1,$Y60,"")))</f>
        <v/>
      </c>
      <c r="AO182" s="1286" t="str">
        <f>IF($E$30="Enter Duration (wks)","",IF($Y60="Enter Hrs/Wk","",IF($E$30&gt;='FORMULA REFS'!Z$1,$Y60,"")))</f>
        <v/>
      </c>
      <c r="AP182" s="1286" t="str">
        <f>IF($E$30="Enter Duration (wks)","",IF($Y60="Enter Hrs/Wk","",IF($E$30&gt;='FORMULA REFS'!AA$1,$Y60,"")))</f>
        <v/>
      </c>
      <c r="AQ182" s="1286" t="str">
        <f>IF($E$30="Enter Duration (wks)","",IF($Y60="Enter Hrs/Wk","",IF($E$30&gt;='FORMULA REFS'!AB$1,$Y60,"")))</f>
        <v/>
      </c>
      <c r="AR182" s="1286" t="str">
        <f>IF($E$30="Enter Duration (wks)","",IF($Y60="Enter Hrs/Wk","",IF($E$30&gt;='FORMULA REFS'!AC$1,$Y60,"")))</f>
        <v/>
      </c>
      <c r="AS182" s="1286" t="str">
        <f>IF($E$30="Enter Duration (wks)","",IF($Y60="Enter Hrs/Wk","",IF($E$30&gt;='FORMULA REFS'!AD$1,$Y60,"")))</f>
        <v/>
      </c>
      <c r="AT182" s="1286" t="str">
        <f>IF($E$30="Enter Duration (wks)","",IF($Y60="Enter Hrs/Wk","",IF($E$30&gt;='FORMULA REFS'!AE$1,$Y60,"")))</f>
        <v/>
      </c>
      <c r="AU182" s="1286" t="str">
        <f>IF($E$30="Enter Duration (wks)","",IF($Y60="Enter Hrs/Wk","",IF($E$30&gt;='FORMULA REFS'!AF$1,$Y60,"")))</f>
        <v/>
      </c>
      <c r="AV182" s="1286" t="str">
        <f>IF($E$30="Enter Duration (wks)","",IF($Y60="Enter Hrs/Wk","",IF($E$30&gt;='FORMULA REFS'!AG$1,$Y60,"")))</f>
        <v/>
      </c>
      <c r="AW182" s="1286" t="str">
        <f>IF($E$30="Enter Duration (wks)","",IF($Y60="Enter Hrs/Wk","",IF($E$30&gt;='FORMULA REFS'!AH$1,$Y60,"")))</f>
        <v/>
      </c>
      <c r="AX182" s="1286" t="str">
        <f>IF($E$30="Enter Duration (wks)","",IF($Y60="Enter Hrs/Wk","",IF($E$30&gt;='FORMULA REFS'!AI$1,$Y60,"")))</f>
        <v/>
      </c>
      <c r="AY182" s="1286" t="str">
        <f>IF($E$30="Enter Duration (wks)","",IF($Y60="Enter Hrs/Wk","",IF($E$30&gt;='FORMULA REFS'!AJ$1,$Y60,"")))</f>
        <v/>
      </c>
      <c r="AZ182" s="1286" t="str">
        <f>IF($E$30="Enter Duration (wks)","",IF($Y60="Enter Hrs/Wk","",IF($E$30&gt;='FORMULA REFS'!AK$1,$Y60,"")))</f>
        <v/>
      </c>
      <c r="BA182" s="1286" t="str">
        <f>IF($E$30="Enter Duration (wks)","",IF($Y60="Enter Hrs/Wk","",IF($E$30&gt;='FORMULA REFS'!AL$1,$Y60,"")))</f>
        <v/>
      </c>
      <c r="BB182" s="1286" t="str">
        <f>IF($E$30="Enter Duration (wks)","",IF($Y60="Enter Hrs/Wk","",IF($E$30&gt;='FORMULA REFS'!AM$1,$Y60,"")))</f>
        <v/>
      </c>
      <c r="BC182" s="1286" t="str">
        <f>IF($E$30="Enter Duration (wks)","",IF($Y60="Enter Hrs/Wk","",IF($E$30&gt;='FORMULA REFS'!AN$1,$Y60,"")))</f>
        <v/>
      </c>
      <c r="BD182" s="1286" t="str">
        <f>IF($E$30="Enter Duration (wks)","",IF($Y60="Enter Hrs/Wk","",IF($E$30&gt;='FORMULA REFS'!AO$1,$Y60,"")))</f>
        <v/>
      </c>
      <c r="BE182" s="1286" t="str">
        <f>IF($E$30="Enter Duration (wks)","",IF($Y60="Enter Hrs/Wk","",IF($E$30&gt;='FORMULA REFS'!AP$1,$Y60,"")))</f>
        <v/>
      </c>
      <c r="BF182" s="1286" t="str">
        <f>IF($E$30="Enter Duration (wks)","",IF($Y60="Enter Hrs/Wk","",IF($E$30&gt;='FORMULA REFS'!AQ$1,$Y60,"")))</f>
        <v/>
      </c>
      <c r="BG182" s="1286" t="str">
        <f>IF($E$30="Enter Duration (wks)","",IF($Y60="Enter Hrs/Wk","",IF($E$30&gt;='FORMULA REFS'!AR$1,$Y60,"")))</f>
        <v/>
      </c>
      <c r="BH182" s="1286" t="str">
        <f>IF($E$30="Enter Duration (wks)","",IF($Y60="Enter Hrs/Wk","",IF($E$30&gt;='FORMULA REFS'!AS$1,$Y60,"")))</f>
        <v/>
      </c>
      <c r="BI182" s="1286" t="str">
        <f>IF($E$30="Enter Duration (wks)","",IF($Y60="Enter Hrs/Wk","",IF($E$30&gt;='FORMULA REFS'!AT$1,$Y60,"")))</f>
        <v/>
      </c>
      <c r="BJ182" s="1286" t="str">
        <f>IF($E$30="Enter Duration (wks)","",IF($Y60="Enter Hrs/Wk","",IF($E$30&gt;='FORMULA REFS'!AU$1,$Y60,"")))</f>
        <v/>
      </c>
      <c r="BK182" s="1286" t="str">
        <f>IF($E$30="Enter Duration (wks)","",IF($Y60="Enter Hrs/Wk","",IF($E$30&gt;='FORMULA REFS'!AV$1,$Y60,"")))</f>
        <v/>
      </c>
      <c r="BL182" s="1286" t="str">
        <f>IF($E$30="Enter Duration (wks)","",IF($Y60="Enter Hrs/Wk","",IF($E$30&gt;='FORMULA REFS'!AW$1,$Y60,"")))</f>
        <v/>
      </c>
      <c r="BM182" s="1286" t="str">
        <f>IF($E$30="Enter Duration (wks)","",IF($Y60="Enter Hrs/Wk","",IF($E$30&gt;='FORMULA REFS'!AX$1,$Y60,"")))</f>
        <v/>
      </c>
      <c r="BN182" s="1286" t="str">
        <f>IF($E$30="Enter Duration (wks)","",IF($Y60="Enter Hrs/Wk","",IF($E$30&gt;='FORMULA REFS'!AY$1,$Y60,"")))</f>
        <v/>
      </c>
      <c r="BO182" s="1286" t="str">
        <f>IF($E$30="Enter Duration (wks)","",IF($Y60="Enter Hrs/Wk","",IF($E$30&gt;='FORMULA REFS'!AZ$1,$Y60,"")))</f>
        <v/>
      </c>
      <c r="BP182" s="550"/>
      <c r="BQ182" s="550"/>
      <c r="BR182" s="550"/>
      <c r="BS182" s="550"/>
      <c r="BT182" s="550"/>
      <c r="BU182" s="550"/>
      <c r="BV182" s="550"/>
      <c r="BW182" s="550"/>
      <c r="BX182" s="550"/>
      <c r="BY182" s="550"/>
      <c r="BZ182" s="550"/>
      <c r="CA182" s="550"/>
      <c r="CB182" s="413"/>
      <c r="CC182" s="413"/>
      <c r="CD182" s="413"/>
      <c r="CE182" s="413"/>
      <c r="CF182" s="413"/>
      <c r="CG182" s="523"/>
      <c r="CH182" s="523"/>
      <c r="CI182" s="546"/>
      <c r="CJ182" s="547"/>
      <c r="CK182" s="547"/>
      <c r="CL182" s="413"/>
      <c r="CM182" s="413"/>
      <c r="CN182" s="413"/>
      <c r="CO182" s="413"/>
      <c r="CP182" s="413"/>
      <c r="CQ182" s="413"/>
    </row>
    <row r="183" spans="3:95" x14ac:dyDescent="0.25">
      <c r="C183" s="1291" t="str">
        <f t="shared" si="80"/>
        <v/>
      </c>
      <c r="D183" s="1318" t="str">
        <f t="shared" si="81"/>
        <v/>
      </c>
      <c r="E183" s="1326"/>
      <c r="F183" s="1327" t="str">
        <f>IF($E$30="Enter Duration (wks)","",IF($Y61="Enter Hrs/Wk","",IF($E$30&gt;='FORMULA REFS'!A$1,$Y61,"")))</f>
        <v/>
      </c>
      <c r="G183" s="1328"/>
      <c r="H183" s="1570"/>
      <c r="I183" s="1329" t="str">
        <f>IF($E$30="Enter Duration (wks)","",IF($Y61="Enter Hrs/Wk","",IF($E$30&gt;='FORMULA REFS'!B$1,$Y61,"")))</f>
        <v/>
      </c>
      <c r="J183" s="1323"/>
      <c r="K183" s="1286" t="str">
        <f>IF($E$30="Enter Duration (wks)","",IF($Y61="Enter Hrs/Wk","",IF($E$30&gt;='FORMULA REFS'!C$1,$Y61,"")))</f>
        <v/>
      </c>
      <c r="L183" s="882" t="str">
        <f>IF($E$30="Enter Duration (wks)","",IF($Y61="Enter Hrs/Wk","",IF($E$30&gt;='FORMULA REFS'!D$1,$Y61,"")))</f>
        <v/>
      </c>
      <c r="M183" s="882" t="str">
        <f>IF($E$30="Enter Duration (wks)","",IF($Y61="Enter Hrs/Wk","",IF($E$30&gt;='FORMULA REFS'!E$1,$Y61,"")))</f>
        <v/>
      </c>
      <c r="N183" s="882" t="str">
        <f>IF($E$30="Enter Duration (wks)","",IF($Y61="Enter Hrs/Wk","",IF($E$30&gt;='FORMULA REFS'!F$1,$Y61,"")))</f>
        <v/>
      </c>
      <c r="O183" s="882" t="str">
        <f>IF($E$30="Enter Duration (wks)","",IF($Y61="Enter Hrs/Wk","",IF($E$30&gt;='FORMULA REFS'!G$1,$Y61,"")))</f>
        <v/>
      </c>
      <c r="P183" s="882" t="str">
        <f>IF($E$30="Enter Duration (wks)","",IF($Y61="Enter Hrs/Wk","",IF($E$30&gt;='FORMULA REFS'!H$1,$Y61,"")))</f>
        <v/>
      </c>
      <c r="Q183" s="882" t="str">
        <f>IF($E$30="Enter Duration (wks)","",IF($Y61="Enter Hrs/Wk","",IF($E$30&gt;='FORMULA REFS'!I$1,$Y61,"")))</f>
        <v/>
      </c>
      <c r="R183" s="882" t="str">
        <f>IF($E$30="Enter Duration (wks)","",IF($Y61="Enter Hrs/Wk","",IF($E$30&gt;='FORMULA REFS'!J$1,$Y61,"")))</f>
        <v/>
      </c>
      <c r="S183" s="882" t="str">
        <f>IF($E$30="Enter Duration (wks)","",IF($Y61="Enter Hrs/Wk","",IF($E$30&gt;='FORMULA REFS'!K$1,$Y61,"")))</f>
        <v/>
      </c>
      <c r="T183" s="1323" t="str">
        <f>IF($E$30="Enter Duration (wks)","",IF($Y61="Enter Hrs/Wk","",IF($E$30&gt;='FORMULA REFS'!L$1,$Y61,"")))</f>
        <v/>
      </c>
      <c r="U183" s="882" t="str">
        <f>IF($E$30="Enter Duration (wks)","",IF($Y61="Enter Hrs/Wk","",IF($E$30&gt;='FORMULA REFS'!M$1,$Y61,"")))</f>
        <v/>
      </c>
      <c r="V183" s="882"/>
      <c r="W183" s="882"/>
      <c r="X183" s="1285"/>
      <c r="Y183" s="1285" t="str">
        <f>IF($E$30="Enter Duration (wks)","",IF($Y61="Enter Hrs/Wk","",IF($E$30&gt;='FORMULA REFS'!N$1,$Y61,"")))</f>
        <v/>
      </c>
      <c r="Z183" s="1343" t="str">
        <f>IF($E$30="Enter Duration (wks)","",IF($Y61="Enter Hrs/Wk","",IF($E$30&gt;='FORMULA REFS'!O$1,$Y61,"")))</f>
        <v/>
      </c>
      <c r="AA183" s="882" t="str">
        <f>IF($E$30="Enter Duration (wks)","",IF($Y61="Enter Hrs/Wk","",IF($E$30&gt;='FORMULA REFS'!P$1,$Y61,"")))</f>
        <v/>
      </c>
      <c r="AB183" s="882" t="str">
        <f>IF($E$30="Enter Duration (wks)","",IF($Y61="Enter Hrs/Wk","",IF($E$30&gt;='FORMULA REFS'!Q$1,$Y61,"")))</f>
        <v/>
      </c>
      <c r="AC183" s="882"/>
      <c r="AD183" s="882"/>
      <c r="AE183" s="882"/>
      <c r="AF183" s="882"/>
      <c r="AG183" s="1286" t="str">
        <f>IF($E$30="Enter Duration (wks)","",IF($Y61="Enter Hrs/Wk","",IF($E$30&gt;='FORMULA REFS'!R$1,$Y61,"")))</f>
        <v/>
      </c>
      <c r="AH183" s="1286" t="str">
        <f>IF($E$30="Enter Duration (wks)","",IF($Y61="Enter Hrs/Wk","",IF($E$30&gt;='FORMULA REFS'!S$1,$Y61,"")))</f>
        <v/>
      </c>
      <c r="AI183" s="1286" t="str">
        <f>IF($E$30="Enter Duration (wks)","",IF($Y61="Enter Hrs/Wk","",IF($E$30&gt;='FORMULA REFS'!T$1,$Y61,"")))</f>
        <v/>
      </c>
      <c r="AJ183" s="1286" t="str">
        <f>IF($E$30="Enter Duration (wks)","",IF($Y61="Enter Hrs/Wk","",IF($E$30&gt;='FORMULA REFS'!U$1,$Y61,"")))</f>
        <v/>
      </c>
      <c r="AK183" s="1286" t="str">
        <f>IF($E$30="Enter Duration (wks)","",IF($Y61="Enter Hrs/Wk","",IF($E$30&gt;='FORMULA REFS'!V$1,$Y61,"")))</f>
        <v/>
      </c>
      <c r="AL183" s="1286" t="str">
        <f>IF($E$30="Enter Duration (wks)","",IF($Y61="Enter Hrs/Wk","",IF($E$30&gt;='FORMULA REFS'!W$1,$Y61,"")))</f>
        <v/>
      </c>
      <c r="AM183" s="1286" t="str">
        <f>IF($E$30="Enter Duration (wks)","",IF($Y61="Enter Hrs/Wk","",IF($E$30&gt;='FORMULA REFS'!X$1,$Y61,"")))</f>
        <v/>
      </c>
      <c r="AN183" s="1286" t="str">
        <f>IF($E$30="Enter Duration (wks)","",IF($Y61="Enter Hrs/Wk","",IF($E$30&gt;='FORMULA REFS'!Y$1,$Y61,"")))</f>
        <v/>
      </c>
      <c r="AO183" s="1286" t="str">
        <f>IF($E$30="Enter Duration (wks)","",IF($Y61="Enter Hrs/Wk","",IF($E$30&gt;='FORMULA REFS'!Z$1,$Y61,"")))</f>
        <v/>
      </c>
      <c r="AP183" s="1286" t="str">
        <f>IF($E$30="Enter Duration (wks)","",IF($Y61="Enter Hrs/Wk","",IF($E$30&gt;='FORMULA REFS'!AA$1,$Y61,"")))</f>
        <v/>
      </c>
      <c r="AQ183" s="1286" t="str">
        <f>IF($E$30="Enter Duration (wks)","",IF($Y61="Enter Hrs/Wk","",IF($E$30&gt;='FORMULA REFS'!AB$1,$Y61,"")))</f>
        <v/>
      </c>
      <c r="AR183" s="1286" t="str">
        <f>IF($E$30="Enter Duration (wks)","",IF($Y61="Enter Hrs/Wk","",IF($E$30&gt;='FORMULA REFS'!AC$1,$Y61,"")))</f>
        <v/>
      </c>
      <c r="AS183" s="1286" t="str">
        <f>IF($E$30="Enter Duration (wks)","",IF($Y61="Enter Hrs/Wk","",IF($E$30&gt;='FORMULA REFS'!AD$1,$Y61,"")))</f>
        <v/>
      </c>
      <c r="AT183" s="1286" t="str">
        <f>IF($E$30="Enter Duration (wks)","",IF($Y61="Enter Hrs/Wk","",IF($E$30&gt;='FORMULA REFS'!AE$1,$Y61,"")))</f>
        <v/>
      </c>
      <c r="AU183" s="1286" t="str">
        <f>IF($E$30="Enter Duration (wks)","",IF($Y61="Enter Hrs/Wk","",IF($E$30&gt;='FORMULA REFS'!AF$1,$Y61,"")))</f>
        <v/>
      </c>
      <c r="AV183" s="1286" t="str">
        <f>IF($E$30="Enter Duration (wks)","",IF($Y61="Enter Hrs/Wk","",IF($E$30&gt;='FORMULA REFS'!AG$1,$Y61,"")))</f>
        <v/>
      </c>
      <c r="AW183" s="1286" t="str">
        <f>IF($E$30="Enter Duration (wks)","",IF($Y61="Enter Hrs/Wk","",IF($E$30&gt;='FORMULA REFS'!AH$1,$Y61,"")))</f>
        <v/>
      </c>
      <c r="AX183" s="1286" t="str">
        <f>IF($E$30="Enter Duration (wks)","",IF($Y61="Enter Hrs/Wk","",IF($E$30&gt;='FORMULA REFS'!AI$1,$Y61,"")))</f>
        <v/>
      </c>
      <c r="AY183" s="1286" t="str">
        <f>IF($E$30="Enter Duration (wks)","",IF($Y61="Enter Hrs/Wk","",IF($E$30&gt;='FORMULA REFS'!AJ$1,$Y61,"")))</f>
        <v/>
      </c>
      <c r="AZ183" s="1286" t="str">
        <f>IF($E$30="Enter Duration (wks)","",IF($Y61="Enter Hrs/Wk","",IF($E$30&gt;='FORMULA REFS'!AK$1,$Y61,"")))</f>
        <v/>
      </c>
      <c r="BA183" s="1286" t="str">
        <f>IF($E$30="Enter Duration (wks)","",IF($Y61="Enter Hrs/Wk","",IF($E$30&gt;='FORMULA REFS'!AL$1,$Y61,"")))</f>
        <v/>
      </c>
      <c r="BB183" s="1286" t="str">
        <f>IF($E$30="Enter Duration (wks)","",IF($Y61="Enter Hrs/Wk","",IF($E$30&gt;='FORMULA REFS'!AM$1,$Y61,"")))</f>
        <v/>
      </c>
      <c r="BC183" s="1286" t="str">
        <f>IF($E$30="Enter Duration (wks)","",IF($Y61="Enter Hrs/Wk","",IF($E$30&gt;='FORMULA REFS'!AN$1,$Y61,"")))</f>
        <v/>
      </c>
      <c r="BD183" s="1286" t="str">
        <f>IF($E$30="Enter Duration (wks)","",IF($Y61="Enter Hrs/Wk","",IF($E$30&gt;='FORMULA REFS'!AO$1,$Y61,"")))</f>
        <v/>
      </c>
      <c r="BE183" s="1286" t="str">
        <f>IF($E$30="Enter Duration (wks)","",IF($Y61="Enter Hrs/Wk","",IF($E$30&gt;='FORMULA REFS'!AP$1,$Y61,"")))</f>
        <v/>
      </c>
      <c r="BF183" s="1286" t="str">
        <f>IF($E$30="Enter Duration (wks)","",IF($Y61="Enter Hrs/Wk","",IF($E$30&gt;='FORMULA REFS'!AQ$1,$Y61,"")))</f>
        <v/>
      </c>
      <c r="BG183" s="1286" t="str">
        <f>IF($E$30="Enter Duration (wks)","",IF($Y61="Enter Hrs/Wk","",IF($E$30&gt;='FORMULA REFS'!AR$1,$Y61,"")))</f>
        <v/>
      </c>
      <c r="BH183" s="1286" t="str">
        <f>IF($E$30="Enter Duration (wks)","",IF($Y61="Enter Hrs/Wk","",IF($E$30&gt;='FORMULA REFS'!AS$1,$Y61,"")))</f>
        <v/>
      </c>
      <c r="BI183" s="1286" t="str">
        <f>IF($E$30="Enter Duration (wks)","",IF($Y61="Enter Hrs/Wk","",IF($E$30&gt;='FORMULA REFS'!AT$1,$Y61,"")))</f>
        <v/>
      </c>
      <c r="BJ183" s="1286" t="str">
        <f>IF($E$30="Enter Duration (wks)","",IF($Y61="Enter Hrs/Wk","",IF($E$30&gt;='FORMULA REFS'!AU$1,$Y61,"")))</f>
        <v/>
      </c>
      <c r="BK183" s="1286" t="str">
        <f>IF($E$30="Enter Duration (wks)","",IF($Y61="Enter Hrs/Wk","",IF($E$30&gt;='FORMULA REFS'!AV$1,$Y61,"")))</f>
        <v/>
      </c>
      <c r="BL183" s="1286" t="str">
        <f>IF($E$30="Enter Duration (wks)","",IF($Y61="Enter Hrs/Wk","",IF($E$30&gt;='FORMULA REFS'!AW$1,$Y61,"")))</f>
        <v/>
      </c>
      <c r="BM183" s="1286" t="str">
        <f>IF($E$30="Enter Duration (wks)","",IF($Y61="Enter Hrs/Wk","",IF($E$30&gt;='FORMULA REFS'!AX$1,$Y61,"")))</f>
        <v/>
      </c>
      <c r="BN183" s="1286" t="str">
        <f>IF($E$30="Enter Duration (wks)","",IF($Y61="Enter Hrs/Wk","",IF($E$30&gt;='FORMULA REFS'!AY$1,$Y61,"")))</f>
        <v/>
      </c>
      <c r="BO183" s="1286" t="str">
        <f>IF($E$30="Enter Duration (wks)","",IF($Y61="Enter Hrs/Wk","",IF($E$30&gt;='FORMULA REFS'!AZ$1,$Y61,"")))</f>
        <v/>
      </c>
      <c r="BP183" s="550"/>
      <c r="BQ183" s="550"/>
      <c r="BR183" s="550"/>
      <c r="BS183" s="550"/>
      <c r="BT183" s="550"/>
      <c r="BU183" s="550"/>
      <c r="BV183" s="550"/>
      <c r="BW183" s="550"/>
      <c r="BX183" s="550"/>
      <c r="BY183" s="550"/>
      <c r="BZ183" s="550"/>
      <c r="CA183" s="550"/>
      <c r="CB183" s="413"/>
      <c r="CC183" s="413"/>
      <c r="CD183" s="413"/>
      <c r="CE183" s="413"/>
      <c r="CF183" s="413"/>
      <c r="CG183" s="552"/>
      <c r="CH183" s="523"/>
      <c r="CI183" s="523"/>
      <c r="CJ183" s="523"/>
      <c r="CK183" s="523"/>
      <c r="CL183" s="413"/>
      <c r="CM183" s="413"/>
      <c r="CN183" s="413"/>
      <c r="CO183" s="413"/>
      <c r="CP183" s="413"/>
      <c r="CQ183" s="413"/>
    </row>
    <row r="184" spans="3:95" x14ac:dyDescent="0.25">
      <c r="C184" s="1291" t="str">
        <f t="shared" si="80"/>
        <v/>
      </c>
      <c r="D184" s="1318" t="str">
        <f t="shared" si="81"/>
        <v/>
      </c>
      <c r="E184" s="1326"/>
      <c r="F184" s="1327" t="str">
        <f>IF($E$30="Enter Duration (wks)","",IF($Y62="Enter Hrs/Wk","",IF($E$30&gt;='FORMULA REFS'!A$1,$Y62,"")))</f>
        <v/>
      </c>
      <c r="G184" s="1328"/>
      <c r="H184" s="1570"/>
      <c r="I184" s="1329" t="str">
        <f>IF($E$30="Enter Duration (wks)","",IF($Y62="Enter Hrs/Wk","",IF($E$30&gt;='FORMULA REFS'!B$1,$Y62,"")))</f>
        <v/>
      </c>
      <c r="J184" s="1323"/>
      <c r="K184" s="1286" t="str">
        <f>IF($E$30="Enter Duration (wks)","",IF($Y62="Enter Hrs/Wk","",IF($E$30&gt;='FORMULA REFS'!C$1,$Y62,"")))</f>
        <v/>
      </c>
      <c r="L184" s="882" t="str">
        <f>IF($E$30="Enter Duration (wks)","",IF($Y62="Enter Hrs/Wk","",IF($E$30&gt;='FORMULA REFS'!D$1,$Y62,"")))</f>
        <v/>
      </c>
      <c r="M184" s="882" t="str">
        <f>IF($E$30="Enter Duration (wks)","",IF($Y62="Enter Hrs/Wk","",IF($E$30&gt;='FORMULA REFS'!E$1,$Y62,"")))</f>
        <v/>
      </c>
      <c r="N184" s="882" t="str">
        <f>IF($E$30="Enter Duration (wks)","",IF($Y62="Enter Hrs/Wk","",IF($E$30&gt;='FORMULA REFS'!F$1,$Y62,"")))</f>
        <v/>
      </c>
      <c r="O184" s="882" t="str">
        <f>IF($E$30="Enter Duration (wks)","",IF($Y62="Enter Hrs/Wk","",IF($E$30&gt;='FORMULA REFS'!G$1,$Y62,"")))</f>
        <v/>
      </c>
      <c r="P184" s="882" t="str">
        <f>IF($E$30="Enter Duration (wks)","",IF($Y62="Enter Hrs/Wk","",IF($E$30&gt;='FORMULA REFS'!H$1,$Y62,"")))</f>
        <v/>
      </c>
      <c r="Q184" s="882" t="str">
        <f>IF($E$30="Enter Duration (wks)","",IF($Y62="Enter Hrs/Wk","",IF($E$30&gt;='FORMULA REFS'!I$1,$Y62,"")))</f>
        <v/>
      </c>
      <c r="R184" s="882" t="str">
        <f>IF($E$30="Enter Duration (wks)","",IF($Y62="Enter Hrs/Wk","",IF($E$30&gt;='FORMULA REFS'!J$1,$Y62,"")))</f>
        <v/>
      </c>
      <c r="S184" s="882" t="str">
        <f>IF($E$30="Enter Duration (wks)","",IF($Y62="Enter Hrs/Wk","",IF($E$30&gt;='FORMULA REFS'!K$1,$Y62,"")))</f>
        <v/>
      </c>
      <c r="T184" s="1323" t="str">
        <f>IF($E$30="Enter Duration (wks)","",IF($Y62="Enter Hrs/Wk","",IF($E$30&gt;='FORMULA REFS'!L$1,$Y62,"")))</f>
        <v/>
      </c>
      <c r="U184" s="882" t="str">
        <f>IF($E$30="Enter Duration (wks)","",IF($Y62="Enter Hrs/Wk","",IF($E$30&gt;='FORMULA REFS'!M$1,$Y62,"")))</f>
        <v/>
      </c>
      <c r="V184" s="882"/>
      <c r="W184" s="882"/>
      <c r="X184" s="1285"/>
      <c r="Y184" s="1285" t="str">
        <f>IF($E$30="Enter Duration (wks)","",IF($Y62="Enter Hrs/Wk","",IF($E$30&gt;='FORMULA REFS'!N$1,$Y62,"")))</f>
        <v/>
      </c>
      <c r="Z184" s="1343" t="str">
        <f>IF($E$30="Enter Duration (wks)","",IF($Y62="Enter Hrs/Wk","",IF($E$30&gt;='FORMULA REFS'!O$1,$Y62,"")))</f>
        <v/>
      </c>
      <c r="AA184" s="882" t="str">
        <f>IF($E$30="Enter Duration (wks)","",IF($Y62="Enter Hrs/Wk","",IF($E$30&gt;='FORMULA REFS'!P$1,$Y62,"")))</f>
        <v/>
      </c>
      <c r="AB184" s="882" t="str">
        <f>IF($E$30="Enter Duration (wks)","",IF($Y62="Enter Hrs/Wk","",IF($E$30&gt;='FORMULA REFS'!Q$1,$Y62,"")))</f>
        <v/>
      </c>
      <c r="AC184" s="882"/>
      <c r="AD184" s="882"/>
      <c r="AE184" s="882"/>
      <c r="AF184" s="882"/>
      <c r="AG184" s="1286" t="str">
        <f>IF($E$30="Enter Duration (wks)","",IF($Y62="Enter Hrs/Wk","",IF($E$30&gt;='FORMULA REFS'!R$1,$Y62,"")))</f>
        <v/>
      </c>
      <c r="AH184" s="1286" t="str">
        <f>IF($E$30="Enter Duration (wks)","",IF($Y62="Enter Hrs/Wk","",IF($E$30&gt;='FORMULA REFS'!S$1,$Y62,"")))</f>
        <v/>
      </c>
      <c r="AI184" s="1286" t="str">
        <f>IF($E$30="Enter Duration (wks)","",IF($Y62="Enter Hrs/Wk","",IF($E$30&gt;='FORMULA REFS'!T$1,$Y62,"")))</f>
        <v/>
      </c>
      <c r="AJ184" s="1286" t="str">
        <f>IF($E$30="Enter Duration (wks)","",IF($Y62="Enter Hrs/Wk","",IF($E$30&gt;='FORMULA REFS'!U$1,$Y62,"")))</f>
        <v/>
      </c>
      <c r="AK184" s="1286" t="str">
        <f>IF($E$30="Enter Duration (wks)","",IF($Y62="Enter Hrs/Wk","",IF($E$30&gt;='FORMULA REFS'!V$1,$Y62,"")))</f>
        <v/>
      </c>
      <c r="AL184" s="1286" t="str">
        <f>IF($E$30="Enter Duration (wks)","",IF($Y62="Enter Hrs/Wk","",IF($E$30&gt;='FORMULA REFS'!W$1,$Y62,"")))</f>
        <v/>
      </c>
      <c r="AM184" s="1286" t="str">
        <f>IF($E$30="Enter Duration (wks)","",IF($Y62="Enter Hrs/Wk","",IF($E$30&gt;='FORMULA REFS'!X$1,$Y62,"")))</f>
        <v/>
      </c>
      <c r="AN184" s="1286" t="str">
        <f>IF($E$30="Enter Duration (wks)","",IF($Y62="Enter Hrs/Wk","",IF($E$30&gt;='FORMULA REFS'!Y$1,$Y62,"")))</f>
        <v/>
      </c>
      <c r="AO184" s="1286" t="str">
        <f>IF($E$30="Enter Duration (wks)","",IF($Y62="Enter Hrs/Wk","",IF($E$30&gt;='FORMULA REFS'!Z$1,$Y62,"")))</f>
        <v/>
      </c>
      <c r="AP184" s="1286" t="str">
        <f>IF($E$30="Enter Duration (wks)","",IF($Y62="Enter Hrs/Wk","",IF($E$30&gt;='FORMULA REFS'!AA$1,$Y62,"")))</f>
        <v/>
      </c>
      <c r="AQ184" s="1286" t="str">
        <f>IF($E$30="Enter Duration (wks)","",IF($Y62="Enter Hrs/Wk","",IF($E$30&gt;='FORMULA REFS'!AB$1,$Y62,"")))</f>
        <v/>
      </c>
      <c r="AR184" s="1286" t="str">
        <f>IF($E$30="Enter Duration (wks)","",IF($Y62="Enter Hrs/Wk","",IF($E$30&gt;='FORMULA REFS'!AC$1,$Y62,"")))</f>
        <v/>
      </c>
      <c r="AS184" s="1286" t="str">
        <f>IF($E$30="Enter Duration (wks)","",IF($Y62="Enter Hrs/Wk","",IF($E$30&gt;='FORMULA REFS'!AD$1,$Y62,"")))</f>
        <v/>
      </c>
      <c r="AT184" s="1286" t="str">
        <f>IF($E$30="Enter Duration (wks)","",IF($Y62="Enter Hrs/Wk","",IF($E$30&gt;='FORMULA REFS'!AE$1,$Y62,"")))</f>
        <v/>
      </c>
      <c r="AU184" s="1286" t="str">
        <f>IF($E$30="Enter Duration (wks)","",IF($Y62="Enter Hrs/Wk","",IF($E$30&gt;='FORMULA REFS'!AF$1,$Y62,"")))</f>
        <v/>
      </c>
      <c r="AV184" s="1286" t="str">
        <f>IF($E$30="Enter Duration (wks)","",IF($Y62="Enter Hrs/Wk","",IF($E$30&gt;='FORMULA REFS'!AG$1,$Y62,"")))</f>
        <v/>
      </c>
      <c r="AW184" s="1286" t="str">
        <f>IF($E$30="Enter Duration (wks)","",IF($Y62="Enter Hrs/Wk","",IF($E$30&gt;='FORMULA REFS'!AH$1,$Y62,"")))</f>
        <v/>
      </c>
      <c r="AX184" s="1286" t="str">
        <f>IF($E$30="Enter Duration (wks)","",IF($Y62="Enter Hrs/Wk","",IF($E$30&gt;='FORMULA REFS'!AI$1,$Y62,"")))</f>
        <v/>
      </c>
      <c r="AY184" s="1286" t="str">
        <f>IF($E$30="Enter Duration (wks)","",IF($Y62="Enter Hrs/Wk","",IF($E$30&gt;='FORMULA REFS'!AJ$1,$Y62,"")))</f>
        <v/>
      </c>
      <c r="AZ184" s="1286" t="str">
        <f>IF($E$30="Enter Duration (wks)","",IF($Y62="Enter Hrs/Wk","",IF($E$30&gt;='FORMULA REFS'!AK$1,$Y62,"")))</f>
        <v/>
      </c>
      <c r="BA184" s="1286" t="str">
        <f>IF($E$30="Enter Duration (wks)","",IF($Y62="Enter Hrs/Wk","",IF($E$30&gt;='FORMULA REFS'!AL$1,$Y62,"")))</f>
        <v/>
      </c>
      <c r="BB184" s="1286" t="str">
        <f>IF($E$30="Enter Duration (wks)","",IF($Y62="Enter Hrs/Wk","",IF($E$30&gt;='FORMULA REFS'!AM$1,$Y62,"")))</f>
        <v/>
      </c>
      <c r="BC184" s="1286" t="str">
        <f>IF($E$30="Enter Duration (wks)","",IF($Y62="Enter Hrs/Wk","",IF($E$30&gt;='FORMULA REFS'!AN$1,$Y62,"")))</f>
        <v/>
      </c>
      <c r="BD184" s="1286" t="str">
        <f>IF($E$30="Enter Duration (wks)","",IF($Y62="Enter Hrs/Wk","",IF($E$30&gt;='FORMULA REFS'!AO$1,$Y62,"")))</f>
        <v/>
      </c>
      <c r="BE184" s="1286" t="str">
        <f>IF($E$30="Enter Duration (wks)","",IF($Y62="Enter Hrs/Wk","",IF($E$30&gt;='FORMULA REFS'!AP$1,$Y62,"")))</f>
        <v/>
      </c>
      <c r="BF184" s="1286" t="str">
        <f>IF($E$30="Enter Duration (wks)","",IF($Y62="Enter Hrs/Wk","",IF($E$30&gt;='FORMULA REFS'!AQ$1,$Y62,"")))</f>
        <v/>
      </c>
      <c r="BG184" s="1286" t="str">
        <f>IF($E$30="Enter Duration (wks)","",IF($Y62="Enter Hrs/Wk","",IF($E$30&gt;='FORMULA REFS'!AR$1,$Y62,"")))</f>
        <v/>
      </c>
      <c r="BH184" s="1286" t="str">
        <f>IF($E$30="Enter Duration (wks)","",IF($Y62="Enter Hrs/Wk","",IF($E$30&gt;='FORMULA REFS'!AS$1,$Y62,"")))</f>
        <v/>
      </c>
      <c r="BI184" s="1286" t="str">
        <f>IF($E$30="Enter Duration (wks)","",IF($Y62="Enter Hrs/Wk","",IF($E$30&gt;='FORMULA REFS'!AT$1,$Y62,"")))</f>
        <v/>
      </c>
      <c r="BJ184" s="1286" t="str">
        <f>IF($E$30="Enter Duration (wks)","",IF($Y62="Enter Hrs/Wk","",IF($E$30&gt;='FORMULA REFS'!AU$1,$Y62,"")))</f>
        <v/>
      </c>
      <c r="BK184" s="1286" t="str">
        <f>IF($E$30="Enter Duration (wks)","",IF($Y62="Enter Hrs/Wk","",IF($E$30&gt;='FORMULA REFS'!AV$1,$Y62,"")))</f>
        <v/>
      </c>
      <c r="BL184" s="1286" t="str">
        <f>IF($E$30="Enter Duration (wks)","",IF($Y62="Enter Hrs/Wk","",IF($E$30&gt;='FORMULA REFS'!AW$1,$Y62,"")))</f>
        <v/>
      </c>
      <c r="BM184" s="1286" t="str">
        <f>IF($E$30="Enter Duration (wks)","",IF($Y62="Enter Hrs/Wk","",IF($E$30&gt;='FORMULA REFS'!AX$1,$Y62,"")))</f>
        <v/>
      </c>
      <c r="BN184" s="1286" t="str">
        <f>IF($E$30="Enter Duration (wks)","",IF($Y62="Enter Hrs/Wk","",IF($E$30&gt;='FORMULA REFS'!AY$1,$Y62,"")))</f>
        <v/>
      </c>
      <c r="BO184" s="1286" t="str">
        <f>IF($E$30="Enter Duration (wks)","",IF($Y62="Enter Hrs/Wk","",IF($E$30&gt;='FORMULA REFS'!AZ$1,$Y62,"")))</f>
        <v/>
      </c>
      <c r="BP184" s="550"/>
      <c r="BQ184" s="550"/>
      <c r="BR184" s="550"/>
      <c r="BS184" s="550"/>
      <c r="BT184" s="550"/>
      <c r="BU184" s="550"/>
      <c r="BV184" s="550"/>
      <c r="BW184" s="550"/>
      <c r="BX184" s="550"/>
      <c r="BY184" s="550"/>
      <c r="BZ184" s="550"/>
      <c r="CA184" s="550"/>
      <c r="CB184" s="413"/>
      <c r="CC184" s="413"/>
      <c r="CD184" s="413"/>
      <c r="CE184" s="413"/>
      <c r="CF184" s="413"/>
      <c r="CG184" s="552"/>
      <c r="CH184" s="523"/>
      <c r="CI184" s="523"/>
      <c r="CJ184" s="523"/>
      <c r="CK184" s="523"/>
      <c r="CL184" s="413"/>
      <c r="CM184" s="413"/>
      <c r="CN184" s="413"/>
      <c r="CO184" s="413"/>
      <c r="CP184" s="413"/>
      <c r="CQ184" s="413"/>
    </row>
    <row r="185" spans="3:95" x14ac:dyDescent="0.25">
      <c r="C185" s="1291" t="str">
        <f t="shared" si="80"/>
        <v/>
      </c>
      <c r="D185" s="1318" t="str">
        <f t="shared" si="81"/>
        <v/>
      </c>
      <c r="E185" s="1326"/>
      <c r="F185" s="1327" t="str">
        <f>IF($E$30="Enter Duration (wks)","",IF($Y63="Enter Hrs/Wk","",IF($E$30&gt;='FORMULA REFS'!A$1,$Y63,"")))</f>
        <v/>
      </c>
      <c r="G185" s="1328"/>
      <c r="H185" s="1570"/>
      <c r="I185" s="1329" t="str">
        <f>IF($E$30="Enter Duration (wks)","",IF($Y63="Enter Hrs/Wk","",IF($E$30&gt;='FORMULA REFS'!B$1,$Y63,"")))</f>
        <v/>
      </c>
      <c r="J185" s="1323"/>
      <c r="K185" s="1286" t="str">
        <f>IF($E$30="Enter Duration (wks)","",IF($Y63="Enter Hrs/Wk","",IF($E$30&gt;='FORMULA REFS'!C$1,$Y63,"")))</f>
        <v/>
      </c>
      <c r="L185" s="882" t="str">
        <f>IF($E$30="Enter Duration (wks)","",IF($Y63="Enter Hrs/Wk","",IF($E$30&gt;='FORMULA REFS'!D$1,$Y63,"")))</f>
        <v/>
      </c>
      <c r="M185" s="882" t="str">
        <f>IF($E$30="Enter Duration (wks)","",IF($Y63="Enter Hrs/Wk","",IF($E$30&gt;='FORMULA REFS'!E$1,$Y63,"")))</f>
        <v/>
      </c>
      <c r="N185" s="882" t="str">
        <f>IF($E$30="Enter Duration (wks)","",IF($Y63="Enter Hrs/Wk","",IF($E$30&gt;='FORMULA REFS'!F$1,$Y63,"")))</f>
        <v/>
      </c>
      <c r="O185" s="882" t="str">
        <f>IF($E$30="Enter Duration (wks)","",IF($Y63="Enter Hrs/Wk","",IF($E$30&gt;='FORMULA REFS'!G$1,$Y63,"")))</f>
        <v/>
      </c>
      <c r="P185" s="882" t="str">
        <f>IF($E$30="Enter Duration (wks)","",IF($Y63="Enter Hrs/Wk","",IF($E$30&gt;='FORMULA REFS'!H$1,$Y63,"")))</f>
        <v/>
      </c>
      <c r="Q185" s="882" t="str">
        <f>IF($E$30="Enter Duration (wks)","",IF($Y63="Enter Hrs/Wk","",IF($E$30&gt;='FORMULA REFS'!I$1,$Y63,"")))</f>
        <v/>
      </c>
      <c r="R185" s="882" t="str">
        <f>IF($E$30="Enter Duration (wks)","",IF($Y63="Enter Hrs/Wk","",IF($E$30&gt;='FORMULA REFS'!J$1,$Y63,"")))</f>
        <v/>
      </c>
      <c r="S185" s="882" t="str">
        <f>IF($E$30="Enter Duration (wks)","",IF($Y63="Enter Hrs/Wk","",IF($E$30&gt;='FORMULA REFS'!K$1,$Y63,"")))</f>
        <v/>
      </c>
      <c r="T185" s="1323" t="str">
        <f>IF($E$30="Enter Duration (wks)","",IF($Y63="Enter Hrs/Wk","",IF($E$30&gt;='FORMULA REFS'!L$1,$Y63,"")))</f>
        <v/>
      </c>
      <c r="U185" s="882" t="str">
        <f>IF($E$30="Enter Duration (wks)","",IF($Y63="Enter Hrs/Wk","",IF($E$30&gt;='FORMULA REFS'!M$1,$Y63,"")))</f>
        <v/>
      </c>
      <c r="V185" s="882"/>
      <c r="W185" s="882"/>
      <c r="X185" s="1285"/>
      <c r="Y185" s="1285" t="str">
        <f>IF($E$30="Enter Duration (wks)","",IF($Y63="Enter Hrs/Wk","",IF($E$30&gt;='FORMULA REFS'!N$1,$Y63,"")))</f>
        <v/>
      </c>
      <c r="Z185" s="1343" t="str">
        <f>IF($E$30="Enter Duration (wks)","",IF($Y63="Enter Hrs/Wk","",IF($E$30&gt;='FORMULA REFS'!O$1,$Y63,"")))</f>
        <v/>
      </c>
      <c r="AA185" s="882" t="str">
        <f>IF($E$30="Enter Duration (wks)","",IF($Y63="Enter Hrs/Wk","",IF($E$30&gt;='FORMULA REFS'!P$1,$Y63,"")))</f>
        <v/>
      </c>
      <c r="AB185" s="882" t="str">
        <f>IF($E$30="Enter Duration (wks)","",IF($Y63="Enter Hrs/Wk","",IF($E$30&gt;='FORMULA REFS'!Q$1,$Y63,"")))</f>
        <v/>
      </c>
      <c r="AC185" s="882"/>
      <c r="AD185" s="882"/>
      <c r="AE185" s="882"/>
      <c r="AF185" s="882"/>
      <c r="AG185" s="1286" t="str">
        <f>IF($E$30="Enter Duration (wks)","",IF($Y63="Enter Hrs/Wk","",IF($E$30&gt;='FORMULA REFS'!R$1,$Y63,"")))</f>
        <v/>
      </c>
      <c r="AH185" s="1286" t="str">
        <f>IF($E$30="Enter Duration (wks)","",IF($Y63="Enter Hrs/Wk","",IF($E$30&gt;='FORMULA REFS'!S$1,$Y63,"")))</f>
        <v/>
      </c>
      <c r="AI185" s="1286" t="str">
        <f>IF($E$30="Enter Duration (wks)","",IF($Y63="Enter Hrs/Wk","",IF($E$30&gt;='FORMULA REFS'!T$1,$Y63,"")))</f>
        <v/>
      </c>
      <c r="AJ185" s="1286" t="str">
        <f>IF($E$30="Enter Duration (wks)","",IF($Y63="Enter Hrs/Wk","",IF($E$30&gt;='FORMULA REFS'!U$1,$Y63,"")))</f>
        <v/>
      </c>
      <c r="AK185" s="1286" t="str">
        <f>IF($E$30="Enter Duration (wks)","",IF($Y63="Enter Hrs/Wk","",IF($E$30&gt;='FORMULA REFS'!V$1,$Y63,"")))</f>
        <v/>
      </c>
      <c r="AL185" s="1286" t="str">
        <f>IF($E$30="Enter Duration (wks)","",IF($Y63="Enter Hrs/Wk","",IF($E$30&gt;='FORMULA REFS'!W$1,$Y63,"")))</f>
        <v/>
      </c>
      <c r="AM185" s="1286" t="str">
        <f>IF($E$30="Enter Duration (wks)","",IF($Y63="Enter Hrs/Wk","",IF($E$30&gt;='FORMULA REFS'!X$1,$Y63,"")))</f>
        <v/>
      </c>
      <c r="AN185" s="1286" t="str">
        <f>IF($E$30="Enter Duration (wks)","",IF($Y63="Enter Hrs/Wk","",IF($E$30&gt;='FORMULA REFS'!Y$1,$Y63,"")))</f>
        <v/>
      </c>
      <c r="AO185" s="1286" t="str">
        <f>IF($E$30="Enter Duration (wks)","",IF($Y63="Enter Hrs/Wk","",IF($E$30&gt;='FORMULA REFS'!Z$1,$Y63,"")))</f>
        <v/>
      </c>
      <c r="AP185" s="1286" t="str">
        <f>IF($E$30="Enter Duration (wks)","",IF($Y63="Enter Hrs/Wk","",IF($E$30&gt;='FORMULA REFS'!AA$1,$Y63,"")))</f>
        <v/>
      </c>
      <c r="AQ185" s="1286" t="str">
        <f>IF($E$30="Enter Duration (wks)","",IF($Y63="Enter Hrs/Wk","",IF($E$30&gt;='FORMULA REFS'!AB$1,$Y63,"")))</f>
        <v/>
      </c>
      <c r="AR185" s="1286" t="str">
        <f>IF($E$30="Enter Duration (wks)","",IF($Y63="Enter Hrs/Wk","",IF($E$30&gt;='FORMULA REFS'!AC$1,$Y63,"")))</f>
        <v/>
      </c>
      <c r="AS185" s="1286" t="str">
        <f>IF($E$30="Enter Duration (wks)","",IF($Y63="Enter Hrs/Wk","",IF($E$30&gt;='FORMULA REFS'!AD$1,$Y63,"")))</f>
        <v/>
      </c>
      <c r="AT185" s="1286" t="str">
        <f>IF($E$30="Enter Duration (wks)","",IF($Y63="Enter Hrs/Wk","",IF($E$30&gt;='FORMULA REFS'!AE$1,$Y63,"")))</f>
        <v/>
      </c>
      <c r="AU185" s="1286" t="str">
        <f>IF($E$30="Enter Duration (wks)","",IF($Y63="Enter Hrs/Wk","",IF($E$30&gt;='FORMULA REFS'!AF$1,$Y63,"")))</f>
        <v/>
      </c>
      <c r="AV185" s="1286" t="str">
        <f>IF($E$30="Enter Duration (wks)","",IF($Y63="Enter Hrs/Wk","",IF($E$30&gt;='FORMULA REFS'!AG$1,$Y63,"")))</f>
        <v/>
      </c>
      <c r="AW185" s="1286" t="str">
        <f>IF($E$30="Enter Duration (wks)","",IF($Y63="Enter Hrs/Wk","",IF($E$30&gt;='FORMULA REFS'!AH$1,$Y63,"")))</f>
        <v/>
      </c>
      <c r="AX185" s="1286" t="str">
        <f>IF($E$30="Enter Duration (wks)","",IF($Y63="Enter Hrs/Wk","",IF($E$30&gt;='FORMULA REFS'!AI$1,$Y63,"")))</f>
        <v/>
      </c>
      <c r="AY185" s="1286" t="str">
        <f>IF($E$30="Enter Duration (wks)","",IF($Y63="Enter Hrs/Wk","",IF($E$30&gt;='FORMULA REFS'!AJ$1,$Y63,"")))</f>
        <v/>
      </c>
      <c r="AZ185" s="1286" t="str">
        <f>IF($E$30="Enter Duration (wks)","",IF($Y63="Enter Hrs/Wk","",IF($E$30&gt;='FORMULA REFS'!AK$1,$Y63,"")))</f>
        <v/>
      </c>
      <c r="BA185" s="1286" t="str">
        <f>IF($E$30="Enter Duration (wks)","",IF($Y63="Enter Hrs/Wk","",IF($E$30&gt;='FORMULA REFS'!AL$1,$Y63,"")))</f>
        <v/>
      </c>
      <c r="BB185" s="1286" t="str">
        <f>IF($E$30="Enter Duration (wks)","",IF($Y63="Enter Hrs/Wk","",IF($E$30&gt;='FORMULA REFS'!AM$1,$Y63,"")))</f>
        <v/>
      </c>
      <c r="BC185" s="1286" t="str">
        <f>IF($E$30="Enter Duration (wks)","",IF($Y63="Enter Hrs/Wk","",IF($E$30&gt;='FORMULA REFS'!AN$1,$Y63,"")))</f>
        <v/>
      </c>
      <c r="BD185" s="1286" t="str">
        <f>IF($E$30="Enter Duration (wks)","",IF($Y63="Enter Hrs/Wk","",IF($E$30&gt;='FORMULA REFS'!AO$1,$Y63,"")))</f>
        <v/>
      </c>
      <c r="BE185" s="1286" t="str">
        <f>IF($E$30="Enter Duration (wks)","",IF($Y63="Enter Hrs/Wk","",IF($E$30&gt;='FORMULA REFS'!AP$1,$Y63,"")))</f>
        <v/>
      </c>
      <c r="BF185" s="1286" t="str">
        <f>IF($E$30="Enter Duration (wks)","",IF($Y63="Enter Hrs/Wk","",IF($E$30&gt;='FORMULA REFS'!AQ$1,$Y63,"")))</f>
        <v/>
      </c>
      <c r="BG185" s="1286" t="str">
        <f>IF($E$30="Enter Duration (wks)","",IF($Y63="Enter Hrs/Wk","",IF($E$30&gt;='FORMULA REFS'!AR$1,$Y63,"")))</f>
        <v/>
      </c>
      <c r="BH185" s="1286" t="str">
        <f>IF($E$30="Enter Duration (wks)","",IF($Y63="Enter Hrs/Wk","",IF($E$30&gt;='FORMULA REFS'!AS$1,$Y63,"")))</f>
        <v/>
      </c>
      <c r="BI185" s="1286" t="str">
        <f>IF($E$30="Enter Duration (wks)","",IF($Y63="Enter Hrs/Wk","",IF($E$30&gt;='FORMULA REFS'!AT$1,$Y63,"")))</f>
        <v/>
      </c>
      <c r="BJ185" s="1286" t="str">
        <f>IF($E$30="Enter Duration (wks)","",IF($Y63="Enter Hrs/Wk","",IF($E$30&gt;='FORMULA REFS'!AU$1,$Y63,"")))</f>
        <v/>
      </c>
      <c r="BK185" s="1286" t="str">
        <f>IF($E$30="Enter Duration (wks)","",IF($Y63="Enter Hrs/Wk","",IF($E$30&gt;='FORMULA REFS'!AV$1,$Y63,"")))</f>
        <v/>
      </c>
      <c r="BL185" s="1286" t="str">
        <f>IF($E$30="Enter Duration (wks)","",IF($Y63="Enter Hrs/Wk","",IF($E$30&gt;='FORMULA REFS'!AW$1,$Y63,"")))</f>
        <v/>
      </c>
      <c r="BM185" s="1286" t="str">
        <f>IF($E$30="Enter Duration (wks)","",IF($Y63="Enter Hrs/Wk","",IF($E$30&gt;='FORMULA REFS'!AX$1,$Y63,"")))</f>
        <v/>
      </c>
      <c r="BN185" s="1286" t="str">
        <f>IF($E$30="Enter Duration (wks)","",IF($Y63="Enter Hrs/Wk","",IF($E$30&gt;='FORMULA REFS'!AY$1,$Y63,"")))</f>
        <v/>
      </c>
      <c r="BO185" s="1286" t="str">
        <f>IF($E$30="Enter Duration (wks)","",IF($Y63="Enter Hrs/Wk","",IF($E$30&gt;='FORMULA REFS'!AZ$1,$Y63,"")))</f>
        <v/>
      </c>
      <c r="BP185" s="542"/>
      <c r="BQ185" s="542"/>
      <c r="BR185" s="542"/>
      <c r="BS185" s="542"/>
      <c r="BT185" s="542"/>
      <c r="BU185" s="542"/>
      <c r="BV185" s="542"/>
      <c r="BW185" s="542"/>
      <c r="BX185" s="542"/>
      <c r="BY185" s="542"/>
      <c r="BZ185" s="542"/>
      <c r="CA185" s="542"/>
      <c r="CB185" s="413"/>
      <c r="CC185" s="413"/>
      <c r="CD185" s="413"/>
      <c r="CE185" s="413"/>
      <c r="CF185" s="413"/>
      <c r="CG185" s="523"/>
      <c r="CH185" s="523"/>
      <c r="CI185" s="523"/>
      <c r="CJ185" s="523"/>
      <c r="CK185" s="523"/>
      <c r="CL185" s="413"/>
      <c r="CM185" s="413"/>
      <c r="CN185" s="413"/>
      <c r="CO185" s="413"/>
      <c r="CP185" s="413"/>
      <c r="CQ185" s="413"/>
    </row>
    <row r="186" spans="3:95" x14ac:dyDescent="0.25">
      <c r="C186" s="1291" t="str">
        <f t="shared" si="80"/>
        <v/>
      </c>
      <c r="D186" s="1318" t="str">
        <f t="shared" si="81"/>
        <v/>
      </c>
      <c r="E186" s="1326"/>
      <c r="F186" s="1327" t="str">
        <f>IF($E$30="Enter Duration (wks)","",IF($Y64="Enter Hrs/Wk","",IF($E$30&gt;='FORMULA REFS'!A$1,$Y64,"")))</f>
        <v/>
      </c>
      <c r="G186" s="1328"/>
      <c r="H186" s="1570"/>
      <c r="I186" s="1329" t="str">
        <f>IF($E$30="Enter Duration (wks)","",IF($Y64="Enter Hrs/Wk","",IF($E$30&gt;='FORMULA REFS'!B$1,$Y64,"")))</f>
        <v/>
      </c>
      <c r="J186" s="1323"/>
      <c r="K186" s="1286" t="str">
        <f>IF($E$30="Enter Duration (wks)","",IF($Y64="Enter Hrs/Wk","",IF($E$30&gt;='FORMULA REFS'!C$1,$Y64,"")))</f>
        <v/>
      </c>
      <c r="L186" s="882" t="str">
        <f>IF($E$30="Enter Duration (wks)","",IF($Y64="Enter Hrs/Wk","",IF($E$30&gt;='FORMULA REFS'!D$1,$Y64,"")))</f>
        <v/>
      </c>
      <c r="M186" s="882" t="str">
        <f>IF($E$30="Enter Duration (wks)","",IF($Y64="Enter Hrs/Wk","",IF($E$30&gt;='FORMULA REFS'!E$1,$Y64,"")))</f>
        <v/>
      </c>
      <c r="N186" s="882" t="str">
        <f>IF($E$30="Enter Duration (wks)","",IF($Y64="Enter Hrs/Wk","",IF($E$30&gt;='FORMULA REFS'!F$1,$Y64,"")))</f>
        <v/>
      </c>
      <c r="O186" s="882" t="str">
        <f>IF($E$30="Enter Duration (wks)","",IF($Y64="Enter Hrs/Wk","",IF($E$30&gt;='FORMULA REFS'!G$1,$Y64,"")))</f>
        <v/>
      </c>
      <c r="P186" s="882" t="str">
        <f>IF($E$30="Enter Duration (wks)","",IF($Y64="Enter Hrs/Wk","",IF($E$30&gt;='FORMULA REFS'!H$1,$Y64,"")))</f>
        <v/>
      </c>
      <c r="Q186" s="882" t="str">
        <f>IF($E$30="Enter Duration (wks)","",IF($Y64="Enter Hrs/Wk","",IF($E$30&gt;='FORMULA REFS'!I$1,$Y64,"")))</f>
        <v/>
      </c>
      <c r="R186" s="882" t="str">
        <f>IF($E$30="Enter Duration (wks)","",IF($Y64="Enter Hrs/Wk","",IF($E$30&gt;='FORMULA REFS'!J$1,$Y64,"")))</f>
        <v/>
      </c>
      <c r="S186" s="882" t="str">
        <f>IF($E$30="Enter Duration (wks)","",IF($Y64="Enter Hrs/Wk","",IF($E$30&gt;='FORMULA REFS'!K$1,$Y64,"")))</f>
        <v/>
      </c>
      <c r="T186" s="1323" t="str">
        <f>IF($E$30="Enter Duration (wks)","",IF($Y64="Enter Hrs/Wk","",IF($E$30&gt;='FORMULA REFS'!L$1,$Y64,"")))</f>
        <v/>
      </c>
      <c r="U186" s="882" t="str">
        <f>IF($E$30="Enter Duration (wks)","",IF($Y64="Enter Hrs/Wk","",IF($E$30&gt;='FORMULA REFS'!M$1,$Y64,"")))</f>
        <v/>
      </c>
      <c r="V186" s="882"/>
      <c r="W186" s="882"/>
      <c r="X186" s="1285"/>
      <c r="Y186" s="1285" t="str">
        <f>IF($E$30="Enter Duration (wks)","",IF($Y64="Enter Hrs/Wk","",IF($E$30&gt;='FORMULA REFS'!N$1,$Y64,"")))</f>
        <v/>
      </c>
      <c r="Z186" s="1343" t="str">
        <f>IF($E$30="Enter Duration (wks)","",IF($Y64="Enter Hrs/Wk","",IF($E$30&gt;='FORMULA REFS'!O$1,$Y64,"")))</f>
        <v/>
      </c>
      <c r="AA186" s="882" t="str">
        <f>IF($E$30="Enter Duration (wks)","",IF($Y64="Enter Hrs/Wk","",IF($E$30&gt;='FORMULA REFS'!P$1,$Y64,"")))</f>
        <v/>
      </c>
      <c r="AB186" s="882" t="str">
        <f>IF($E$30="Enter Duration (wks)","",IF($Y64="Enter Hrs/Wk","",IF($E$30&gt;='FORMULA REFS'!Q$1,$Y64,"")))</f>
        <v/>
      </c>
      <c r="AC186" s="882"/>
      <c r="AD186" s="882"/>
      <c r="AE186" s="882"/>
      <c r="AF186" s="882"/>
      <c r="AG186" s="1286" t="str">
        <f>IF($E$30="Enter Duration (wks)","",IF($Y64="Enter Hrs/Wk","",IF($E$30&gt;='FORMULA REFS'!R$1,$Y64,"")))</f>
        <v/>
      </c>
      <c r="AH186" s="1286" t="str">
        <f>IF($E$30="Enter Duration (wks)","",IF($Y64="Enter Hrs/Wk","",IF($E$30&gt;='FORMULA REFS'!S$1,$Y64,"")))</f>
        <v/>
      </c>
      <c r="AI186" s="1286" t="str">
        <f>IF($E$30="Enter Duration (wks)","",IF($Y64="Enter Hrs/Wk","",IF($E$30&gt;='FORMULA REFS'!T$1,$Y64,"")))</f>
        <v/>
      </c>
      <c r="AJ186" s="1286" t="str">
        <f>IF($E$30="Enter Duration (wks)","",IF($Y64="Enter Hrs/Wk","",IF($E$30&gt;='FORMULA REFS'!U$1,$Y64,"")))</f>
        <v/>
      </c>
      <c r="AK186" s="1286" t="str">
        <f>IF($E$30="Enter Duration (wks)","",IF($Y64="Enter Hrs/Wk","",IF($E$30&gt;='FORMULA REFS'!V$1,$Y64,"")))</f>
        <v/>
      </c>
      <c r="AL186" s="1286" t="str">
        <f>IF($E$30="Enter Duration (wks)","",IF($Y64="Enter Hrs/Wk","",IF($E$30&gt;='FORMULA REFS'!W$1,$Y64,"")))</f>
        <v/>
      </c>
      <c r="AM186" s="1286" t="str">
        <f>IF($E$30="Enter Duration (wks)","",IF($Y64="Enter Hrs/Wk","",IF($E$30&gt;='FORMULA REFS'!X$1,$Y64,"")))</f>
        <v/>
      </c>
      <c r="AN186" s="1286" t="str">
        <f>IF($E$30="Enter Duration (wks)","",IF($Y64="Enter Hrs/Wk","",IF($E$30&gt;='FORMULA REFS'!Y$1,$Y64,"")))</f>
        <v/>
      </c>
      <c r="AO186" s="1286" t="str">
        <f>IF($E$30="Enter Duration (wks)","",IF($Y64="Enter Hrs/Wk","",IF($E$30&gt;='FORMULA REFS'!Z$1,$Y64,"")))</f>
        <v/>
      </c>
      <c r="AP186" s="1286" t="str">
        <f>IF($E$30="Enter Duration (wks)","",IF($Y64="Enter Hrs/Wk","",IF($E$30&gt;='FORMULA REFS'!AA$1,$Y64,"")))</f>
        <v/>
      </c>
      <c r="AQ186" s="1286" t="str">
        <f>IF($E$30="Enter Duration (wks)","",IF($Y64="Enter Hrs/Wk","",IF($E$30&gt;='FORMULA REFS'!AB$1,$Y64,"")))</f>
        <v/>
      </c>
      <c r="AR186" s="1286" t="str">
        <f>IF($E$30="Enter Duration (wks)","",IF($Y64="Enter Hrs/Wk","",IF($E$30&gt;='FORMULA REFS'!AC$1,$Y64,"")))</f>
        <v/>
      </c>
      <c r="AS186" s="1286" t="str">
        <f>IF($E$30="Enter Duration (wks)","",IF($Y64="Enter Hrs/Wk","",IF($E$30&gt;='FORMULA REFS'!AD$1,$Y64,"")))</f>
        <v/>
      </c>
      <c r="AT186" s="1286" t="str">
        <f>IF($E$30="Enter Duration (wks)","",IF($Y64="Enter Hrs/Wk","",IF($E$30&gt;='FORMULA REFS'!AE$1,$Y64,"")))</f>
        <v/>
      </c>
      <c r="AU186" s="1286" t="str">
        <f>IF($E$30="Enter Duration (wks)","",IF($Y64="Enter Hrs/Wk","",IF($E$30&gt;='FORMULA REFS'!AF$1,$Y64,"")))</f>
        <v/>
      </c>
      <c r="AV186" s="1286" t="str">
        <f>IF($E$30="Enter Duration (wks)","",IF($Y64="Enter Hrs/Wk","",IF($E$30&gt;='FORMULA REFS'!AG$1,$Y64,"")))</f>
        <v/>
      </c>
      <c r="AW186" s="1286" t="str">
        <f>IF($E$30="Enter Duration (wks)","",IF($Y64="Enter Hrs/Wk","",IF($E$30&gt;='FORMULA REFS'!AH$1,$Y64,"")))</f>
        <v/>
      </c>
      <c r="AX186" s="1286" t="str">
        <f>IF($E$30="Enter Duration (wks)","",IF($Y64="Enter Hrs/Wk","",IF($E$30&gt;='FORMULA REFS'!AI$1,$Y64,"")))</f>
        <v/>
      </c>
      <c r="AY186" s="1286" t="str">
        <f>IF($E$30="Enter Duration (wks)","",IF($Y64="Enter Hrs/Wk","",IF($E$30&gt;='FORMULA REFS'!AJ$1,$Y64,"")))</f>
        <v/>
      </c>
      <c r="AZ186" s="1286" t="str">
        <f>IF($E$30="Enter Duration (wks)","",IF($Y64="Enter Hrs/Wk","",IF($E$30&gt;='FORMULA REFS'!AK$1,$Y64,"")))</f>
        <v/>
      </c>
      <c r="BA186" s="1286" t="str">
        <f>IF($E$30="Enter Duration (wks)","",IF($Y64="Enter Hrs/Wk","",IF($E$30&gt;='FORMULA REFS'!AL$1,$Y64,"")))</f>
        <v/>
      </c>
      <c r="BB186" s="1286" t="str">
        <f>IF($E$30="Enter Duration (wks)","",IF($Y64="Enter Hrs/Wk","",IF($E$30&gt;='FORMULA REFS'!AM$1,$Y64,"")))</f>
        <v/>
      </c>
      <c r="BC186" s="1286" t="str">
        <f>IF($E$30="Enter Duration (wks)","",IF($Y64="Enter Hrs/Wk","",IF($E$30&gt;='FORMULA REFS'!AN$1,$Y64,"")))</f>
        <v/>
      </c>
      <c r="BD186" s="1286" t="str">
        <f>IF($E$30="Enter Duration (wks)","",IF($Y64="Enter Hrs/Wk","",IF($E$30&gt;='FORMULA REFS'!AO$1,$Y64,"")))</f>
        <v/>
      </c>
      <c r="BE186" s="1286" t="str">
        <f>IF($E$30="Enter Duration (wks)","",IF($Y64="Enter Hrs/Wk","",IF($E$30&gt;='FORMULA REFS'!AP$1,$Y64,"")))</f>
        <v/>
      </c>
      <c r="BF186" s="1286" t="str">
        <f>IF($E$30="Enter Duration (wks)","",IF($Y64="Enter Hrs/Wk","",IF($E$30&gt;='FORMULA REFS'!AQ$1,$Y64,"")))</f>
        <v/>
      </c>
      <c r="BG186" s="1286" t="str">
        <f>IF($E$30="Enter Duration (wks)","",IF($Y64="Enter Hrs/Wk","",IF($E$30&gt;='FORMULA REFS'!AR$1,$Y64,"")))</f>
        <v/>
      </c>
      <c r="BH186" s="1286" t="str">
        <f>IF($E$30="Enter Duration (wks)","",IF($Y64="Enter Hrs/Wk","",IF($E$30&gt;='FORMULA REFS'!AS$1,$Y64,"")))</f>
        <v/>
      </c>
      <c r="BI186" s="1286" t="str">
        <f>IF($E$30="Enter Duration (wks)","",IF($Y64="Enter Hrs/Wk","",IF($E$30&gt;='FORMULA REFS'!AT$1,$Y64,"")))</f>
        <v/>
      </c>
      <c r="BJ186" s="1286" t="str">
        <f>IF($E$30="Enter Duration (wks)","",IF($Y64="Enter Hrs/Wk","",IF($E$30&gt;='FORMULA REFS'!AU$1,$Y64,"")))</f>
        <v/>
      </c>
      <c r="BK186" s="1286" t="str">
        <f>IF($E$30="Enter Duration (wks)","",IF($Y64="Enter Hrs/Wk","",IF($E$30&gt;='FORMULA REFS'!AV$1,$Y64,"")))</f>
        <v/>
      </c>
      <c r="BL186" s="1286" t="str">
        <f>IF($E$30="Enter Duration (wks)","",IF($Y64="Enter Hrs/Wk","",IF($E$30&gt;='FORMULA REFS'!AW$1,$Y64,"")))</f>
        <v/>
      </c>
      <c r="BM186" s="1286" t="str">
        <f>IF($E$30="Enter Duration (wks)","",IF($Y64="Enter Hrs/Wk","",IF($E$30&gt;='FORMULA REFS'!AX$1,$Y64,"")))</f>
        <v/>
      </c>
      <c r="BN186" s="1286" t="str">
        <f>IF($E$30="Enter Duration (wks)","",IF($Y64="Enter Hrs/Wk","",IF($E$30&gt;='FORMULA REFS'!AY$1,$Y64,"")))</f>
        <v/>
      </c>
      <c r="BO186" s="1286" t="str">
        <f>IF($E$30="Enter Duration (wks)","",IF($Y64="Enter Hrs/Wk","",IF($E$30&gt;='FORMULA REFS'!AZ$1,$Y64,"")))</f>
        <v/>
      </c>
      <c r="BP186" s="545"/>
      <c r="BQ186" s="545"/>
      <c r="BR186" s="545"/>
      <c r="BS186" s="545"/>
      <c r="BT186" s="545"/>
      <c r="BU186" s="545"/>
      <c r="BV186" s="545"/>
      <c r="BW186" s="545"/>
      <c r="BX186" s="1692"/>
      <c r="BY186" s="1692"/>
      <c r="BZ186" s="1692"/>
      <c r="CA186" s="1692"/>
      <c r="CB186" s="413"/>
      <c r="CC186" s="413"/>
      <c r="CD186" s="413"/>
      <c r="CE186" s="413"/>
      <c r="CF186" s="413"/>
      <c r="CG186" s="523"/>
      <c r="CH186" s="523"/>
      <c r="CI186" s="523"/>
      <c r="CJ186" s="523"/>
      <c r="CK186" s="523"/>
      <c r="CL186" s="413"/>
      <c r="CM186" s="413"/>
      <c r="CN186" s="413"/>
      <c r="CO186" s="413"/>
      <c r="CP186" s="413"/>
      <c r="CQ186" s="413"/>
    </row>
    <row r="187" spans="3:95" x14ac:dyDescent="0.25">
      <c r="C187" s="1291" t="str">
        <f t="shared" si="80"/>
        <v/>
      </c>
      <c r="D187" s="1318" t="str">
        <f t="shared" si="81"/>
        <v/>
      </c>
      <c r="E187" s="1326"/>
      <c r="F187" s="1327" t="str">
        <f>IF($E$30="Enter Duration (wks)","",IF($Y65="Enter Hrs/Wk","",IF($E$30&gt;='FORMULA REFS'!A$1,$Y65,"")))</f>
        <v/>
      </c>
      <c r="G187" s="1328"/>
      <c r="H187" s="1570"/>
      <c r="I187" s="1329" t="str">
        <f>IF($E$30="Enter Duration (wks)","",IF($Y65="Enter Hrs/Wk","",IF($E$30&gt;='FORMULA REFS'!B$1,$Y65,"")))</f>
        <v/>
      </c>
      <c r="J187" s="1323"/>
      <c r="K187" s="1286" t="str">
        <f>IF($E$30="Enter Duration (wks)","",IF($Y65="Enter Hrs/Wk","",IF($E$30&gt;='FORMULA REFS'!C$1,$Y65,"")))</f>
        <v/>
      </c>
      <c r="L187" s="882" t="str">
        <f>IF($E$30="Enter Duration (wks)","",IF($Y65="Enter Hrs/Wk","",IF($E$30&gt;='FORMULA REFS'!D$1,$Y65,"")))</f>
        <v/>
      </c>
      <c r="M187" s="882" t="str">
        <f>IF($E$30="Enter Duration (wks)","",IF($Y65="Enter Hrs/Wk","",IF($E$30&gt;='FORMULA REFS'!E$1,$Y65,"")))</f>
        <v/>
      </c>
      <c r="N187" s="882" t="str">
        <f>IF($E$30="Enter Duration (wks)","",IF($Y65="Enter Hrs/Wk","",IF($E$30&gt;='FORMULA REFS'!F$1,$Y65,"")))</f>
        <v/>
      </c>
      <c r="O187" s="882" t="str">
        <f>IF($E$30="Enter Duration (wks)","",IF($Y65="Enter Hrs/Wk","",IF($E$30&gt;='FORMULA REFS'!G$1,$Y65,"")))</f>
        <v/>
      </c>
      <c r="P187" s="882" t="str">
        <f>IF($E$30="Enter Duration (wks)","",IF($Y65="Enter Hrs/Wk","",IF($E$30&gt;='FORMULA REFS'!H$1,$Y65,"")))</f>
        <v/>
      </c>
      <c r="Q187" s="882" t="str">
        <f>IF($E$30="Enter Duration (wks)","",IF($Y65="Enter Hrs/Wk","",IF($E$30&gt;='FORMULA REFS'!I$1,$Y65,"")))</f>
        <v/>
      </c>
      <c r="R187" s="882" t="str">
        <f>IF($E$30="Enter Duration (wks)","",IF($Y65="Enter Hrs/Wk","",IF($E$30&gt;='FORMULA REFS'!J$1,$Y65,"")))</f>
        <v/>
      </c>
      <c r="S187" s="882" t="str">
        <f>IF($E$30="Enter Duration (wks)","",IF($Y65="Enter Hrs/Wk","",IF($E$30&gt;='FORMULA REFS'!K$1,$Y65,"")))</f>
        <v/>
      </c>
      <c r="T187" s="1323" t="str">
        <f>IF($E$30="Enter Duration (wks)","",IF($Y65="Enter Hrs/Wk","",IF($E$30&gt;='FORMULA REFS'!L$1,$Y65,"")))</f>
        <v/>
      </c>
      <c r="U187" s="882" t="str">
        <f>IF($E$30="Enter Duration (wks)","",IF($Y65="Enter Hrs/Wk","",IF($E$30&gt;='FORMULA REFS'!M$1,$Y65,"")))</f>
        <v/>
      </c>
      <c r="V187" s="882"/>
      <c r="W187" s="882"/>
      <c r="X187" s="1285"/>
      <c r="Y187" s="1285" t="str">
        <f>IF($E$30="Enter Duration (wks)","",IF($Y65="Enter Hrs/Wk","",IF($E$30&gt;='FORMULA REFS'!N$1,$Y65,"")))</f>
        <v/>
      </c>
      <c r="Z187" s="1343" t="str">
        <f>IF($E$30="Enter Duration (wks)","",IF($Y65="Enter Hrs/Wk","",IF($E$30&gt;='FORMULA REFS'!O$1,$Y65,"")))</f>
        <v/>
      </c>
      <c r="AA187" s="882" t="str">
        <f>IF($E$30="Enter Duration (wks)","",IF($Y65="Enter Hrs/Wk","",IF($E$30&gt;='FORMULA REFS'!P$1,$Y65,"")))</f>
        <v/>
      </c>
      <c r="AB187" s="882" t="str">
        <f>IF($E$30="Enter Duration (wks)","",IF($Y65="Enter Hrs/Wk","",IF($E$30&gt;='FORMULA REFS'!Q$1,$Y65,"")))</f>
        <v/>
      </c>
      <c r="AC187" s="882"/>
      <c r="AD187" s="882"/>
      <c r="AE187" s="882"/>
      <c r="AF187" s="882"/>
      <c r="AG187" s="1286" t="str">
        <f>IF($E$30="Enter Duration (wks)","",IF($Y65="Enter Hrs/Wk","",IF($E$30&gt;='FORMULA REFS'!R$1,$Y65,"")))</f>
        <v/>
      </c>
      <c r="AH187" s="1286" t="str">
        <f>IF($E$30="Enter Duration (wks)","",IF($Y65="Enter Hrs/Wk","",IF($E$30&gt;='FORMULA REFS'!S$1,$Y65,"")))</f>
        <v/>
      </c>
      <c r="AI187" s="1286" t="str">
        <f>IF($E$30="Enter Duration (wks)","",IF($Y65="Enter Hrs/Wk","",IF($E$30&gt;='FORMULA REFS'!T$1,$Y65,"")))</f>
        <v/>
      </c>
      <c r="AJ187" s="1286" t="str">
        <f>IF($E$30="Enter Duration (wks)","",IF($Y65="Enter Hrs/Wk","",IF($E$30&gt;='FORMULA REFS'!U$1,$Y65,"")))</f>
        <v/>
      </c>
      <c r="AK187" s="1286" t="str">
        <f>IF($E$30="Enter Duration (wks)","",IF($Y65="Enter Hrs/Wk","",IF($E$30&gt;='FORMULA REFS'!V$1,$Y65,"")))</f>
        <v/>
      </c>
      <c r="AL187" s="1286" t="str">
        <f>IF($E$30="Enter Duration (wks)","",IF($Y65="Enter Hrs/Wk","",IF($E$30&gt;='FORMULA REFS'!W$1,$Y65,"")))</f>
        <v/>
      </c>
      <c r="AM187" s="1286" t="str">
        <f>IF($E$30="Enter Duration (wks)","",IF($Y65="Enter Hrs/Wk","",IF($E$30&gt;='FORMULA REFS'!X$1,$Y65,"")))</f>
        <v/>
      </c>
      <c r="AN187" s="1286" t="str">
        <f>IF($E$30="Enter Duration (wks)","",IF($Y65="Enter Hrs/Wk","",IF($E$30&gt;='FORMULA REFS'!Y$1,$Y65,"")))</f>
        <v/>
      </c>
      <c r="AO187" s="1286" t="str">
        <f>IF($E$30="Enter Duration (wks)","",IF($Y65="Enter Hrs/Wk","",IF($E$30&gt;='FORMULA REFS'!Z$1,$Y65,"")))</f>
        <v/>
      </c>
      <c r="AP187" s="1286" t="str">
        <f>IF($E$30="Enter Duration (wks)","",IF($Y65="Enter Hrs/Wk","",IF($E$30&gt;='FORMULA REFS'!AA$1,$Y65,"")))</f>
        <v/>
      </c>
      <c r="AQ187" s="1286" t="str">
        <f>IF($E$30="Enter Duration (wks)","",IF($Y65="Enter Hrs/Wk","",IF($E$30&gt;='FORMULA REFS'!AB$1,$Y65,"")))</f>
        <v/>
      </c>
      <c r="AR187" s="1286" t="str">
        <f>IF($E$30="Enter Duration (wks)","",IF($Y65="Enter Hrs/Wk","",IF($E$30&gt;='FORMULA REFS'!AC$1,$Y65,"")))</f>
        <v/>
      </c>
      <c r="AS187" s="1286" t="str">
        <f>IF($E$30="Enter Duration (wks)","",IF($Y65="Enter Hrs/Wk","",IF($E$30&gt;='FORMULA REFS'!AD$1,$Y65,"")))</f>
        <v/>
      </c>
      <c r="AT187" s="1286" t="str">
        <f>IF($E$30="Enter Duration (wks)","",IF($Y65="Enter Hrs/Wk","",IF($E$30&gt;='FORMULA REFS'!AE$1,$Y65,"")))</f>
        <v/>
      </c>
      <c r="AU187" s="1286" t="str">
        <f>IF($E$30="Enter Duration (wks)","",IF($Y65="Enter Hrs/Wk","",IF($E$30&gt;='FORMULA REFS'!AF$1,$Y65,"")))</f>
        <v/>
      </c>
      <c r="AV187" s="1286" t="str">
        <f>IF($E$30="Enter Duration (wks)","",IF($Y65="Enter Hrs/Wk","",IF($E$30&gt;='FORMULA REFS'!AG$1,$Y65,"")))</f>
        <v/>
      </c>
      <c r="AW187" s="1286" t="str">
        <f>IF($E$30="Enter Duration (wks)","",IF($Y65="Enter Hrs/Wk","",IF($E$30&gt;='FORMULA REFS'!AH$1,$Y65,"")))</f>
        <v/>
      </c>
      <c r="AX187" s="1286" t="str">
        <f>IF($E$30="Enter Duration (wks)","",IF($Y65="Enter Hrs/Wk","",IF($E$30&gt;='FORMULA REFS'!AI$1,$Y65,"")))</f>
        <v/>
      </c>
      <c r="AY187" s="1286" t="str">
        <f>IF($E$30="Enter Duration (wks)","",IF($Y65="Enter Hrs/Wk","",IF($E$30&gt;='FORMULA REFS'!AJ$1,$Y65,"")))</f>
        <v/>
      </c>
      <c r="AZ187" s="1286" t="str">
        <f>IF($E$30="Enter Duration (wks)","",IF($Y65="Enter Hrs/Wk","",IF($E$30&gt;='FORMULA REFS'!AK$1,$Y65,"")))</f>
        <v/>
      </c>
      <c r="BA187" s="1286" t="str">
        <f>IF($E$30="Enter Duration (wks)","",IF($Y65="Enter Hrs/Wk","",IF($E$30&gt;='FORMULA REFS'!AL$1,$Y65,"")))</f>
        <v/>
      </c>
      <c r="BB187" s="1286" t="str">
        <f>IF($E$30="Enter Duration (wks)","",IF($Y65="Enter Hrs/Wk","",IF($E$30&gt;='FORMULA REFS'!AM$1,$Y65,"")))</f>
        <v/>
      </c>
      <c r="BC187" s="1286" t="str">
        <f>IF($E$30="Enter Duration (wks)","",IF($Y65="Enter Hrs/Wk","",IF($E$30&gt;='FORMULA REFS'!AN$1,$Y65,"")))</f>
        <v/>
      </c>
      <c r="BD187" s="1286" t="str">
        <f>IF($E$30="Enter Duration (wks)","",IF($Y65="Enter Hrs/Wk","",IF($E$30&gt;='FORMULA REFS'!AO$1,$Y65,"")))</f>
        <v/>
      </c>
      <c r="BE187" s="1286" t="str">
        <f>IF($E$30="Enter Duration (wks)","",IF($Y65="Enter Hrs/Wk","",IF($E$30&gt;='FORMULA REFS'!AP$1,$Y65,"")))</f>
        <v/>
      </c>
      <c r="BF187" s="1286" t="str">
        <f>IF($E$30="Enter Duration (wks)","",IF($Y65="Enter Hrs/Wk","",IF($E$30&gt;='FORMULA REFS'!AQ$1,$Y65,"")))</f>
        <v/>
      </c>
      <c r="BG187" s="1286" t="str">
        <f>IF($E$30="Enter Duration (wks)","",IF($Y65="Enter Hrs/Wk","",IF($E$30&gt;='FORMULA REFS'!AR$1,$Y65,"")))</f>
        <v/>
      </c>
      <c r="BH187" s="1286" t="str">
        <f>IF($E$30="Enter Duration (wks)","",IF($Y65="Enter Hrs/Wk","",IF($E$30&gt;='FORMULA REFS'!AS$1,$Y65,"")))</f>
        <v/>
      </c>
      <c r="BI187" s="1286" t="str">
        <f>IF($E$30="Enter Duration (wks)","",IF($Y65="Enter Hrs/Wk","",IF($E$30&gt;='FORMULA REFS'!AT$1,$Y65,"")))</f>
        <v/>
      </c>
      <c r="BJ187" s="1286" t="str">
        <f>IF($E$30="Enter Duration (wks)","",IF($Y65="Enter Hrs/Wk","",IF($E$30&gt;='FORMULA REFS'!AU$1,$Y65,"")))</f>
        <v/>
      </c>
      <c r="BK187" s="1286" t="str">
        <f>IF($E$30="Enter Duration (wks)","",IF($Y65="Enter Hrs/Wk","",IF($E$30&gt;='FORMULA REFS'!AV$1,$Y65,"")))</f>
        <v/>
      </c>
      <c r="BL187" s="1286" t="str">
        <f>IF($E$30="Enter Duration (wks)","",IF($Y65="Enter Hrs/Wk","",IF($E$30&gt;='FORMULA REFS'!AW$1,$Y65,"")))</f>
        <v/>
      </c>
      <c r="BM187" s="1286" t="str">
        <f>IF($E$30="Enter Duration (wks)","",IF($Y65="Enter Hrs/Wk","",IF($E$30&gt;='FORMULA REFS'!AX$1,$Y65,"")))</f>
        <v/>
      </c>
      <c r="BN187" s="1286" t="str">
        <f>IF($E$30="Enter Duration (wks)","",IF($Y65="Enter Hrs/Wk","",IF($E$30&gt;='FORMULA REFS'!AY$1,$Y65,"")))</f>
        <v/>
      </c>
      <c r="BO187" s="1286" t="str">
        <f>IF($E$30="Enter Duration (wks)","",IF($Y65="Enter Hrs/Wk","",IF($E$30&gt;='FORMULA REFS'!AZ$1,$Y65,"")))</f>
        <v/>
      </c>
      <c r="BP187" s="545"/>
      <c r="BQ187" s="545"/>
      <c r="BR187" s="545"/>
      <c r="BS187" s="545"/>
      <c r="BT187" s="545"/>
      <c r="BU187" s="545"/>
      <c r="BV187" s="545"/>
      <c r="BW187" s="545"/>
      <c r="BX187" s="1692"/>
      <c r="BY187" s="1692"/>
      <c r="BZ187" s="1692"/>
      <c r="CA187" s="1692"/>
      <c r="CB187" s="413"/>
      <c r="CC187" s="413"/>
      <c r="CD187" s="413"/>
      <c r="CE187" s="413"/>
      <c r="CF187" s="413"/>
      <c r="CG187" s="523"/>
      <c r="CH187" s="523"/>
      <c r="CI187" s="523"/>
      <c r="CJ187" s="523"/>
      <c r="CK187" s="523"/>
      <c r="CL187" s="413"/>
      <c r="CM187" s="413"/>
      <c r="CN187" s="413"/>
      <c r="CO187" s="413"/>
      <c r="CP187" s="413"/>
      <c r="CQ187" s="413"/>
    </row>
    <row r="188" spans="3:95" x14ac:dyDescent="0.25">
      <c r="C188" s="1291" t="str">
        <f t="shared" si="80"/>
        <v/>
      </c>
      <c r="D188" s="1318" t="str">
        <f t="shared" si="81"/>
        <v/>
      </c>
      <c r="E188" s="1326"/>
      <c r="F188" s="1327" t="str">
        <f>IF($E$30="Enter Duration (wks)","",IF($Y66="Enter Hrs/Wk","",IF($E$30&gt;='FORMULA REFS'!A$1,$Y66,"")))</f>
        <v/>
      </c>
      <c r="G188" s="1328"/>
      <c r="H188" s="1570"/>
      <c r="I188" s="1329" t="str">
        <f>IF($E$30="Enter Duration (wks)","",IF($Y66="Enter Hrs/Wk","",IF($E$30&gt;='FORMULA REFS'!B$1,$Y66,"")))</f>
        <v/>
      </c>
      <c r="J188" s="1323"/>
      <c r="K188" s="1286" t="str">
        <f>IF($E$30="Enter Duration (wks)","",IF($Y66="Enter Hrs/Wk","",IF($E$30&gt;='FORMULA REFS'!C$1,$Y66,"")))</f>
        <v/>
      </c>
      <c r="L188" s="882" t="str">
        <f>IF($E$30="Enter Duration (wks)","",IF($Y66="Enter Hrs/Wk","",IF($E$30&gt;='FORMULA REFS'!D$1,$Y66,"")))</f>
        <v/>
      </c>
      <c r="M188" s="882" t="str">
        <f>IF($E$30="Enter Duration (wks)","",IF($Y66="Enter Hrs/Wk","",IF($E$30&gt;='FORMULA REFS'!E$1,$Y66,"")))</f>
        <v/>
      </c>
      <c r="N188" s="882" t="str">
        <f>IF($E$30="Enter Duration (wks)","",IF($Y66="Enter Hrs/Wk","",IF($E$30&gt;='FORMULA REFS'!F$1,$Y66,"")))</f>
        <v/>
      </c>
      <c r="O188" s="882" t="str">
        <f>IF($E$30="Enter Duration (wks)","",IF($Y66="Enter Hrs/Wk","",IF($E$30&gt;='FORMULA REFS'!G$1,$Y66,"")))</f>
        <v/>
      </c>
      <c r="P188" s="882" t="str">
        <f>IF($E$30="Enter Duration (wks)","",IF($Y66="Enter Hrs/Wk","",IF($E$30&gt;='FORMULA REFS'!H$1,$Y66,"")))</f>
        <v/>
      </c>
      <c r="Q188" s="882" t="str">
        <f>IF($E$30="Enter Duration (wks)","",IF($Y66="Enter Hrs/Wk","",IF($E$30&gt;='FORMULA REFS'!I$1,$Y66,"")))</f>
        <v/>
      </c>
      <c r="R188" s="882" t="str">
        <f>IF($E$30="Enter Duration (wks)","",IF($Y66="Enter Hrs/Wk","",IF($E$30&gt;='FORMULA REFS'!J$1,$Y66,"")))</f>
        <v/>
      </c>
      <c r="S188" s="882" t="str">
        <f>IF($E$30="Enter Duration (wks)","",IF($Y66="Enter Hrs/Wk","",IF($E$30&gt;='FORMULA REFS'!K$1,$Y66,"")))</f>
        <v/>
      </c>
      <c r="T188" s="1323" t="str">
        <f>IF($E$30="Enter Duration (wks)","",IF($Y66="Enter Hrs/Wk","",IF($E$30&gt;='FORMULA REFS'!L$1,$Y66,"")))</f>
        <v/>
      </c>
      <c r="U188" s="882" t="str">
        <f>IF($E$30="Enter Duration (wks)","",IF($Y66="Enter Hrs/Wk","",IF($E$30&gt;='FORMULA REFS'!M$1,$Y66,"")))</f>
        <v/>
      </c>
      <c r="V188" s="882"/>
      <c r="W188" s="882"/>
      <c r="X188" s="1285"/>
      <c r="Y188" s="1285" t="str">
        <f>IF($E$30="Enter Duration (wks)","",IF($Y66="Enter Hrs/Wk","",IF($E$30&gt;='FORMULA REFS'!N$1,$Y66,"")))</f>
        <v/>
      </c>
      <c r="Z188" s="1343" t="str">
        <f>IF($E$30="Enter Duration (wks)","",IF($Y66="Enter Hrs/Wk","",IF($E$30&gt;='FORMULA REFS'!O$1,$Y66,"")))</f>
        <v/>
      </c>
      <c r="AA188" s="882" t="str">
        <f>IF($E$30="Enter Duration (wks)","",IF($Y66="Enter Hrs/Wk","",IF($E$30&gt;='FORMULA REFS'!P$1,$Y66,"")))</f>
        <v/>
      </c>
      <c r="AB188" s="882" t="str">
        <f>IF($E$30="Enter Duration (wks)","",IF($Y66="Enter Hrs/Wk","",IF($E$30&gt;='FORMULA REFS'!Q$1,$Y66,"")))</f>
        <v/>
      </c>
      <c r="AC188" s="882"/>
      <c r="AD188" s="882"/>
      <c r="AE188" s="882"/>
      <c r="AF188" s="882"/>
      <c r="AG188" s="1286" t="str">
        <f>IF($E$30="Enter Duration (wks)","",IF($Y66="Enter Hrs/Wk","",IF($E$30&gt;='FORMULA REFS'!R$1,$Y66,"")))</f>
        <v/>
      </c>
      <c r="AH188" s="1286" t="str">
        <f>IF($E$30="Enter Duration (wks)","",IF($Y66="Enter Hrs/Wk","",IF($E$30&gt;='FORMULA REFS'!S$1,$Y66,"")))</f>
        <v/>
      </c>
      <c r="AI188" s="1286" t="str">
        <f>IF($E$30="Enter Duration (wks)","",IF($Y66="Enter Hrs/Wk","",IF($E$30&gt;='FORMULA REFS'!T$1,$Y66,"")))</f>
        <v/>
      </c>
      <c r="AJ188" s="1286" t="str">
        <f>IF($E$30="Enter Duration (wks)","",IF($Y66="Enter Hrs/Wk","",IF($E$30&gt;='FORMULA REFS'!U$1,$Y66,"")))</f>
        <v/>
      </c>
      <c r="AK188" s="1286" t="str">
        <f>IF($E$30="Enter Duration (wks)","",IF($Y66="Enter Hrs/Wk","",IF($E$30&gt;='FORMULA REFS'!V$1,$Y66,"")))</f>
        <v/>
      </c>
      <c r="AL188" s="1286" t="str">
        <f>IF($E$30="Enter Duration (wks)","",IF($Y66="Enter Hrs/Wk","",IF($E$30&gt;='FORMULA REFS'!W$1,$Y66,"")))</f>
        <v/>
      </c>
      <c r="AM188" s="1286" t="str">
        <f>IF($E$30="Enter Duration (wks)","",IF($Y66="Enter Hrs/Wk","",IF($E$30&gt;='FORMULA REFS'!X$1,$Y66,"")))</f>
        <v/>
      </c>
      <c r="AN188" s="1286" t="str">
        <f>IF($E$30="Enter Duration (wks)","",IF($Y66="Enter Hrs/Wk","",IF($E$30&gt;='FORMULA REFS'!Y$1,$Y66,"")))</f>
        <v/>
      </c>
      <c r="AO188" s="1286" t="str">
        <f>IF($E$30="Enter Duration (wks)","",IF($Y66="Enter Hrs/Wk","",IF($E$30&gt;='FORMULA REFS'!Z$1,$Y66,"")))</f>
        <v/>
      </c>
      <c r="AP188" s="1286" t="str">
        <f>IF($E$30="Enter Duration (wks)","",IF($Y66="Enter Hrs/Wk","",IF($E$30&gt;='FORMULA REFS'!AA$1,$Y66,"")))</f>
        <v/>
      </c>
      <c r="AQ188" s="1286" t="str">
        <f>IF($E$30="Enter Duration (wks)","",IF($Y66="Enter Hrs/Wk","",IF($E$30&gt;='FORMULA REFS'!AB$1,$Y66,"")))</f>
        <v/>
      </c>
      <c r="AR188" s="1286" t="str">
        <f>IF($E$30="Enter Duration (wks)","",IF($Y66="Enter Hrs/Wk","",IF($E$30&gt;='FORMULA REFS'!AC$1,$Y66,"")))</f>
        <v/>
      </c>
      <c r="AS188" s="1286" t="str">
        <f>IF($E$30="Enter Duration (wks)","",IF($Y66="Enter Hrs/Wk","",IF($E$30&gt;='FORMULA REFS'!AD$1,$Y66,"")))</f>
        <v/>
      </c>
      <c r="AT188" s="1286" t="str">
        <f>IF($E$30="Enter Duration (wks)","",IF($Y66="Enter Hrs/Wk","",IF($E$30&gt;='FORMULA REFS'!AE$1,$Y66,"")))</f>
        <v/>
      </c>
      <c r="AU188" s="1286" t="str">
        <f>IF($E$30="Enter Duration (wks)","",IF($Y66="Enter Hrs/Wk","",IF($E$30&gt;='FORMULA REFS'!AF$1,$Y66,"")))</f>
        <v/>
      </c>
      <c r="AV188" s="1286" t="str">
        <f>IF($E$30="Enter Duration (wks)","",IF($Y66="Enter Hrs/Wk","",IF($E$30&gt;='FORMULA REFS'!AG$1,$Y66,"")))</f>
        <v/>
      </c>
      <c r="AW188" s="1286" t="str">
        <f>IF($E$30="Enter Duration (wks)","",IF($Y66="Enter Hrs/Wk","",IF($E$30&gt;='FORMULA REFS'!AH$1,$Y66,"")))</f>
        <v/>
      </c>
      <c r="AX188" s="1286" t="str">
        <f>IF($E$30="Enter Duration (wks)","",IF($Y66="Enter Hrs/Wk","",IF($E$30&gt;='FORMULA REFS'!AI$1,$Y66,"")))</f>
        <v/>
      </c>
      <c r="AY188" s="1286" t="str">
        <f>IF($E$30="Enter Duration (wks)","",IF($Y66="Enter Hrs/Wk","",IF($E$30&gt;='FORMULA REFS'!AJ$1,$Y66,"")))</f>
        <v/>
      </c>
      <c r="AZ188" s="1286" t="str">
        <f>IF($E$30="Enter Duration (wks)","",IF($Y66="Enter Hrs/Wk","",IF($E$30&gt;='FORMULA REFS'!AK$1,$Y66,"")))</f>
        <v/>
      </c>
      <c r="BA188" s="1286" t="str">
        <f>IF($E$30="Enter Duration (wks)","",IF($Y66="Enter Hrs/Wk","",IF($E$30&gt;='FORMULA REFS'!AL$1,$Y66,"")))</f>
        <v/>
      </c>
      <c r="BB188" s="1286" t="str">
        <f>IF($E$30="Enter Duration (wks)","",IF($Y66="Enter Hrs/Wk","",IF($E$30&gt;='FORMULA REFS'!AM$1,$Y66,"")))</f>
        <v/>
      </c>
      <c r="BC188" s="1286" t="str">
        <f>IF($E$30="Enter Duration (wks)","",IF($Y66="Enter Hrs/Wk","",IF($E$30&gt;='FORMULA REFS'!AN$1,$Y66,"")))</f>
        <v/>
      </c>
      <c r="BD188" s="1286" t="str">
        <f>IF($E$30="Enter Duration (wks)","",IF($Y66="Enter Hrs/Wk","",IF($E$30&gt;='FORMULA REFS'!AO$1,$Y66,"")))</f>
        <v/>
      </c>
      <c r="BE188" s="1286" t="str">
        <f>IF($E$30="Enter Duration (wks)","",IF($Y66="Enter Hrs/Wk","",IF($E$30&gt;='FORMULA REFS'!AP$1,$Y66,"")))</f>
        <v/>
      </c>
      <c r="BF188" s="1286" t="str">
        <f>IF($E$30="Enter Duration (wks)","",IF($Y66="Enter Hrs/Wk","",IF($E$30&gt;='FORMULA REFS'!AQ$1,$Y66,"")))</f>
        <v/>
      </c>
      <c r="BG188" s="1286" t="str">
        <f>IF($E$30="Enter Duration (wks)","",IF($Y66="Enter Hrs/Wk","",IF($E$30&gt;='FORMULA REFS'!AR$1,$Y66,"")))</f>
        <v/>
      </c>
      <c r="BH188" s="1286" t="str">
        <f>IF($E$30="Enter Duration (wks)","",IF($Y66="Enter Hrs/Wk","",IF($E$30&gt;='FORMULA REFS'!AS$1,$Y66,"")))</f>
        <v/>
      </c>
      <c r="BI188" s="1286" t="str">
        <f>IF($E$30="Enter Duration (wks)","",IF($Y66="Enter Hrs/Wk","",IF($E$30&gt;='FORMULA REFS'!AT$1,$Y66,"")))</f>
        <v/>
      </c>
      <c r="BJ188" s="1286" t="str">
        <f>IF($E$30="Enter Duration (wks)","",IF($Y66="Enter Hrs/Wk","",IF($E$30&gt;='FORMULA REFS'!AU$1,$Y66,"")))</f>
        <v/>
      </c>
      <c r="BK188" s="1286" t="str">
        <f>IF($E$30="Enter Duration (wks)","",IF($Y66="Enter Hrs/Wk","",IF($E$30&gt;='FORMULA REFS'!AV$1,$Y66,"")))</f>
        <v/>
      </c>
      <c r="BL188" s="1286" t="str">
        <f>IF($E$30="Enter Duration (wks)","",IF($Y66="Enter Hrs/Wk","",IF($E$30&gt;='FORMULA REFS'!AW$1,$Y66,"")))</f>
        <v/>
      </c>
      <c r="BM188" s="1286" t="str">
        <f>IF($E$30="Enter Duration (wks)","",IF($Y66="Enter Hrs/Wk","",IF($E$30&gt;='FORMULA REFS'!AX$1,$Y66,"")))</f>
        <v/>
      </c>
      <c r="BN188" s="1286" t="str">
        <f>IF($E$30="Enter Duration (wks)","",IF($Y66="Enter Hrs/Wk","",IF($E$30&gt;='FORMULA REFS'!AY$1,$Y66,"")))</f>
        <v/>
      </c>
      <c r="BO188" s="1286" t="str">
        <f>IF($E$30="Enter Duration (wks)","",IF($Y66="Enter Hrs/Wk","",IF($E$30&gt;='FORMULA REFS'!AZ$1,$Y66,"")))</f>
        <v/>
      </c>
      <c r="BP188" s="523"/>
      <c r="BQ188" s="523"/>
      <c r="BR188" s="523"/>
      <c r="BS188" s="523"/>
      <c r="BT188" s="523"/>
      <c r="BU188" s="523"/>
      <c r="BV188" s="523"/>
      <c r="BW188" s="523"/>
      <c r="BX188" s="523"/>
      <c r="BY188" s="523"/>
      <c r="BZ188" s="523"/>
      <c r="CA188" s="523"/>
      <c r="CB188" s="413"/>
      <c r="CC188" s="413"/>
      <c r="CD188" s="413"/>
      <c r="CE188" s="413"/>
      <c r="CF188" s="413"/>
      <c r="CG188" s="523"/>
      <c r="CH188" s="523"/>
      <c r="CI188" s="523"/>
      <c r="CJ188" s="523"/>
      <c r="CK188" s="523"/>
      <c r="CL188" s="413"/>
      <c r="CM188" s="413"/>
      <c r="CN188" s="413"/>
      <c r="CO188" s="413"/>
      <c r="CP188" s="413"/>
      <c r="CQ188" s="413"/>
    </row>
    <row r="189" spans="3:95" x14ac:dyDescent="0.25">
      <c r="C189" s="1291" t="str">
        <f t="shared" si="80"/>
        <v/>
      </c>
      <c r="D189" s="1318" t="str">
        <f t="shared" si="81"/>
        <v/>
      </c>
      <c r="E189" s="1326"/>
      <c r="F189" s="1327" t="str">
        <f>IF($E$30="Enter Duration (wks)","",IF($Y67="Enter Hrs/Wk","",IF($E$30&gt;='FORMULA REFS'!A$1,$Y67,"")))</f>
        <v/>
      </c>
      <c r="G189" s="1328"/>
      <c r="H189" s="1570"/>
      <c r="I189" s="1329" t="str">
        <f>IF($E$30="Enter Duration (wks)","",IF($Y67="Enter Hrs/Wk","",IF($E$30&gt;='FORMULA REFS'!B$1,$Y67,"")))</f>
        <v/>
      </c>
      <c r="J189" s="1323"/>
      <c r="K189" s="1286" t="str">
        <f>IF($E$30="Enter Duration (wks)","",IF($Y67="Enter Hrs/Wk","",IF($E$30&gt;='FORMULA REFS'!C$1,$Y67,"")))</f>
        <v/>
      </c>
      <c r="L189" s="882" t="str">
        <f>IF($E$30="Enter Duration (wks)","",IF($Y67="Enter Hrs/Wk","",IF($E$30&gt;='FORMULA REFS'!D$1,$Y67,"")))</f>
        <v/>
      </c>
      <c r="M189" s="882" t="str">
        <f>IF($E$30="Enter Duration (wks)","",IF($Y67="Enter Hrs/Wk","",IF($E$30&gt;='FORMULA REFS'!E$1,$Y67,"")))</f>
        <v/>
      </c>
      <c r="N189" s="882" t="str">
        <f>IF($E$30="Enter Duration (wks)","",IF($Y67="Enter Hrs/Wk","",IF($E$30&gt;='FORMULA REFS'!F$1,$Y67,"")))</f>
        <v/>
      </c>
      <c r="O189" s="882" t="str">
        <f>IF($E$30="Enter Duration (wks)","",IF($Y67="Enter Hrs/Wk","",IF($E$30&gt;='FORMULA REFS'!G$1,$Y67,"")))</f>
        <v/>
      </c>
      <c r="P189" s="882" t="str">
        <f>IF($E$30="Enter Duration (wks)","",IF($Y67="Enter Hrs/Wk","",IF($E$30&gt;='FORMULA REFS'!H$1,$Y67,"")))</f>
        <v/>
      </c>
      <c r="Q189" s="882" t="str">
        <f>IF($E$30="Enter Duration (wks)","",IF($Y67="Enter Hrs/Wk","",IF($E$30&gt;='FORMULA REFS'!I$1,$Y67,"")))</f>
        <v/>
      </c>
      <c r="R189" s="882" t="str">
        <f>IF($E$30="Enter Duration (wks)","",IF($Y67="Enter Hrs/Wk","",IF($E$30&gt;='FORMULA REFS'!J$1,$Y67,"")))</f>
        <v/>
      </c>
      <c r="S189" s="882" t="str">
        <f>IF($E$30="Enter Duration (wks)","",IF($Y67="Enter Hrs/Wk","",IF($E$30&gt;='FORMULA REFS'!K$1,$Y67,"")))</f>
        <v/>
      </c>
      <c r="T189" s="1323" t="str">
        <f>IF($E$30="Enter Duration (wks)","",IF($Y67="Enter Hrs/Wk","",IF($E$30&gt;='FORMULA REFS'!L$1,$Y67,"")))</f>
        <v/>
      </c>
      <c r="U189" s="882" t="str">
        <f>IF($E$30="Enter Duration (wks)","",IF($Y67="Enter Hrs/Wk","",IF($E$30&gt;='FORMULA REFS'!M$1,$Y67,"")))</f>
        <v/>
      </c>
      <c r="V189" s="882"/>
      <c r="W189" s="882"/>
      <c r="X189" s="1285"/>
      <c r="Y189" s="1285" t="str">
        <f>IF($E$30="Enter Duration (wks)","",IF($Y67="Enter Hrs/Wk","",IF($E$30&gt;='FORMULA REFS'!N$1,$Y67,"")))</f>
        <v/>
      </c>
      <c r="Z189" s="1343" t="str">
        <f>IF($E$30="Enter Duration (wks)","",IF($Y67="Enter Hrs/Wk","",IF($E$30&gt;='FORMULA REFS'!O$1,$Y67,"")))</f>
        <v/>
      </c>
      <c r="AA189" s="882" t="str">
        <f>IF($E$30="Enter Duration (wks)","",IF($Y67="Enter Hrs/Wk","",IF($E$30&gt;='FORMULA REFS'!P$1,$Y67,"")))</f>
        <v/>
      </c>
      <c r="AB189" s="882" t="str">
        <f>IF($E$30="Enter Duration (wks)","",IF($Y67="Enter Hrs/Wk","",IF($E$30&gt;='FORMULA REFS'!Q$1,$Y67,"")))</f>
        <v/>
      </c>
      <c r="AC189" s="882"/>
      <c r="AD189" s="882"/>
      <c r="AE189" s="882"/>
      <c r="AF189" s="882"/>
      <c r="AG189" s="1286" t="str">
        <f>IF($E$30="Enter Duration (wks)","",IF($Y67="Enter Hrs/Wk","",IF($E$30&gt;='FORMULA REFS'!R$1,$Y67,"")))</f>
        <v/>
      </c>
      <c r="AH189" s="1286" t="str">
        <f>IF($E$30="Enter Duration (wks)","",IF($Y67="Enter Hrs/Wk","",IF($E$30&gt;='FORMULA REFS'!S$1,$Y67,"")))</f>
        <v/>
      </c>
      <c r="AI189" s="1286" t="str">
        <f>IF($E$30="Enter Duration (wks)","",IF($Y67="Enter Hrs/Wk","",IF($E$30&gt;='FORMULA REFS'!T$1,$Y67,"")))</f>
        <v/>
      </c>
      <c r="AJ189" s="1286" t="str">
        <f>IF($E$30="Enter Duration (wks)","",IF($Y67="Enter Hrs/Wk","",IF($E$30&gt;='FORMULA REFS'!U$1,$Y67,"")))</f>
        <v/>
      </c>
      <c r="AK189" s="1286" t="str">
        <f>IF($E$30="Enter Duration (wks)","",IF($Y67="Enter Hrs/Wk","",IF($E$30&gt;='FORMULA REFS'!V$1,$Y67,"")))</f>
        <v/>
      </c>
      <c r="AL189" s="1286" t="str">
        <f>IF($E$30="Enter Duration (wks)","",IF($Y67="Enter Hrs/Wk","",IF($E$30&gt;='FORMULA REFS'!W$1,$Y67,"")))</f>
        <v/>
      </c>
      <c r="AM189" s="1286" t="str">
        <f>IF($E$30="Enter Duration (wks)","",IF($Y67="Enter Hrs/Wk","",IF($E$30&gt;='FORMULA REFS'!X$1,$Y67,"")))</f>
        <v/>
      </c>
      <c r="AN189" s="1286" t="str">
        <f>IF($E$30="Enter Duration (wks)","",IF($Y67="Enter Hrs/Wk","",IF($E$30&gt;='FORMULA REFS'!Y$1,$Y67,"")))</f>
        <v/>
      </c>
      <c r="AO189" s="1286" t="str">
        <f>IF($E$30="Enter Duration (wks)","",IF($Y67="Enter Hrs/Wk","",IF($E$30&gt;='FORMULA REFS'!Z$1,$Y67,"")))</f>
        <v/>
      </c>
      <c r="AP189" s="1286" t="str">
        <f>IF($E$30="Enter Duration (wks)","",IF($Y67="Enter Hrs/Wk","",IF($E$30&gt;='FORMULA REFS'!AA$1,$Y67,"")))</f>
        <v/>
      </c>
      <c r="AQ189" s="1286" t="str">
        <f>IF($E$30="Enter Duration (wks)","",IF($Y67="Enter Hrs/Wk","",IF($E$30&gt;='FORMULA REFS'!AB$1,$Y67,"")))</f>
        <v/>
      </c>
      <c r="AR189" s="1286" t="str">
        <f>IF($E$30="Enter Duration (wks)","",IF($Y67="Enter Hrs/Wk","",IF($E$30&gt;='FORMULA REFS'!AC$1,$Y67,"")))</f>
        <v/>
      </c>
      <c r="AS189" s="1286" t="str">
        <f>IF($E$30="Enter Duration (wks)","",IF($Y67="Enter Hrs/Wk","",IF($E$30&gt;='FORMULA REFS'!AD$1,$Y67,"")))</f>
        <v/>
      </c>
      <c r="AT189" s="1286" t="str">
        <f>IF($E$30="Enter Duration (wks)","",IF($Y67="Enter Hrs/Wk","",IF($E$30&gt;='FORMULA REFS'!AE$1,$Y67,"")))</f>
        <v/>
      </c>
      <c r="AU189" s="1286" t="str">
        <f>IF($E$30="Enter Duration (wks)","",IF($Y67="Enter Hrs/Wk","",IF($E$30&gt;='FORMULA REFS'!AF$1,$Y67,"")))</f>
        <v/>
      </c>
      <c r="AV189" s="1286" t="str">
        <f>IF($E$30="Enter Duration (wks)","",IF($Y67="Enter Hrs/Wk","",IF($E$30&gt;='FORMULA REFS'!AG$1,$Y67,"")))</f>
        <v/>
      </c>
      <c r="AW189" s="1286" t="str">
        <f>IF($E$30="Enter Duration (wks)","",IF($Y67="Enter Hrs/Wk","",IF($E$30&gt;='FORMULA REFS'!AH$1,$Y67,"")))</f>
        <v/>
      </c>
      <c r="AX189" s="1286" t="str">
        <f>IF($E$30="Enter Duration (wks)","",IF($Y67="Enter Hrs/Wk","",IF($E$30&gt;='FORMULA REFS'!AI$1,$Y67,"")))</f>
        <v/>
      </c>
      <c r="AY189" s="1286" t="str">
        <f>IF($E$30="Enter Duration (wks)","",IF($Y67="Enter Hrs/Wk","",IF($E$30&gt;='FORMULA REFS'!AJ$1,$Y67,"")))</f>
        <v/>
      </c>
      <c r="AZ189" s="1286" t="str">
        <f>IF($E$30="Enter Duration (wks)","",IF($Y67="Enter Hrs/Wk","",IF($E$30&gt;='FORMULA REFS'!AK$1,$Y67,"")))</f>
        <v/>
      </c>
      <c r="BA189" s="1286" t="str">
        <f>IF($E$30="Enter Duration (wks)","",IF($Y67="Enter Hrs/Wk","",IF($E$30&gt;='FORMULA REFS'!AL$1,$Y67,"")))</f>
        <v/>
      </c>
      <c r="BB189" s="1286" t="str">
        <f>IF($E$30="Enter Duration (wks)","",IF($Y67="Enter Hrs/Wk","",IF($E$30&gt;='FORMULA REFS'!AM$1,$Y67,"")))</f>
        <v/>
      </c>
      <c r="BC189" s="1286" t="str">
        <f>IF($E$30="Enter Duration (wks)","",IF($Y67="Enter Hrs/Wk","",IF($E$30&gt;='FORMULA REFS'!AN$1,$Y67,"")))</f>
        <v/>
      </c>
      <c r="BD189" s="1286" t="str">
        <f>IF($E$30="Enter Duration (wks)","",IF($Y67="Enter Hrs/Wk","",IF($E$30&gt;='FORMULA REFS'!AO$1,$Y67,"")))</f>
        <v/>
      </c>
      <c r="BE189" s="1286" t="str">
        <f>IF($E$30="Enter Duration (wks)","",IF($Y67="Enter Hrs/Wk","",IF($E$30&gt;='FORMULA REFS'!AP$1,$Y67,"")))</f>
        <v/>
      </c>
      <c r="BF189" s="1286" t="str">
        <f>IF($E$30="Enter Duration (wks)","",IF($Y67="Enter Hrs/Wk","",IF($E$30&gt;='FORMULA REFS'!AQ$1,$Y67,"")))</f>
        <v/>
      </c>
      <c r="BG189" s="1286" t="str">
        <f>IF($E$30="Enter Duration (wks)","",IF($Y67="Enter Hrs/Wk","",IF($E$30&gt;='FORMULA REFS'!AR$1,$Y67,"")))</f>
        <v/>
      </c>
      <c r="BH189" s="1286" t="str">
        <f>IF($E$30="Enter Duration (wks)","",IF($Y67="Enter Hrs/Wk","",IF($E$30&gt;='FORMULA REFS'!AS$1,$Y67,"")))</f>
        <v/>
      </c>
      <c r="BI189" s="1286" t="str">
        <f>IF($E$30="Enter Duration (wks)","",IF($Y67="Enter Hrs/Wk","",IF($E$30&gt;='FORMULA REFS'!AT$1,$Y67,"")))</f>
        <v/>
      </c>
      <c r="BJ189" s="1286" t="str">
        <f>IF($E$30="Enter Duration (wks)","",IF($Y67="Enter Hrs/Wk","",IF($E$30&gt;='FORMULA REFS'!AU$1,$Y67,"")))</f>
        <v/>
      </c>
      <c r="BK189" s="1286" t="str">
        <f>IF($E$30="Enter Duration (wks)","",IF($Y67="Enter Hrs/Wk","",IF($E$30&gt;='FORMULA REFS'!AV$1,$Y67,"")))</f>
        <v/>
      </c>
      <c r="BL189" s="1286" t="str">
        <f>IF($E$30="Enter Duration (wks)","",IF($Y67="Enter Hrs/Wk","",IF($E$30&gt;='FORMULA REFS'!AW$1,$Y67,"")))</f>
        <v/>
      </c>
      <c r="BM189" s="1286" t="str">
        <f>IF($E$30="Enter Duration (wks)","",IF($Y67="Enter Hrs/Wk","",IF($E$30&gt;='FORMULA REFS'!AX$1,$Y67,"")))</f>
        <v/>
      </c>
      <c r="BN189" s="1286" t="str">
        <f>IF($E$30="Enter Duration (wks)","",IF($Y67="Enter Hrs/Wk","",IF($E$30&gt;='FORMULA REFS'!AY$1,$Y67,"")))</f>
        <v/>
      </c>
      <c r="BO189" s="1286" t="str">
        <f>IF($E$30="Enter Duration (wks)","",IF($Y67="Enter Hrs/Wk","",IF($E$30&gt;='FORMULA REFS'!AZ$1,$Y67,"")))</f>
        <v/>
      </c>
      <c r="BP189" s="523"/>
      <c r="BQ189" s="523"/>
      <c r="BR189" s="523"/>
      <c r="BS189" s="523"/>
      <c r="BT189" s="523"/>
      <c r="BU189" s="523"/>
      <c r="BV189" s="523"/>
      <c r="BW189" s="523"/>
      <c r="BX189" s="523"/>
      <c r="BY189" s="523"/>
      <c r="BZ189" s="523"/>
      <c r="CA189" s="523"/>
      <c r="CB189" s="523"/>
      <c r="CC189" s="523"/>
      <c r="CD189" s="523"/>
      <c r="CE189" s="523"/>
      <c r="CF189" s="523"/>
      <c r="CG189" s="523"/>
      <c r="CH189" s="523"/>
      <c r="CI189" s="523"/>
      <c r="CJ189" s="523"/>
      <c r="CK189" s="523"/>
      <c r="CL189" s="413"/>
      <c r="CM189" s="413"/>
      <c r="CN189" s="413"/>
      <c r="CO189" s="413"/>
      <c r="CP189" s="413"/>
      <c r="CQ189" s="413"/>
    </row>
    <row r="190" spans="3:95" x14ac:dyDescent="0.25">
      <c r="C190" s="1291" t="str">
        <f t="shared" si="80"/>
        <v/>
      </c>
      <c r="D190" s="1318" t="str">
        <f t="shared" si="81"/>
        <v/>
      </c>
      <c r="E190" s="1326"/>
      <c r="F190" s="1327" t="str">
        <f>IF($E$30="Enter Duration (wks)","",IF($Y68="Enter Hrs/Wk","",IF($E$30&gt;='FORMULA REFS'!A$1,$Y68,"")))</f>
        <v/>
      </c>
      <c r="G190" s="1328"/>
      <c r="H190" s="1570"/>
      <c r="I190" s="1329" t="str">
        <f>IF($E$30="Enter Duration (wks)","",IF($Y68="Enter Hrs/Wk","",IF($E$30&gt;='FORMULA REFS'!B$1,$Y68,"")))</f>
        <v/>
      </c>
      <c r="J190" s="1323"/>
      <c r="K190" s="1286" t="str">
        <f>IF($E$30="Enter Duration (wks)","",IF($Y68="Enter Hrs/Wk","",IF($E$30&gt;='FORMULA REFS'!C$1,$Y68,"")))</f>
        <v/>
      </c>
      <c r="L190" s="882" t="str">
        <f>IF($E$30="Enter Duration (wks)","",IF($Y68="Enter Hrs/Wk","",IF($E$30&gt;='FORMULA REFS'!D$1,$Y68,"")))</f>
        <v/>
      </c>
      <c r="M190" s="882" t="str">
        <f>IF($E$30="Enter Duration (wks)","",IF($Y68="Enter Hrs/Wk","",IF($E$30&gt;='FORMULA REFS'!E$1,$Y68,"")))</f>
        <v/>
      </c>
      <c r="N190" s="882" t="str">
        <f>IF($E$30="Enter Duration (wks)","",IF($Y68="Enter Hrs/Wk","",IF($E$30&gt;='FORMULA REFS'!F$1,$Y68,"")))</f>
        <v/>
      </c>
      <c r="O190" s="882" t="str">
        <f>IF($E$30="Enter Duration (wks)","",IF($Y68="Enter Hrs/Wk","",IF($E$30&gt;='FORMULA REFS'!G$1,$Y68,"")))</f>
        <v/>
      </c>
      <c r="P190" s="882" t="str">
        <f>IF($E$30="Enter Duration (wks)","",IF($Y68="Enter Hrs/Wk","",IF($E$30&gt;='FORMULA REFS'!H$1,$Y68,"")))</f>
        <v/>
      </c>
      <c r="Q190" s="882" t="str">
        <f>IF($E$30="Enter Duration (wks)","",IF($Y68="Enter Hrs/Wk","",IF($E$30&gt;='FORMULA REFS'!I$1,$Y68,"")))</f>
        <v/>
      </c>
      <c r="R190" s="882" t="str">
        <f>IF($E$30="Enter Duration (wks)","",IF($Y68="Enter Hrs/Wk","",IF($E$30&gt;='FORMULA REFS'!J$1,$Y68,"")))</f>
        <v/>
      </c>
      <c r="S190" s="882" t="str">
        <f>IF($E$30="Enter Duration (wks)","",IF($Y68="Enter Hrs/Wk","",IF($E$30&gt;='FORMULA REFS'!K$1,$Y68,"")))</f>
        <v/>
      </c>
      <c r="T190" s="1323" t="str">
        <f>IF($E$30="Enter Duration (wks)","",IF($Y68="Enter Hrs/Wk","",IF($E$30&gt;='FORMULA REFS'!L$1,$Y68,"")))</f>
        <v/>
      </c>
      <c r="U190" s="882" t="str">
        <f>IF($E$30="Enter Duration (wks)","",IF($Y68="Enter Hrs/Wk","",IF($E$30&gt;='FORMULA REFS'!M$1,$Y68,"")))</f>
        <v/>
      </c>
      <c r="V190" s="882"/>
      <c r="W190" s="882"/>
      <c r="X190" s="1285"/>
      <c r="Y190" s="1285" t="str">
        <f>IF($E$30="Enter Duration (wks)","",IF($Y68="Enter Hrs/Wk","",IF($E$30&gt;='FORMULA REFS'!N$1,$Y68,"")))</f>
        <v/>
      </c>
      <c r="Z190" s="1343" t="str">
        <f>IF($E$30="Enter Duration (wks)","",IF($Y68="Enter Hrs/Wk","",IF($E$30&gt;='FORMULA REFS'!O$1,$Y68,"")))</f>
        <v/>
      </c>
      <c r="AA190" s="882" t="str">
        <f>IF($E$30="Enter Duration (wks)","",IF($Y68="Enter Hrs/Wk","",IF($E$30&gt;='FORMULA REFS'!P$1,$Y68,"")))</f>
        <v/>
      </c>
      <c r="AB190" s="882" t="str">
        <f>IF($E$30="Enter Duration (wks)","",IF($Y68="Enter Hrs/Wk","",IF($E$30&gt;='FORMULA REFS'!Q$1,$Y68,"")))</f>
        <v/>
      </c>
      <c r="AC190" s="882"/>
      <c r="AD190" s="882"/>
      <c r="AE190" s="882"/>
      <c r="AF190" s="882"/>
      <c r="AG190" s="1286" t="str">
        <f>IF($E$30="Enter Duration (wks)","",IF($Y68="Enter Hrs/Wk","",IF($E$30&gt;='FORMULA REFS'!R$1,$Y68,"")))</f>
        <v/>
      </c>
      <c r="AH190" s="1286" t="str">
        <f>IF($E$30="Enter Duration (wks)","",IF($Y68="Enter Hrs/Wk","",IF($E$30&gt;='FORMULA REFS'!S$1,$Y68,"")))</f>
        <v/>
      </c>
      <c r="AI190" s="1286" t="str">
        <f>IF($E$30="Enter Duration (wks)","",IF($Y68="Enter Hrs/Wk","",IF($E$30&gt;='FORMULA REFS'!T$1,$Y68,"")))</f>
        <v/>
      </c>
      <c r="AJ190" s="1286" t="str">
        <f>IF($E$30="Enter Duration (wks)","",IF($Y68="Enter Hrs/Wk","",IF($E$30&gt;='FORMULA REFS'!U$1,$Y68,"")))</f>
        <v/>
      </c>
      <c r="AK190" s="1286" t="str">
        <f>IF($E$30="Enter Duration (wks)","",IF($Y68="Enter Hrs/Wk","",IF($E$30&gt;='FORMULA REFS'!V$1,$Y68,"")))</f>
        <v/>
      </c>
      <c r="AL190" s="1286" t="str">
        <f>IF($E$30="Enter Duration (wks)","",IF($Y68="Enter Hrs/Wk","",IF($E$30&gt;='FORMULA REFS'!W$1,$Y68,"")))</f>
        <v/>
      </c>
      <c r="AM190" s="1286" t="str">
        <f>IF($E$30="Enter Duration (wks)","",IF($Y68="Enter Hrs/Wk","",IF($E$30&gt;='FORMULA REFS'!X$1,$Y68,"")))</f>
        <v/>
      </c>
      <c r="AN190" s="1286" t="str">
        <f>IF($E$30="Enter Duration (wks)","",IF($Y68="Enter Hrs/Wk","",IF($E$30&gt;='FORMULA REFS'!Y$1,$Y68,"")))</f>
        <v/>
      </c>
      <c r="AO190" s="1286" t="str">
        <f>IF($E$30="Enter Duration (wks)","",IF($Y68="Enter Hrs/Wk","",IF($E$30&gt;='FORMULA REFS'!Z$1,$Y68,"")))</f>
        <v/>
      </c>
      <c r="AP190" s="1286" t="str">
        <f>IF($E$30="Enter Duration (wks)","",IF($Y68="Enter Hrs/Wk","",IF($E$30&gt;='FORMULA REFS'!AA$1,$Y68,"")))</f>
        <v/>
      </c>
      <c r="AQ190" s="1286" t="str">
        <f>IF($E$30="Enter Duration (wks)","",IF($Y68="Enter Hrs/Wk","",IF($E$30&gt;='FORMULA REFS'!AB$1,$Y68,"")))</f>
        <v/>
      </c>
      <c r="AR190" s="1286" t="str">
        <f>IF($E$30="Enter Duration (wks)","",IF($Y68="Enter Hrs/Wk","",IF($E$30&gt;='FORMULA REFS'!AC$1,$Y68,"")))</f>
        <v/>
      </c>
      <c r="AS190" s="1286" t="str">
        <f>IF($E$30="Enter Duration (wks)","",IF($Y68="Enter Hrs/Wk","",IF($E$30&gt;='FORMULA REFS'!AD$1,$Y68,"")))</f>
        <v/>
      </c>
      <c r="AT190" s="1286" t="str">
        <f>IF($E$30="Enter Duration (wks)","",IF($Y68="Enter Hrs/Wk","",IF($E$30&gt;='FORMULA REFS'!AE$1,$Y68,"")))</f>
        <v/>
      </c>
      <c r="AU190" s="1286" t="str">
        <f>IF($E$30="Enter Duration (wks)","",IF($Y68="Enter Hrs/Wk","",IF($E$30&gt;='FORMULA REFS'!AF$1,$Y68,"")))</f>
        <v/>
      </c>
      <c r="AV190" s="1286" t="str">
        <f>IF($E$30="Enter Duration (wks)","",IF($Y68="Enter Hrs/Wk","",IF($E$30&gt;='FORMULA REFS'!AG$1,$Y68,"")))</f>
        <v/>
      </c>
      <c r="AW190" s="1286" t="str">
        <f>IF($E$30="Enter Duration (wks)","",IF($Y68="Enter Hrs/Wk","",IF($E$30&gt;='FORMULA REFS'!AH$1,$Y68,"")))</f>
        <v/>
      </c>
      <c r="AX190" s="1286" t="str">
        <f>IF($E$30="Enter Duration (wks)","",IF($Y68="Enter Hrs/Wk","",IF($E$30&gt;='FORMULA REFS'!AI$1,$Y68,"")))</f>
        <v/>
      </c>
      <c r="AY190" s="1286" t="str">
        <f>IF($E$30="Enter Duration (wks)","",IF($Y68="Enter Hrs/Wk","",IF($E$30&gt;='FORMULA REFS'!AJ$1,$Y68,"")))</f>
        <v/>
      </c>
      <c r="AZ190" s="1286" t="str">
        <f>IF($E$30="Enter Duration (wks)","",IF($Y68="Enter Hrs/Wk","",IF($E$30&gt;='FORMULA REFS'!AK$1,$Y68,"")))</f>
        <v/>
      </c>
      <c r="BA190" s="1286" t="str">
        <f>IF($E$30="Enter Duration (wks)","",IF($Y68="Enter Hrs/Wk","",IF($E$30&gt;='FORMULA REFS'!AL$1,$Y68,"")))</f>
        <v/>
      </c>
      <c r="BB190" s="1286" t="str">
        <f>IF($E$30="Enter Duration (wks)","",IF($Y68="Enter Hrs/Wk","",IF($E$30&gt;='FORMULA REFS'!AM$1,$Y68,"")))</f>
        <v/>
      </c>
      <c r="BC190" s="1286" t="str">
        <f>IF($E$30="Enter Duration (wks)","",IF($Y68="Enter Hrs/Wk","",IF($E$30&gt;='FORMULA REFS'!AN$1,$Y68,"")))</f>
        <v/>
      </c>
      <c r="BD190" s="1286" t="str">
        <f>IF($E$30="Enter Duration (wks)","",IF($Y68="Enter Hrs/Wk","",IF($E$30&gt;='FORMULA REFS'!AO$1,$Y68,"")))</f>
        <v/>
      </c>
      <c r="BE190" s="1286" t="str">
        <f>IF($E$30="Enter Duration (wks)","",IF($Y68="Enter Hrs/Wk","",IF($E$30&gt;='FORMULA REFS'!AP$1,$Y68,"")))</f>
        <v/>
      </c>
      <c r="BF190" s="1286" t="str">
        <f>IF($E$30="Enter Duration (wks)","",IF($Y68="Enter Hrs/Wk","",IF($E$30&gt;='FORMULA REFS'!AQ$1,$Y68,"")))</f>
        <v/>
      </c>
      <c r="BG190" s="1286" t="str">
        <f>IF($E$30="Enter Duration (wks)","",IF($Y68="Enter Hrs/Wk","",IF($E$30&gt;='FORMULA REFS'!AR$1,$Y68,"")))</f>
        <v/>
      </c>
      <c r="BH190" s="1286" t="str">
        <f>IF($E$30="Enter Duration (wks)","",IF($Y68="Enter Hrs/Wk","",IF($E$30&gt;='FORMULA REFS'!AS$1,$Y68,"")))</f>
        <v/>
      </c>
      <c r="BI190" s="1286" t="str">
        <f>IF($E$30="Enter Duration (wks)","",IF($Y68="Enter Hrs/Wk","",IF($E$30&gt;='FORMULA REFS'!AT$1,$Y68,"")))</f>
        <v/>
      </c>
      <c r="BJ190" s="1286" t="str">
        <f>IF($E$30="Enter Duration (wks)","",IF($Y68="Enter Hrs/Wk","",IF($E$30&gt;='FORMULA REFS'!AU$1,$Y68,"")))</f>
        <v/>
      </c>
      <c r="BK190" s="1286" t="str">
        <f>IF($E$30="Enter Duration (wks)","",IF($Y68="Enter Hrs/Wk","",IF($E$30&gt;='FORMULA REFS'!AV$1,$Y68,"")))</f>
        <v/>
      </c>
      <c r="BL190" s="1286" t="str">
        <f>IF($E$30="Enter Duration (wks)","",IF($Y68="Enter Hrs/Wk","",IF($E$30&gt;='FORMULA REFS'!AW$1,$Y68,"")))</f>
        <v/>
      </c>
      <c r="BM190" s="1286" t="str">
        <f>IF($E$30="Enter Duration (wks)","",IF($Y68="Enter Hrs/Wk","",IF($E$30&gt;='FORMULA REFS'!AX$1,$Y68,"")))</f>
        <v/>
      </c>
      <c r="BN190" s="1286" t="str">
        <f>IF($E$30="Enter Duration (wks)","",IF($Y68="Enter Hrs/Wk","",IF($E$30&gt;='FORMULA REFS'!AY$1,$Y68,"")))</f>
        <v/>
      </c>
      <c r="BO190" s="1286" t="str">
        <f>IF($E$30="Enter Duration (wks)","",IF($Y68="Enter Hrs/Wk","",IF($E$30&gt;='FORMULA REFS'!AZ$1,$Y68,"")))</f>
        <v/>
      </c>
      <c r="BP190" s="523"/>
      <c r="BQ190" s="523"/>
      <c r="BR190" s="523"/>
      <c r="BS190" s="523"/>
      <c r="BT190" s="523"/>
      <c r="BU190" s="523"/>
      <c r="BV190" s="523"/>
      <c r="BW190" s="523"/>
      <c r="BX190" s="523"/>
      <c r="BY190" s="523"/>
      <c r="BZ190" s="523"/>
      <c r="CA190" s="523"/>
      <c r="CB190" s="523"/>
      <c r="CC190" s="523"/>
      <c r="CD190" s="523"/>
      <c r="CE190" s="523"/>
      <c r="CF190" s="523"/>
      <c r="CG190" s="523"/>
      <c r="CH190" s="523"/>
      <c r="CI190" s="523"/>
      <c r="CJ190" s="523"/>
      <c r="CK190" s="523"/>
      <c r="CL190" s="413"/>
      <c r="CM190" s="413"/>
      <c r="CN190" s="413"/>
      <c r="CO190" s="413"/>
      <c r="CP190" s="413"/>
      <c r="CQ190" s="413"/>
    </row>
    <row r="191" spans="3:95" x14ac:dyDescent="0.25">
      <c r="C191" s="1291" t="str">
        <f t="shared" si="80"/>
        <v/>
      </c>
      <c r="D191" s="1318" t="str">
        <f t="shared" si="81"/>
        <v/>
      </c>
      <c r="E191" s="1326"/>
      <c r="F191" s="1327" t="str">
        <f>IF($E$30="Enter Duration (wks)","",IF($Y69="Enter Hrs/Wk","",IF($E$30&gt;='FORMULA REFS'!A$1,$Y69,"")))</f>
        <v/>
      </c>
      <c r="G191" s="1328"/>
      <c r="H191" s="1570"/>
      <c r="I191" s="1329" t="str">
        <f>IF($E$30="Enter Duration (wks)","",IF($Y69="Enter Hrs/Wk","",IF($E$30&gt;='FORMULA REFS'!B$1,$Y69,"")))</f>
        <v/>
      </c>
      <c r="J191" s="1323"/>
      <c r="K191" s="1286" t="str">
        <f>IF($E$30="Enter Duration (wks)","",IF($Y69="Enter Hrs/Wk","",IF($E$30&gt;='FORMULA REFS'!C$1,$Y69,"")))</f>
        <v/>
      </c>
      <c r="L191" s="882" t="str">
        <f>IF($E$30="Enter Duration (wks)","",IF($Y69="Enter Hrs/Wk","",IF($E$30&gt;='FORMULA REFS'!D$1,$Y69,"")))</f>
        <v/>
      </c>
      <c r="M191" s="882" t="str">
        <f>IF($E$30="Enter Duration (wks)","",IF($Y69="Enter Hrs/Wk","",IF($E$30&gt;='FORMULA REFS'!E$1,$Y69,"")))</f>
        <v/>
      </c>
      <c r="N191" s="882" t="str">
        <f>IF($E$30="Enter Duration (wks)","",IF($Y69="Enter Hrs/Wk","",IF($E$30&gt;='FORMULA REFS'!F$1,$Y69,"")))</f>
        <v/>
      </c>
      <c r="O191" s="882" t="str">
        <f>IF($E$30="Enter Duration (wks)","",IF($Y69="Enter Hrs/Wk","",IF($E$30&gt;='FORMULA REFS'!G$1,$Y69,"")))</f>
        <v/>
      </c>
      <c r="P191" s="882" t="str">
        <f>IF($E$30="Enter Duration (wks)","",IF($Y69="Enter Hrs/Wk","",IF($E$30&gt;='FORMULA REFS'!H$1,$Y69,"")))</f>
        <v/>
      </c>
      <c r="Q191" s="882" t="str">
        <f>IF($E$30="Enter Duration (wks)","",IF($Y69="Enter Hrs/Wk","",IF($E$30&gt;='FORMULA REFS'!I$1,$Y69,"")))</f>
        <v/>
      </c>
      <c r="R191" s="882" t="str">
        <f>IF($E$30="Enter Duration (wks)","",IF($Y69="Enter Hrs/Wk","",IF($E$30&gt;='FORMULA REFS'!J$1,$Y69,"")))</f>
        <v/>
      </c>
      <c r="S191" s="882" t="str">
        <f>IF($E$30="Enter Duration (wks)","",IF($Y69="Enter Hrs/Wk","",IF($E$30&gt;='FORMULA REFS'!K$1,$Y69,"")))</f>
        <v/>
      </c>
      <c r="T191" s="1323" t="str">
        <f>IF($E$30="Enter Duration (wks)","",IF($Y69="Enter Hrs/Wk","",IF($E$30&gt;='FORMULA REFS'!L$1,$Y69,"")))</f>
        <v/>
      </c>
      <c r="U191" s="882" t="str">
        <f>IF($E$30="Enter Duration (wks)","",IF($Y69="Enter Hrs/Wk","",IF($E$30&gt;='FORMULA REFS'!M$1,$Y69,"")))</f>
        <v/>
      </c>
      <c r="V191" s="882"/>
      <c r="W191" s="882"/>
      <c r="X191" s="1285"/>
      <c r="Y191" s="1285" t="str">
        <f>IF($E$30="Enter Duration (wks)","",IF($Y69="Enter Hrs/Wk","",IF($E$30&gt;='FORMULA REFS'!N$1,$Y69,"")))</f>
        <v/>
      </c>
      <c r="Z191" s="1343" t="str">
        <f>IF($E$30="Enter Duration (wks)","",IF($Y69="Enter Hrs/Wk","",IF($E$30&gt;='FORMULA REFS'!O$1,$Y69,"")))</f>
        <v/>
      </c>
      <c r="AA191" s="882" t="str">
        <f>IF($E$30="Enter Duration (wks)","",IF($Y69="Enter Hrs/Wk","",IF($E$30&gt;='FORMULA REFS'!P$1,$Y69,"")))</f>
        <v/>
      </c>
      <c r="AB191" s="882" t="str">
        <f>IF($E$30="Enter Duration (wks)","",IF($Y69="Enter Hrs/Wk","",IF($E$30&gt;='FORMULA REFS'!Q$1,$Y69,"")))</f>
        <v/>
      </c>
      <c r="AC191" s="882"/>
      <c r="AD191" s="882"/>
      <c r="AE191" s="882"/>
      <c r="AF191" s="882"/>
      <c r="AG191" s="1286" t="str">
        <f>IF($E$30="Enter Duration (wks)","",IF($Y69="Enter Hrs/Wk","",IF($E$30&gt;='FORMULA REFS'!R$1,$Y69,"")))</f>
        <v/>
      </c>
      <c r="AH191" s="1286" t="str">
        <f>IF($E$30="Enter Duration (wks)","",IF($Y69="Enter Hrs/Wk","",IF($E$30&gt;='FORMULA REFS'!S$1,$Y69,"")))</f>
        <v/>
      </c>
      <c r="AI191" s="1286" t="str">
        <f>IF($E$30="Enter Duration (wks)","",IF($Y69="Enter Hrs/Wk","",IF($E$30&gt;='FORMULA REFS'!T$1,$Y69,"")))</f>
        <v/>
      </c>
      <c r="AJ191" s="1286" t="str">
        <f>IF($E$30="Enter Duration (wks)","",IF($Y69="Enter Hrs/Wk","",IF($E$30&gt;='FORMULA REFS'!U$1,$Y69,"")))</f>
        <v/>
      </c>
      <c r="AK191" s="1286" t="str">
        <f>IF($E$30="Enter Duration (wks)","",IF($Y69="Enter Hrs/Wk","",IF($E$30&gt;='FORMULA REFS'!V$1,$Y69,"")))</f>
        <v/>
      </c>
      <c r="AL191" s="1286" t="str">
        <f>IF($E$30="Enter Duration (wks)","",IF($Y69="Enter Hrs/Wk","",IF($E$30&gt;='FORMULA REFS'!W$1,$Y69,"")))</f>
        <v/>
      </c>
      <c r="AM191" s="1286" t="str">
        <f>IF($E$30="Enter Duration (wks)","",IF($Y69="Enter Hrs/Wk","",IF($E$30&gt;='FORMULA REFS'!X$1,$Y69,"")))</f>
        <v/>
      </c>
      <c r="AN191" s="1286" t="str">
        <f>IF($E$30="Enter Duration (wks)","",IF($Y69="Enter Hrs/Wk","",IF($E$30&gt;='FORMULA REFS'!Y$1,$Y69,"")))</f>
        <v/>
      </c>
      <c r="AO191" s="1286" t="str">
        <f>IF($E$30="Enter Duration (wks)","",IF($Y69="Enter Hrs/Wk","",IF($E$30&gt;='FORMULA REFS'!Z$1,$Y69,"")))</f>
        <v/>
      </c>
      <c r="AP191" s="1286" t="str">
        <f>IF($E$30="Enter Duration (wks)","",IF($Y69="Enter Hrs/Wk","",IF($E$30&gt;='FORMULA REFS'!AA$1,$Y69,"")))</f>
        <v/>
      </c>
      <c r="AQ191" s="1286" t="str">
        <f>IF($E$30="Enter Duration (wks)","",IF($Y69="Enter Hrs/Wk","",IF($E$30&gt;='FORMULA REFS'!AB$1,$Y69,"")))</f>
        <v/>
      </c>
      <c r="AR191" s="1286" t="str">
        <f>IF($E$30="Enter Duration (wks)","",IF($Y69="Enter Hrs/Wk","",IF($E$30&gt;='FORMULA REFS'!AC$1,$Y69,"")))</f>
        <v/>
      </c>
      <c r="AS191" s="1286" t="str">
        <f>IF($E$30="Enter Duration (wks)","",IF($Y69="Enter Hrs/Wk","",IF($E$30&gt;='FORMULA REFS'!AD$1,$Y69,"")))</f>
        <v/>
      </c>
      <c r="AT191" s="1286" t="str">
        <f>IF($E$30="Enter Duration (wks)","",IF($Y69="Enter Hrs/Wk","",IF($E$30&gt;='FORMULA REFS'!AE$1,$Y69,"")))</f>
        <v/>
      </c>
      <c r="AU191" s="1286" t="str">
        <f>IF($E$30="Enter Duration (wks)","",IF($Y69="Enter Hrs/Wk","",IF($E$30&gt;='FORMULA REFS'!AF$1,$Y69,"")))</f>
        <v/>
      </c>
      <c r="AV191" s="1286" t="str">
        <f>IF($E$30="Enter Duration (wks)","",IF($Y69="Enter Hrs/Wk","",IF($E$30&gt;='FORMULA REFS'!AG$1,$Y69,"")))</f>
        <v/>
      </c>
      <c r="AW191" s="1286" t="str">
        <f>IF($E$30="Enter Duration (wks)","",IF($Y69="Enter Hrs/Wk","",IF($E$30&gt;='FORMULA REFS'!AH$1,$Y69,"")))</f>
        <v/>
      </c>
      <c r="AX191" s="1286" t="str">
        <f>IF($E$30="Enter Duration (wks)","",IF($Y69="Enter Hrs/Wk","",IF($E$30&gt;='FORMULA REFS'!AI$1,$Y69,"")))</f>
        <v/>
      </c>
      <c r="AY191" s="1286" t="str">
        <f>IF($E$30="Enter Duration (wks)","",IF($Y69="Enter Hrs/Wk","",IF($E$30&gt;='FORMULA REFS'!AJ$1,$Y69,"")))</f>
        <v/>
      </c>
      <c r="AZ191" s="1286" t="str">
        <f>IF($E$30="Enter Duration (wks)","",IF($Y69="Enter Hrs/Wk","",IF($E$30&gt;='FORMULA REFS'!AK$1,$Y69,"")))</f>
        <v/>
      </c>
      <c r="BA191" s="1286" t="str">
        <f>IF($E$30="Enter Duration (wks)","",IF($Y69="Enter Hrs/Wk","",IF($E$30&gt;='FORMULA REFS'!AL$1,$Y69,"")))</f>
        <v/>
      </c>
      <c r="BB191" s="1286" t="str">
        <f>IF($E$30="Enter Duration (wks)","",IF($Y69="Enter Hrs/Wk","",IF($E$30&gt;='FORMULA REFS'!AM$1,$Y69,"")))</f>
        <v/>
      </c>
      <c r="BC191" s="1286" t="str">
        <f>IF($E$30="Enter Duration (wks)","",IF($Y69="Enter Hrs/Wk","",IF($E$30&gt;='FORMULA REFS'!AN$1,$Y69,"")))</f>
        <v/>
      </c>
      <c r="BD191" s="1286" t="str">
        <f>IF($E$30="Enter Duration (wks)","",IF($Y69="Enter Hrs/Wk","",IF($E$30&gt;='FORMULA REFS'!AO$1,$Y69,"")))</f>
        <v/>
      </c>
      <c r="BE191" s="1286" t="str">
        <f>IF($E$30="Enter Duration (wks)","",IF($Y69="Enter Hrs/Wk","",IF($E$30&gt;='FORMULA REFS'!AP$1,$Y69,"")))</f>
        <v/>
      </c>
      <c r="BF191" s="1286" t="str">
        <f>IF($E$30="Enter Duration (wks)","",IF($Y69="Enter Hrs/Wk","",IF($E$30&gt;='FORMULA REFS'!AQ$1,$Y69,"")))</f>
        <v/>
      </c>
      <c r="BG191" s="1286" t="str">
        <f>IF($E$30="Enter Duration (wks)","",IF($Y69="Enter Hrs/Wk","",IF($E$30&gt;='FORMULA REFS'!AR$1,$Y69,"")))</f>
        <v/>
      </c>
      <c r="BH191" s="1286" t="str">
        <f>IF($E$30="Enter Duration (wks)","",IF($Y69="Enter Hrs/Wk","",IF($E$30&gt;='FORMULA REFS'!AS$1,$Y69,"")))</f>
        <v/>
      </c>
      <c r="BI191" s="1286" t="str">
        <f>IF($E$30="Enter Duration (wks)","",IF($Y69="Enter Hrs/Wk","",IF($E$30&gt;='FORMULA REFS'!AT$1,$Y69,"")))</f>
        <v/>
      </c>
      <c r="BJ191" s="1286" t="str">
        <f>IF($E$30="Enter Duration (wks)","",IF($Y69="Enter Hrs/Wk","",IF($E$30&gt;='FORMULA REFS'!AU$1,$Y69,"")))</f>
        <v/>
      </c>
      <c r="BK191" s="1286" t="str">
        <f>IF($E$30="Enter Duration (wks)","",IF($Y69="Enter Hrs/Wk","",IF($E$30&gt;='FORMULA REFS'!AV$1,$Y69,"")))</f>
        <v/>
      </c>
      <c r="BL191" s="1286" t="str">
        <f>IF($E$30="Enter Duration (wks)","",IF($Y69="Enter Hrs/Wk","",IF($E$30&gt;='FORMULA REFS'!AW$1,$Y69,"")))</f>
        <v/>
      </c>
      <c r="BM191" s="1286" t="str">
        <f>IF($E$30="Enter Duration (wks)","",IF($Y69="Enter Hrs/Wk","",IF($E$30&gt;='FORMULA REFS'!AX$1,$Y69,"")))</f>
        <v/>
      </c>
      <c r="BN191" s="1286" t="str">
        <f>IF($E$30="Enter Duration (wks)","",IF($Y69="Enter Hrs/Wk","",IF($E$30&gt;='FORMULA REFS'!AY$1,$Y69,"")))</f>
        <v/>
      </c>
      <c r="BO191" s="1286" t="str">
        <f>IF($E$30="Enter Duration (wks)","",IF($Y69="Enter Hrs/Wk","",IF($E$30&gt;='FORMULA REFS'!AZ$1,$Y69,"")))</f>
        <v/>
      </c>
      <c r="BP191" s="523"/>
      <c r="BQ191" s="523"/>
      <c r="BR191" s="523"/>
      <c r="BS191" s="523"/>
      <c r="BT191" s="523"/>
      <c r="BU191" s="523"/>
      <c r="BV191" s="523"/>
      <c r="BW191" s="523"/>
      <c r="BX191" s="523"/>
      <c r="BY191" s="523"/>
      <c r="BZ191" s="523"/>
      <c r="CA191" s="523"/>
      <c r="CB191" s="523"/>
      <c r="CC191" s="523"/>
      <c r="CD191" s="523"/>
      <c r="CE191" s="523"/>
      <c r="CF191" s="523"/>
      <c r="CG191" s="523"/>
      <c r="CH191" s="523"/>
      <c r="CI191" s="523"/>
      <c r="CJ191" s="523"/>
      <c r="CK191" s="523"/>
      <c r="CL191" s="413"/>
      <c r="CM191" s="413"/>
      <c r="CN191" s="413"/>
      <c r="CO191" s="413"/>
      <c r="CP191" s="413"/>
      <c r="CQ191" s="413"/>
    </row>
    <row r="192" spans="3:95" x14ac:dyDescent="0.25">
      <c r="C192" s="1291" t="str">
        <f t="shared" si="80"/>
        <v/>
      </c>
      <c r="D192" s="1318" t="str">
        <f t="shared" si="81"/>
        <v/>
      </c>
      <c r="E192" s="1326"/>
      <c r="F192" s="1327" t="str">
        <f>IF($E$30="Enter Duration (wks)","",IF($Y70="Enter Hrs/Wk","",IF($E$30&gt;='FORMULA REFS'!A$1,$Y70,"")))</f>
        <v/>
      </c>
      <c r="G192" s="1328"/>
      <c r="H192" s="1570"/>
      <c r="I192" s="1329" t="str">
        <f>IF($E$30="Enter Duration (wks)","",IF($Y70="Enter Hrs/Wk","",IF($E$30&gt;='FORMULA REFS'!B$1,$Y70,"")))</f>
        <v/>
      </c>
      <c r="J192" s="1323"/>
      <c r="K192" s="1286" t="str">
        <f>IF($E$30="Enter Duration (wks)","",IF($Y70="Enter Hrs/Wk","",IF($E$30&gt;='FORMULA REFS'!C$1,$Y70,"")))</f>
        <v/>
      </c>
      <c r="L192" s="882" t="str">
        <f>IF($E$30="Enter Duration (wks)","",IF($Y70="Enter Hrs/Wk","",IF($E$30&gt;='FORMULA REFS'!D$1,$Y70,"")))</f>
        <v/>
      </c>
      <c r="M192" s="882" t="str">
        <f>IF($E$30="Enter Duration (wks)","",IF($Y70="Enter Hrs/Wk","",IF($E$30&gt;='FORMULA REFS'!E$1,$Y70,"")))</f>
        <v/>
      </c>
      <c r="N192" s="882" t="str">
        <f>IF($E$30="Enter Duration (wks)","",IF($Y70="Enter Hrs/Wk","",IF($E$30&gt;='FORMULA REFS'!F$1,$Y70,"")))</f>
        <v/>
      </c>
      <c r="O192" s="882" t="str">
        <f>IF($E$30="Enter Duration (wks)","",IF($Y70="Enter Hrs/Wk","",IF($E$30&gt;='FORMULA REFS'!G$1,$Y70,"")))</f>
        <v/>
      </c>
      <c r="P192" s="882" t="str">
        <f>IF($E$30="Enter Duration (wks)","",IF($Y70="Enter Hrs/Wk","",IF($E$30&gt;='FORMULA REFS'!H$1,$Y70,"")))</f>
        <v/>
      </c>
      <c r="Q192" s="882" t="str">
        <f>IF($E$30="Enter Duration (wks)","",IF($Y70="Enter Hrs/Wk","",IF($E$30&gt;='FORMULA REFS'!I$1,$Y70,"")))</f>
        <v/>
      </c>
      <c r="R192" s="882" t="str">
        <f>IF($E$30="Enter Duration (wks)","",IF($Y70="Enter Hrs/Wk","",IF($E$30&gt;='FORMULA REFS'!J$1,$Y70,"")))</f>
        <v/>
      </c>
      <c r="S192" s="882" t="str">
        <f>IF($E$30="Enter Duration (wks)","",IF($Y70="Enter Hrs/Wk","",IF($E$30&gt;='FORMULA REFS'!K$1,$Y70,"")))</f>
        <v/>
      </c>
      <c r="T192" s="1323" t="str">
        <f>IF($E$30="Enter Duration (wks)","",IF($Y70="Enter Hrs/Wk","",IF($E$30&gt;='FORMULA REFS'!L$1,$Y70,"")))</f>
        <v/>
      </c>
      <c r="U192" s="882" t="str">
        <f>IF($E$30="Enter Duration (wks)","",IF($Y70="Enter Hrs/Wk","",IF($E$30&gt;='FORMULA REFS'!M$1,$Y70,"")))</f>
        <v/>
      </c>
      <c r="V192" s="882"/>
      <c r="W192" s="882"/>
      <c r="X192" s="1285"/>
      <c r="Y192" s="1285" t="str">
        <f>IF($E$30="Enter Duration (wks)","",IF($Y70="Enter Hrs/Wk","",IF($E$30&gt;='FORMULA REFS'!N$1,$Y70,"")))</f>
        <v/>
      </c>
      <c r="Z192" s="1343" t="str">
        <f>IF($E$30="Enter Duration (wks)","",IF($Y70="Enter Hrs/Wk","",IF($E$30&gt;='FORMULA REFS'!O$1,$Y70,"")))</f>
        <v/>
      </c>
      <c r="AA192" s="882" t="str">
        <f>IF($E$30="Enter Duration (wks)","",IF($Y70="Enter Hrs/Wk","",IF($E$30&gt;='FORMULA REFS'!P$1,$Y70,"")))</f>
        <v/>
      </c>
      <c r="AB192" s="882" t="str">
        <f>IF($E$30="Enter Duration (wks)","",IF($Y70="Enter Hrs/Wk","",IF($E$30&gt;='FORMULA REFS'!Q$1,$Y70,"")))</f>
        <v/>
      </c>
      <c r="AC192" s="882"/>
      <c r="AD192" s="882"/>
      <c r="AE192" s="882"/>
      <c r="AF192" s="882"/>
      <c r="AG192" s="1286" t="str">
        <f>IF($E$30="Enter Duration (wks)","",IF($Y70="Enter Hrs/Wk","",IF($E$30&gt;='FORMULA REFS'!R$1,$Y70,"")))</f>
        <v/>
      </c>
      <c r="AH192" s="1286" t="str">
        <f>IF($E$30="Enter Duration (wks)","",IF($Y70="Enter Hrs/Wk","",IF($E$30&gt;='FORMULA REFS'!S$1,$Y70,"")))</f>
        <v/>
      </c>
      <c r="AI192" s="1286" t="str">
        <f>IF($E$30="Enter Duration (wks)","",IF($Y70="Enter Hrs/Wk","",IF($E$30&gt;='FORMULA REFS'!T$1,$Y70,"")))</f>
        <v/>
      </c>
      <c r="AJ192" s="1286" t="str">
        <f>IF($E$30="Enter Duration (wks)","",IF($Y70="Enter Hrs/Wk","",IF($E$30&gt;='FORMULA REFS'!U$1,$Y70,"")))</f>
        <v/>
      </c>
      <c r="AK192" s="1286" t="str">
        <f>IF($E$30="Enter Duration (wks)","",IF($Y70="Enter Hrs/Wk","",IF($E$30&gt;='FORMULA REFS'!V$1,$Y70,"")))</f>
        <v/>
      </c>
      <c r="AL192" s="1286" t="str">
        <f>IF($E$30="Enter Duration (wks)","",IF($Y70="Enter Hrs/Wk","",IF($E$30&gt;='FORMULA REFS'!W$1,$Y70,"")))</f>
        <v/>
      </c>
      <c r="AM192" s="1286" t="str">
        <f>IF($E$30="Enter Duration (wks)","",IF($Y70="Enter Hrs/Wk","",IF($E$30&gt;='FORMULA REFS'!X$1,$Y70,"")))</f>
        <v/>
      </c>
      <c r="AN192" s="1286" t="str">
        <f>IF($E$30="Enter Duration (wks)","",IF($Y70="Enter Hrs/Wk","",IF($E$30&gt;='FORMULA REFS'!Y$1,$Y70,"")))</f>
        <v/>
      </c>
      <c r="AO192" s="1286" t="str">
        <f>IF($E$30="Enter Duration (wks)","",IF($Y70="Enter Hrs/Wk","",IF($E$30&gt;='FORMULA REFS'!Z$1,$Y70,"")))</f>
        <v/>
      </c>
      <c r="AP192" s="1286" t="str">
        <f>IF($E$30="Enter Duration (wks)","",IF($Y70="Enter Hrs/Wk","",IF($E$30&gt;='FORMULA REFS'!AA$1,$Y70,"")))</f>
        <v/>
      </c>
      <c r="AQ192" s="1286" t="str">
        <f>IF($E$30="Enter Duration (wks)","",IF($Y70="Enter Hrs/Wk","",IF($E$30&gt;='FORMULA REFS'!AB$1,$Y70,"")))</f>
        <v/>
      </c>
      <c r="AR192" s="1286" t="str">
        <f>IF($E$30="Enter Duration (wks)","",IF($Y70="Enter Hrs/Wk","",IF($E$30&gt;='FORMULA REFS'!AC$1,$Y70,"")))</f>
        <v/>
      </c>
      <c r="AS192" s="1286" t="str">
        <f>IF($E$30="Enter Duration (wks)","",IF($Y70="Enter Hrs/Wk","",IF($E$30&gt;='FORMULA REFS'!AD$1,$Y70,"")))</f>
        <v/>
      </c>
      <c r="AT192" s="1286" t="str">
        <f>IF($E$30="Enter Duration (wks)","",IF($Y70="Enter Hrs/Wk","",IF($E$30&gt;='FORMULA REFS'!AE$1,$Y70,"")))</f>
        <v/>
      </c>
      <c r="AU192" s="1286" t="str">
        <f>IF($E$30="Enter Duration (wks)","",IF($Y70="Enter Hrs/Wk","",IF($E$30&gt;='FORMULA REFS'!AF$1,$Y70,"")))</f>
        <v/>
      </c>
      <c r="AV192" s="1286" t="str">
        <f>IF($E$30="Enter Duration (wks)","",IF($Y70="Enter Hrs/Wk","",IF($E$30&gt;='FORMULA REFS'!AG$1,$Y70,"")))</f>
        <v/>
      </c>
      <c r="AW192" s="1286" t="str">
        <f>IF($E$30="Enter Duration (wks)","",IF($Y70="Enter Hrs/Wk","",IF($E$30&gt;='FORMULA REFS'!AH$1,$Y70,"")))</f>
        <v/>
      </c>
      <c r="AX192" s="1286" t="str">
        <f>IF($E$30="Enter Duration (wks)","",IF($Y70="Enter Hrs/Wk","",IF($E$30&gt;='FORMULA REFS'!AI$1,$Y70,"")))</f>
        <v/>
      </c>
      <c r="AY192" s="1286" t="str">
        <f>IF($E$30="Enter Duration (wks)","",IF($Y70="Enter Hrs/Wk","",IF($E$30&gt;='FORMULA REFS'!AJ$1,$Y70,"")))</f>
        <v/>
      </c>
      <c r="AZ192" s="1286" t="str">
        <f>IF($E$30="Enter Duration (wks)","",IF($Y70="Enter Hrs/Wk","",IF($E$30&gt;='FORMULA REFS'!AK$1,$Y70,"")))</f>
        <v/>
      </c>
      <c r="BA192" s="1286" t="str">
        <f>IF($E$30="Enter Duration (wks)","",IF($Y70="Enter Hrs/Wk","",IF($E$30&gt;='FORMULA REFS'!AL$1,$Y70,"")))</f>
        <v/>
      </c>
      <c r="BB192" s="1286" t="str">
        <f>IF($E$30="Enter Duration (wks)","",IF($Y70="Enter Hrs/Wk","",IF($E$30&gt;='FORMULA REFS'!AM$1,$Y70,"")))</f>
        <v/>
      </c>
      <c r="BC192" s="1286" t="str">
        <f>IF($E$30="Enter Duration (wks)","",IF($Y70="Enter Hrs/Wk","",IF($E$30&gt;='FORMULA REFS'!AN$1,$Y70,"")))</f>
        <v/>
      </c>
      <c r="BD192" s="1286" t="str">
        <f>IF($E$30="Enter Duration (wks)","",IF($Y70="Enter Hrs/Wk","",IF($E$30&gt;='FORMULA REFS'!AO$1,$Y70,"")))</f>
        <v/>
      </c>
      <c r="BE192" s="1286" t="str">
        <f>IF($E$30="Enter Duration (wks)","",IF($Y70="Enter Hrs/Wk","",IF($E$30&gt;='FORMULA REFS'!AP$1,$Y70,"")))</f>
        <v/>
      </c>
      <c r="BF192" s="1286" t="str">
        <f>IF($E$30="Enter Duration (wks)","",IF($Y70="Enter Hrs/Wk","",IF($E$30&gt;='FORMULA REFS'!AQ$1,$Y70,"")))</f>
        <v/>
      </c>
      <c r="BG192" s="1286" t="str">
        <f>IF($E$30="Enter Duration (wks)","",IF($Y70="Enter Hrs/Wk","",IF($E$30&gt;='FORMULA REFS'!AR$1,$Y70,"")))</f>
        <v/>
      </c>
      <c r="BH192" s="1286" t="str">
        <f>IF($E$30="Enter Duration (wks)","",IF($Y70="Enter Hrs/Wk","",IF($E$30&gt;='FORMULA REFS'!AS$1,$Y70,"")))</f>
        <v/>
      </c>
      <c r="BI192" s="1286" t="str">
        <f>IF($E$30="Enter Duration (wks)","",IF($Y70="Enter Hrs/Wk","",IF($E$30&gt;='FORMULA REFS'!AT$1,$Y70,"")))</f>
        <v/>
      </c>
      <c r="BJ192" s="1286" t="str">
        <f>IF($E$30="Enter Duration (wks)","",IF($Y70="Enter Hrs/Wk","",IF($E$30&gt;='FORMULA REFS'!AU$1,$Y70,"")))</f>
        <v/>
      </c>
      <c r="BK192" s="1286" t="str">
        <f>IF($E$30="Enter Duration (wks)","",IF($Y70="Enter Hrs/Wk","",IF($E$30&gt;='FORMULA REFS'!AV$1,$Y70,"")))</f>
        <v/>
      </c>
      <c r="BL192" s="1286" t="str">
        <f>IF($E$30="Enter Duration (wks)","",IF($Y70="Enter Hrs/Wk","",IF($E$30&gt;='FORMULA REFS'!AW$1,$Y70,"")))</f>
        <v/>
      </c>
      <c r="BM192" s="1286" t="str">
        <f>IF($E$30="Enter Duration (wks)","",IF($Y70="Enter Hrs/Wk","",IF($E$30&gt;='FORMULA REFS'!AX$1,$Y70,"")))</f>
        <v/>
      </c>
      <c r="BN192" s="1286" t="str">
        <f>IF($E$30="Enter Duration (wks)","",IF($Y70="Enter Hrs/Wk","",IF($E$30&gt;='FORMULA REFS'!AY$1,$Y70,"")))</f>
        <v/>
      </c>
      <c r="BO192" s="1286" t="str">
        <f>IF($E$30="Enter Duration (wks)","",IF($Y70="Enter Hrs/Wk","",IF($E$30&gt;='FORMULA REFS'!AZ$1,$Y70,"")))</f>
        <v/>
      </c>
      <c r="BP192" s="523"/>
      <c r="BQ192" s="523"/>
      <c r="BR192" s="523"/>
      <c r="BS192" s="523"/>
      <c r="BT192" s="523"/>
      <c r="BU192" s="523"/>
      <c r="BV192" s="523"/>
      <c r="BW192" s="523"/>
      <c r="BX192" s="523"/>
      <c r="BY192" s="523"/>
      <c r="BZ192" s="523"/>
      <c r="CA192" s="523"/>
      <c r="CB192" s="523"/>
      <c r="CC192" s="523"/>
      <c r="CD192" s="523"/>
      <c r="CE192" s="523"/>
      <c r="CF192" s="523"/>
      <c r="CG192" s="523"/>
      <c r="CH192" s="523"/>
      <c r="CI192" s="523"/>
      <c r="CJ192" s="523"/>
      <c r="CK192" s="523"/>
      <c r="CL192" s="413"/>
      <c r="CM192" s="413"/>
      <c r="CN192" s="413"/>
      <c r="CO192" s="413"/>
      <c r="CP192" s="413"/>
      <c r="CQ192" s="413"/>
    </row>
    <row r="193" spans="3:95" x14ac:dyDescent="0.25">
      <c r="C193" s="1291" t="str">
        <f t="shared" si="80"/>
        <v/>
      </c>
      <c r="D193" s="1318" t="str">
        <f t="shared" si="81"/>
        <v/>
      </c>
      <c r="E193" s="1326"/>
      <c r="F193" s="1327" t="str">
        <f>IF($E$30="Enter Duration (wks)","",IF($Y71="Enter Hrs/Wk","",IF($E$30&gt;='FORMULA REFS'!A$1,$Y71,"")))</f>
        <v/>
      </c>
      <c r="G193" s="1328"/>
      <c r="H193" s="1570"/>
      <c r="I193" s="1329" t="str">
        <f>IF($E$30="Enter Duration (wks)","",IF($Y71="Enter Hrs/Wk","",IF($E$30&gt;='FORMULA REFS'!B$1,$Y71,"")))</f>
        <v/>
      </c>
      <c r="J193" s="1323"/>
      <c r="K193" s="1286" t="str">
        <f>IF($E$30="Enter Duration (wks)","",IF($Y71="Enter Hrs/Wk","",IF($E$30&gt;='FORMULA REFS'!C$1,$Y71,"")))</f>
        <v/>
      </c>
      <c r="L193" s="882" t="str">
        <f>IF($E$30="Enter Duration (wks)","",IF($Y71="Enter Hrs/Wk","",IF($E$30&gt;='FORMULA REFS'!D$1,$Y71,"")))</f>
        <v/>
      </c>
      <c r="M193" s="882" t="str">
        <f>IF($E$30="Enter Duration (wks)","",IF($Y71="Enter Hrs/Wk","",IF($E$30&gt;='FORMULA REFS'!E$1,$Y71,"")))</f>
        <v/>
      </c>
      <c r="N193" s="882" t="str">
        <f>IF($E$30="Enter Duration (wks)","",IF($Y71="Enter Hrs/Wk","",IF($E$30&gt;='FORMULA REFS'!F$1,$Y71,"")))</f>
        <v/>
      </c>
      <c r="O193" s="882" t="str">
        <f>IF($E$30="Enter Duration (wks)","",IF($Y71="Enter Hrs/Wk","",IF($E$30&gt;='FORMULA REFS'!G$1,$Y71,"")))</f>
        <v/>
      </c>
      <c r="P193" s="882" t="str">
        <f>IF($E$30="Enter Duration (wks)","",IF($Y71="Enter Hrs/Wk","",IF($E$30&gt;='FORMULA REFS'!H$1,$Y71,"")))</f>
        <v/>
      </c>
      <c r="Q193" s="882" t="str">
        <f>IF($E$30="Enter Duration (wks)","",IF($Y71="Enter Hrs/Wk","",IF($E$30&gt;='FORMULA REFS'!I$1,$Y71,"")))</f>
        <v/>
      </c>
      <c r="R193" s="882" t="str">
        <f>IF($E$30="Enter Duration (wks)","",IF($Y71="Enter Hrs/Wk","",IF($E$30&gt;='FORMULA REFS'!J$1,$Y71,"")))</f>
        <v/>
      </c>
      <c r="S193" s="882" t="str">
        <f>IF($E$30="Enter Duration (wks)","",IF($Y71="Enter Hrs/Wk","",IF($E$30&gt;='FORMULA REFS'!K$1,$Y71,"")))</f>
        <v/>
      </c>
      <c r="T193" s="1323" t="str">
        <f>IF($E$30="Enter Duration (wks)","",IF($Y71="Enter Hrs/Wk","",IF($E$30&gt;='FORMULA REFS'!L$1,$Y71,"")))</f>
        <v/>
      </c>
      <c r="U193" s="882" t="str">
        <f>IF($E$30="Enter Duration (wks)","",IF($Y71="Enter Hrs/Wk","",IF($E$30&gt;='FORMULA REFS'!M$1,$Y71,"")))</f>
        <v/>
      </c>
      <c r="V193" s="882"/>
      <c r="W193" s="882"/>
      <c r="X193" s="1285"/>
      <c r="Y193" s="1285" t="str">
        <f>IF($E$30="Enter Duration (wks)","",IF($Y71="Enter Hrs/Wk","",IF($E$30&gt;='FORMULA REFS'!N$1,$Y71,"")))</f>
        <v/>
      </c>
      <c r="Z193" s="1343" t="str">
        <f>IF($E$30="Enter Duration (wks)","",IF($Y71="Enter Hrs/Wk","",IF($E$30&gt;='FORMULA REFS'!O$1,$Y71,"")))</f>
        <v/>
      </c>
      <c r="AA193" s="882" t="str">
        <f>IF($E$30="Enter Duration (wks)","",IF($Y71="Enter Hrs/Wk","",IF($E$30&gt;='FORMULA REFS'!P$1,$Y71,"")))</f>
        <v/>
      </c>
      <c r="AB193" s="882" t="str">
        <f>IF($E$30="Enter Duration (wks)","",IF($Y71="Enter Hrs/Wk","",IF($E$30&gt;='FORMULA REFS'!Q$1,$Y71,"")))</f>
        <v/>
      </c>
      <c r="AC193" s="882"/>
      <c r="AD193" s="882"/>
      <c r="AE193" s="882"/>
      <c r="AF193" s="882"/>
      <c r="AG193" s="1286" t="str">
        <f>IF($E$30="Enter Duration (wks)","",IF($Y71="Enter Hrs/Wk","",IF($E$30&gt;='FORMULA REFS'!R$1,$Y71,"")))</f>
        <v/>
      </c>
      <c r="AH193" s="1286" t="str">
        <f>IF($E$30="Enter Duration (wks)","",IF($Y71="Enter Hrs/Wk","",IF($E$30&gt;='FORMULA REFS'!S$1,$Y71,"")))</f>
        <v/>
      </c>
      <c r="AI193" s="1286" t="str">
        <f>IF($E$30="Enter Duration (wks)","",IF($Y71="Enter Hrs/Wk","",IF($E$30&gt;='FORMULA REFS'!T$1,$Y71,"")))</f>
        <v/>
      </c>
      <c r="AJ193" s="1286" t="str">
        <f>IF($E$30="Enter Duration (wks)","",IF($Y71="Enter Hrs/Wk","",IF($E$30&gt;='FORMULA REFS'!U$1,$Y71,"")))</f>
        <v/>
      </c>
      <c r="AK193" s="1286" t="str">
        <f>IF($E$30="Enter Duration (wks)","",IF($Y71="Enter Hrs/Wk","",IF($E$30&gt;='FORMULA REFS'!V$1,$Y71,"")))</f>
        <v/>
      </c>
      <c r="AL193" s="1286" t="str">
        <f>IF($E$30="Enter Duration (wks)","",IF($Y71="Enter Hrs/Wk","",IF($E$30&gt;='FORMULA REFS'!W$1,$Y71,"")))</f>
        <v/>
      </c>
      <c r="AM193" s="1286" t="str">
        <f>IF($E$30="Enter Duration (wks)","",IF($Y71="Enter Hrs/Wk","",IF($E$30&gt;='FORMULA REFS'!X$1,$Y71,"")))</f>
        <v/>
      </c>
      <c r="AN193" s="1286" t="str">
        <f>IF($E$30="Enter Duration (wks)","",IF($Y71="Enter Hrs/Wk","",IF($E$30&gt;='FORMULA REFS'!Y$1,$Y71,"")))</f>
        <v/>
      </c>
      <c r="AO193" s="1286" t="str">
        <f>IF($E$30="Enter Duration (wks)","",IF($Y71="Enter Hrs/Wk","",IF($E$30&gt;='FORMULA REFS'!Z$1,$Y71,"")))</f>
        <v/>
      </c>
      <c r="AP193" s="1286" t="str">
        <f>IF($E$30="Enter Duration (wks)","",IF($Y71="Enter Hrs/Wk","",IF($E$30&gt;='FORMULA REFS'!AA$1,$Y71,"")))</f>
        <v/>
      </c>
      <c r="AQ193" s="1286" t="str">
        <f>IF($E$30="Enter Duration (wks)","",IF($Y71="Enter Hrs/Wk","",IF($E$30&gt;='FORMULA REFS'!AB$1,$Y71,"")))</f>
        <v/>
      </c>
      <c r="AR193" s="1286" t="str">
        <f>IF($E$30="Enter Duration (wks)","",IF($Y71="Enter Hrs/Wk","",IF($E$30&gt;='FORMULA REFS'!AC$1,$Y71,"")))</f>
        <v/>
      </c>
      <c r="AS193" s="1286" t="str">
        <f>IF($E$30="Enter Duration (wks)","",IF($Y71="Enter Hrs/Wk","",IF($E$30&gt;='FORMULA REFS'!AD$1,$Y71,"")))</f>
        <v/>
      </c>
      <c r="AT193" s="1286" t="str">
        <f>IF($E$30="Enter Duration (wks)","",IF($Y71="Enter Hrs/Wk","",IF($E$30&gt;='FORMULA REFS'!AE$1,$Y71,"")))</f>
        <v/>
      </c>
      <c r="AU193" s="1286" t="str">
        <f>IF($E$30="Enter Duration (wks)","",IF($Y71="Enter Hrs/Wk","",IF($E$30&gt;='FORMULA REFS'!AF$1,$Y71,"")))</f>
        <v/>
      </c>
      <c r="AV193" s="1286" t="str">
        <f>IF($E$30="Enter Duration (wks)","",IF($Y71="Enter Hrs/Wk","",IF($E$30&gt;='FORMULA REFS'!AG$1,$Y71,"")))</f>
        <v/>
      </c>
      <c r="AW193" s="1286" t="str">
        <f>IF($E$30="Enter Duration (wks)","",IF($Y71="Enter Hrs/Wk","",IF($E$30&gt;='FORMULA REFS'!AH$1,$Y71,"")))</f>
        <v/>
      </c>
      <c r="AX193" s="1286" t="str">
        <f>IF($E$30="Enter Duration (wks)","",IF($Y71="Enter Hrs/Wk","",IF($E$30&gt;='FORMULA REFS'!AI$1,$Y71,"")))</f>
        <v/>
      </c>
      <c r="AY193" s="1286" t="str">
        <f>IF($E$30="Enter Duration (wks)","",IF($Y71="Enter Hrs/Wk","",IF($E$30&gt;='FORMULA REFS'!AJ$1,$Y71,"")))</f>
        <v/>
      </c>
      <c r="AZ193" s="1286" t="str">
        <f>IF($E$30="Enter Duration (wks)","",IF($Y71="Enter Hrs/Wk","",IF($E$30&gt;='FORMULA REFS'!AK$1,$Y71,"")))</f>
        <v/>
      </c>
      <c r="BA193" s="1286" t="str">
        <f>IF($E$30="Enter Duration (wks)","",IF($Y71="Enter Hrs/Wk","",IF($E$30&gt;='FORMULA REFS'!AL$1,$Y71,"")))</f>
        <v/>
      </c>
      <c r="BB193" s="1286" t="str">
        <f>IF($E$30="Enter Duration (wks)","",IF($Y71="Enter Hrs/Wk","",IF($E$30&gt;='FORMULA REFS'!AM$1,$Y71,"")))</f>
        <v/>
      </c>
      <c r="BC193" s="1286" t="str">
        <f>IF($E$30="Enter Duration (wks)","",IF($Y71="Enter Hrs/Wk","",IF($E$30&gt;='FORMULA REFS'!AN$1,$Y71,"")))</f>
        <v/>
      </c>
      <c r="BD193" s="1286" t="str">
        <f>IF($E$30="Enter Duration (wks)","",IF($Y71="Enter Hrs/Wk","",IF($E$30&gt;='FORMULA REFS'!AO$1,$Y71,"")))</f>
        <v/>
      </c>
      <c r="BE193" s="1286" t="str">
        <f>IF($E$30="Enter Duration (wks)","",IF($Y71="Enter Hrs/Wk","",IF($E$30&gt;='FORMULA REFS'!AP$1,$Y71,"")))</f>
        <v/>
      </c>
      <c r="BF193" s="1286" t="str">
        <f>IF($E$30="Enter Duration (wks)","",IF($Y71="Enter Hrs/Wk","",IF($E$30&gt;='FORMULA REFS'!AQ$1,$Y71,"")))</f>
        <v/>
      </c>
      <c r="BG193" s="1286" t="str">
        <f>IF($E$30="Enter Duration (wks)","",IF($Y71="Enter Hrs/Wk","",IF($E$30&gt;='FORMULA REFS'!AR$1,$Y71,"")))</f>
        <v/>
      </c>
      <c r="BH193" s="1286" t="str">
        <f>IF($E$30="Enter Duration (wks)","",IF($Y71="Enter Hrs/Wk","",IF($E$30&gt;='FORMULA REFS'!AS$1,$Y71,"")))</f>
        <v/>
      </c>
      <c r="BI193" s="1286" t="str">
        <f>IF($E$30="Enter Duration (wks)","",IF($Y71="Enter Hrs/Wk","",IF($E$30&gt;='FORMULA REFS'!AT$1,$Y71,"")))</f>
        <v/>
      </c>
      <c r="BJ193" s="1286" t="str">
        <f>IF($E$30="Enter Duration (wks)","",IF($Y71="Enter Hrs/Wk","",IF($E$30&gt;='FORMULA REFS'!AU$1,$Y71,"")))</f>
        <v/>
      </c>
      <c r="BK193" s="1286" t="str">
        <f>IF($E$30="Enter Duration (wks)","",IF($Y71="Enter Hrs/Wk","",IF($E$30&gt;='FORMULA REFS'!AV$1,$Y71,"")))</f>
        <v/>
      </c>
      <c r="BL193" s="1286" t="str">
        <f>IF($E$30="Enter Duration (wks)","",IF($Y71="Enter Hrs/Wk","",IF($E$30&gt;='FORMULA REFS'!AW$1,$Y71,"")))</f>
        <v/>
      </c>
      <c r="BM193" s="1286" t="str">
        <f>IF($E$30="Enter Duration (wks)","",IF($Y71="Enter Hrs/Wk","",IF($E$30&gt;='FORMULA REFS'!AX$1,$Y71,"")))</f>
        <v/>
      </c>
      <c r="BN193" s="1286" t="str">
        <f>IF($E$30="Enter Duration (wks)","",IF($Y71="Enter Hrs/Wk","",IF($E$30&gt;='FORMULA REFS'!AY$1,$Y71,"")))</f>
        <v/>
      </c>
      <c r="BO193" s="1286" t="str">
        <f>IF($E$30="Enter Duration (wks)","",IF($Y71="Enter Hrs/Wk","",IF($E$30&gt;='FORMULA REFS'!AZ$1,$Y71,"")))</f>
        <v/>
      </c>
      <c r="BP193" s="523"/>
      <c r="BQ193" s="523"/>
      <c r="BR193" s="523"/>
      <c r="BS193" s="523"/>
      <c r="BT193" s="523"/>
      <c r="BU193" s="523"/>
      <c r="BV193" s="523"/>
      <c r="BW193" s="523"/>
      <c r="BX193" s="523"/>
      <c r="BY193" s="523"/>
      <c r="BZ193" s="523"/>
      <c r="CA193" s="523"/>
      <c r="CB193" s="523"/>
      <c r="CC193" s="523"/>
      <c r="CD193" s="523"/>
      <c r="CE193" s="523"/>
      <c r="CF193" s="523"/>
      <c r="CG193" s="523"/>
      <c r="CH193" s="523"/>
      <c r="CI193" s="523"/>
      <c r="CJ193" s="523"/>
      <c r="CK193" s="523"/>
      <c r="CL193" s="413"/>
      <c r="CM193" s="413"/>
      <c r="CN193" s="413"/>
      <c r="CO193" s="413"/>
      <c r="CP193" s="413"/>
      <c r="CQ193" s="413"/>
    </row>
    <row r="194" spans="3:95" x14ac:dyDescent="0.25">
      <c r="C194" s="1291" t="str">
        <f t="shared" si="80"/>
        <v/>
      </c>
      <c r="D194" s="1318" t="str">
        <f t="shared" si="81"/>
        <v/>
      </c>
      <c r="E194" s="1326"/>
      <c r="F194" s="1327" t="str">
        <f>IF($E$30="Enter Duration (wks)","",IF($Y72="Enter Hrs/Wk","",IF($E$30&gt;='FORMULA REFS'!A$1,$Y72,"")))</f>
        <v/>
      </c>
      <c r="G194" s="1328"/>
      <c r="H194" s="1570"/>
      <c r="I194" s="1329" t="str">
        <f>IF($E$30="Enter Duration (wks)","",IF($Y72="Enter Hrs/Wk","",IF($E$30&gt;='FORMULA REFS'!B$1,$Y72,"")))</f>
        <v/>
      </c>
      <c r="J194" s="1323"/>
      <c r="K194" s="1286" t="str">
        <f>IF($E$30="Enter Duration (wks)","",IF($Y72="Enter Hrs/Wk","",IF($E$30&gt;='FORMULA REFS'!C$1,$Y72,"")))</f>
        <v/>
      </c>
      <c r="L194" s="882" t="str">
        <f>IF($E$30="Enter Duration (wks)","",IF($Y72="Enter Hrs/Wk","",IF($E$30&gt;='FORMULA REFS'!D$1,$Y72,"")))</f>
        <v/>
      </c>
      <c r="M194" s="882" t="str">
        <f>IF($E$30="Enter Duration (wks)","",IF($Y72="Enter Hrs/Wk","",IF($E$30&gt;='FORMULA REFS'!E$1,$Y72,"")))</f>
        <v/>
      </c>
      <c r="N194" s="882" t="str">
        <f>IF($E$30="Enter Duration (wks)","",IF($Y72="Enter Hrs/Wk","",IF($E$30&gt;='FORMULA REFS'!F$1,$Y72,"")))</f>
        <v/>
      </c>
      <c r="O194" s="882" t="str">
        <f>IF($E$30="Enter Duration (wks)","",IF($Y72="Enter Hrs/Wk","",IF($E$30&gt;='FORMULA REFS'!G$1,$Y72,"")))</f>
        <v/>
      </c>
      <c r="P194" s="882" t="str">
        <f>IF($E$30="Enter Duration (wks)","",IF($Y72="Enter Hrs/Wk","",IF($E$30&gt;='FORMULA REFS'!H$1,$Y72,"")))</f>
        <v/>
      </c>
      <c r="Q194" s="882" t="str">
        <f>IF($E$30="Enter Duration (wks)","",IF($Y72="Enter Hrs/Wk","",IF($E$30&gt;='FORMULA REFS'!I$1,$Y72,"")))</f>
        <v/>
      </c>
      <c r="R194" s="882" t="str">
        <f>IF($E$30="Enter Duration (wks)","",IF($Y72="Enter Hrs/Wk","",IF($E$30&gt;='FORMULA REFS'!J$1,$Y72,"")))</f>
        <v/>
      </c>
      <c r="S194" s="882" t="str">
        <f>IF($E$30="Enter Duration (wks)","",IF($Y72="Enter Hrs/Wk","",IF($E$30&gt;='FORMULA REFS'!K$1,$Y72,"")))</f>
        <v/>
      </c>
      <c r="T194" s="1323" t="str">
        <f>IF($E$30="Enter Duration (wks)","",IF($Y72="Enter Hrs/Wk","",IF($E$30&gt;='FORMULA REFS'!L$1,$Y72,"")))</f>
        <v/>
      </c>
      <c r="U194" s="882" t="str">
        <f>IF($E$30="Enter Duration (wks)","",IF($Y72="Enter Hrs/Wk","",IF($E$30&gt;='FORMULA REFS'!M$1,$Y72,"")))</f>
        <v/>
      </c>
      <c r="V194" s="882"/>
      <c r="W194" s="882"/>
      <c r="X194" s="1285"/>
      <c r="Y194" s="1285" t="str">
        <f>IF($E$30="Enter Duration (wks)","",IF($Y72="Enter Hrs/Wk","",IF($E$30&gt;='FORMULA REFS'!N$1,$Y72,"")))</f>
        <v/>
      </c>
      <c r="Z194" s="1343" t="str">
        <f>IF($E$30="Enter Duration (wks)","",IF($Y72="Enter Hrs/Wk","",IF($E$30&gt;='FORMULA REFS'!O$1,$Y72,"")))</f>
        <v/>
      </c>
      <c r="AA194" s="882" t="str">
        <f>IF($E$30="Enter Duration (wks)","",IF($Y72="Enter Hrs/Wk","",IF($E$30&gt;='FORMULA REFS'!P$1,$Y72,"")))</f>
        <v/>
      </c>
      <c r="AB194" s="882" t="str">
        <f>IF($E$30="Enter Duration (wks)","",IF($Y72="Enter Hrs/Wk","",IF($E$30&gt;='FORMULA REFS'!Q$1,$Y72,"")))</f>
        <v/>
      </c>
      <c r="AC194" s="882"/>
      <c r="AD194" s="882"/>
      <c r="AE194" s="882"/>
      <c r="AF194" s="882"/>
      <c r="AG194" s="1286" t="str">
        <f>IF($E$30="Enter Duration (wks)","",IF($Y72="Enter Hrs/Wk","",IF($E$30&gt;='FORMULA REFS'!R$1,$Y72,"")))</f>
        <v/>
      </c>
      <c r="AH194" s="1286" t="str">
        <f>IF($E$30="Enter Duration (wks)","",IF($Y72="Enter Hrs/Wk","",IF($E$30&gt;='FORMULA REFS'!S$1,$Y72,"")))</f>
        <v/>
      </c>
      <c r="AI194" s="1286" t="str">
        <f>IF($E$30="Enter Duration (wks)","",IF($Y72="Enter Hrs/Wk","",IF($E$30&gt;='FORMULA REFS'!T$1,$Y72,"")))</f>
        <v/>
      </c>
      <c r="AJ194" s="1286" t="str">
        <f>IF($E$30="Enter Duration (wks)","",IF($Y72="Enter Hrs/Wk","",IF($E$30&gt;='FORMULA REFS'!U$1,$Y72,"")))</f>
        <v/>
      </c>
      <c r="AK194" s="1286" t="str">
        <f>IF($E$30="Enter Duration (wks)","",IF($Y72="Enter Hrs/Wk","",IF($E$30&gt;='FORMULA REFS'!V$1,$Y72,"")))</f>
        <v/>
      </c>
      <c r="AL194" s="1286" t="str">
        <f>IF($E$30="Enter Duration (wks)","",IF($Y72="Enter Hrs/Wk","",IF($E$30&gt;='FORMULA REFS'!W$1,$Y72,"")))</f>
        <v/>
      </c>
      <c r="AM194" s="1286" t="str">
        <f>IF($E$30="Enter Duration (wks)","",IF($Y72="Enter Hrs/Wk","",IF($E$30&gt;='FORMULA REFS'!X$1,$Y72,"")))</f>
        <v/>
      </c>
      <c r="AN194" s="1286" t="str">
        <f>IF($E$30="Enter Duration (wks)","",IF($Y72="Enter Hrs/Wk","",IF($E$30&gt;='FORMULA REFS'!Y$1,$Y72,"")))</f>
        <v/>
      </c>
      <c r="AO194" s="1286" t="str">
        <f>IF($E$30="Enter Duration (wks)","",IF($Y72="Enter Hrs/Wk","",IF($E$30&gt;='FORMULA REFS'!Z$1,$Y72,"")))</f>
        <v/>
      </c>
      <c r="AP194" s="1286" t="str">
        <f>IF($E$30="Enter Duration (wks)","",IF($Y72="Enter Hrs/Wk","",IF($E$30&gt;='FORMULA REFS'!AA$1,$Y72,"")))</f>
        <v/>
      </c>
      <c r="AQ194" s="1286" t="str">
        <f>IF($E$30="Enter Duration (wks)","",IF($Y72="Enter Hrs/Wk","",IF($E$30&gt;='FORMULA REFS'!AB$1,$Y72,"")))</f>
        <v/>
      </c>
      <c r="AR194" s="1286" t="str">
        <f>IF($E$30="Enter Duration (wks)","",IF($Y72="Enter Hrs/Wk","",IF($E$30&gt;='FORMULA REFS'!AC$1,$Y72,"")))</f>
        <v/>
      </c>
      <c r="AS194" s="1286" t="str">
        <f>IF($E$30="Enter Duration (wks)","",IF($Y72="Enter Hrs/Wk","",IF($E$30&gt;='FORMULA REFS'!AD$1,$Y72,"")))</f>
        <v/>
      </c>
      <c r="AT194" s="1286" t="str">
        <f>IF($E$30="Enter Duration (wks)","",IF($Y72="Enter Hrs/Wk","",IF($E$30&gt;='FORMULA REFS'!AE$1,$Y72,"")))</f>
        <v/>
      </c>
      <c r="AU194" s="1286" t="str">
        <f>IF($E$30="Enter Duration (wks)","",IF($Y72="Enter Hrs/Wk","",IF($E$30&gt;='FORMULA REFS'!AF$1,$Y72,"")))</f>
        <v/>
      </c>
      <c r="AV194" s="1286" t="str">
        <f>IF($E$30="Enter Duration (wks)","",IF($Y72="Enter Hrs/Wk","",IF($E$30&gt;='FORMULA REFS'!AG$1,$Y72,"")))</f>
        <v/>
      </c>
      <c r="AW194" s="1286" t="str">
        <f>IF($E$30="Enter Duration (wks)","",IF($Y72="Enter Hrs/Wk","",IF($E$30&gt;='FORMULA REFS'!AH$1,$Y72,"")))</f>
        <v/>
      </c>
      <c r="AX194" s="1286" t="str">
        <f>IF($E$30="Enter Duration (wks)","",IF($Y72="Enter Hrs/Wk","",IF($E$30&gt;='FORMULA REFS'!AI$1,$Y72,"")))</f>
        <v/>
      </c>
      <c r="AY194" s="1286" t="str">
        <f>IF($E$30="Enter Duration (wks)","",IF($Y72="Enter Hrs/Wk","",IF($E$30&gt;='FORMULA REFS'!AJ$1,$Y72,"")))</f>
        <v/>
      </c>
      <c r="AZ194" s="1286" t="str">
        <f>IF($E$30="Enter Duration (wks)","",IF($Y72="Enter Hrs/Wk","",IF($E$30&gt;='FORMULA REFS'!AK$1,$Y72,"")))</f>
        <v/>
      </c>
      <c r="BA194" s="1286" t="str">
        <f>IF($E$30="Enter Duration (wks)","",IF($Y72="Enter Hrs/Wk","",IF($E$30&gt;='FORMULA REFS'!AL$1,$Y72,"")))</f>
        <v/>
      </c>
      <c r="BB194" s="1286" t="str">
        <f>IF($E$30="Enter Duration (wks)","",IF($Y72="Enter Hrs/Wk","",IF($E$30&gt;='FORMULA REFS'!AM$1,$Y72,"")))</f>
        <v/>
      </c>
      <c r="BC194" s="1286" t="str">
        <f>IF($E$30="Enter Duration (wks)","",IF($Y72="Enter Hrs/Wk","",IF($E$30&gt;='FORMULA REFS'!AN$1,$Y72,"")))</f>
        <v/>
      </c>
      <c r="BD194" s="1286" t="str">
        <f>IF($E$30="Enter Duration (wks)","",IF($Y72="Enter Hrs/Wk","",IF($E$30&gt;='FORMULA REFS'!AO$1,$Y72,"")))</f>
        <v/>
      </c>
      <c r="BE194" s="1286" t="str">
        <f>IF($E$30="Enter Duration (wks)","",IF($Y72="Enter Hrs/Wk","",IF($E$30&gt;='FORMULA REFS'!AP$1,$Y72,"")))</f>
        <v/>
      </c>
      <c r="BF194" s="1286" t="str">
        <f>IF($E$30="Enter Duration (wks)","",IF($Y72="Enter Hrs/Wk","",IF($E$30&gt;='FORMULA REFS'!AQ$1,$Y72,"")))</f>
        <v/>
      </c>
      <c r="BG194" s="1286" t="str">
        <f>IF($E$30="Enter Duration (wks)","",IF($Y72="Enter Hrs/Wk","",IF($E$30&gt;='FORMULA REFS'!AR$1,$Y72,"")))</f>
        <v/>
      </c>
      <c r="BH194" s="1286" t="str">
        <f>IF($E$30="Enter Duration (wks)","",IF($Y72="Enter Hrs/Wk","",IF($E$30&gt;='FORMULA REFS'!AS$1,$Y72,"")))</f>
        <v/>
      </c>
      <c r="BI194" s="1286" t="str">
        <f>IF($E$30="Enter Duration (wks)","",IF($Y72="Enter Hrs/Wk","",IF($E$30&gt;='FORMULA REFS'!AT$1,$Y72,"")))</f>
        <v/>
      </c>
      <c r="BJ194" s="1286" t="str">
        <f>IF($E$30="Enter Duration (wks)","",IF($Y72="Enter Hrs/Wk","",IF($E$30&gt;='FORMULA REFS'!AU$1,$Y72,"")))</f>
        <v/>
      </c>
      <c r="BK194" s="1286" t="str">
        <f>IF($E$30="Enter Duration (wks)","",IF($Y72="Enter Hrs/Wk","",IF($E$30&gt;='FORMULA REFS'!AV$1,$Y72,"")))</f>
        <v/>
      </c>
      <c r="BL194" s="1286" t="str">
        <f>IF($E$30="Enter Duration (wks)","",IF($Y72="Enter Hrs/Wk","",IF($E$30&gt;='FORMULA REFS'!AW$1,$Y72,"")))</f>
        <v/>
      </c>
      <c r="BM194" s="1286" t="str">
        <f>IF($E$30="Enter Duration (wks)","",IF($Y72="Enter Hrs/Wk","",IF($E$30&gt;='FORMULA REFS'!AX$1,$Y72,"")))</f>
        <v/>
      </c>
      <c r="BN194" s="1286" t="str">
        <f>IF($E$30="Enter Duration (wks)","",IF($Y72="Enter Hrs/Wk","",IF($E$30&gt;='FORMULA REFS'!AY$1,$Y72,"")))</f>
        <v/>
      </c>
      <c r="BO194" s="1286" t="str">
        <f>IF($E$30="Enter Duration (wks)","",IF($Y72="Enter Hrs/Wk","",IF($E$30&gt;='FORMULA REFS'!AZ$1,$Y72,"")))</f>
        <v/>
      </c>
      <c r="BP194" s="523"/>
      <c r="BQ194" s="523"/>
      <c r="BR194" s="523"/>
      <c r="BS194" s="523"/>
      <c r="BT194" s="523"/>
      <c r="BU194" s="523"/>
      <c r="BV194" s="523"/>
      <c r="BW194" s="523"/>
      <c r="BX194" s="523"/>
      <c r="BY194" s="523"/>
      <c r="BZ194" s="523"/>
      <c r="CA194" s="523"/>
      <c r="CB194" s="523"/>
      <c r="CC194" s="523"/>
      <c r="CD194" s="523"/>
      <c r="CE194" s="523"/>
      <c r="CF194" s="523"/>
      <c r="CG194" s="523"/>
      <c r="CH194" s="523"/>
      <c r="CI194" s="523"/>
      <c r="CJ194" s="523"/>
      <c r="CK194" s="523"/>
      <c r="CL194" s="413"/>
      <c r="CM194" s="413"/>
      <c r="CN194" s="413"/>
      <c r="CO194" s="413"/>
      <c r="CP194" s="413"/>
      <c r="CQ194" s="413"/>
    </row>
    <row r="195" spans="3:95" ht="13.95" hidden="1" customHeight="1" outlineLevel="1" x14ac:dyDescent="0.25">
      <c r="C195" s="1291" t="str">
        <f t="shared" si="80"/>
        <v/>
      </c>
      <c r="D195" s="1318" t="str">
        <f t="shared" si="81"/>
        <v/>
      </c>
      <c r="E195" s="1326"/>
      <c r="F195" s="1327" t="str">
        <f>IF($E$30="Enter Duration (wks)","",IF($Y73="Enter Hrs/Wk","",IF($E$30&gt;='FORMULA REFS'!A$1,$Y73,"")))</f>
        <v/>
      </c>
      <c r="G195" s="1328"/>
      <c r="H195" s="1570"/>
      <c r="I195" s="1329" t="str">
        <f>IF($E$30="Enter Duration (wks)","",IF($Y73="Enter Hrs/Wk","",IF($E$30&gt;='FORMULA REFS'!B$1,$Y73,"")))</f>
        <v/>
      </c>
      <c r="J195" s="1323"/>
      <c r="K195" s="1286" t="str">
        <f>IF($E$30="Enter Duration (wks)","",IF($Y73="Enter Hrs/Wk","",IF($E$30&gt;='FORMULA REFS'!C$1,$Y73,"")))</f>
        <v/>
      </c>
      <c r="L195" s="882" t="str">
        <f>IF($E$30="Enter Duration (wks)","",IF($Y73="Enter Hrs/Wk","",IF($E$30&gt;='FORMULA REFS'!D$1,$Y73,"")))</f>
        <v/>
      </c>
      <c r="M195" s="882" t="str">
        <f>IF($E$30="Enter Duration (wks)","",IF($Y73="Enter Hrs/Wk","",IF($E$30&gt;='FORMULA REFS'!E$1,$Y73,"")))</f>
        <v/>
      </c>
      <c r="N195" s="882" t="str">
        <f>IF($E$30="Enter Duration (wks)","",IF($Y73="Enter Hrs/Wk","",IF($E$30&gt;='FORMULA REFS'!F$1,$Y73,"")))</f>
        <v/>
      </c>
      <c r="O195" s="882" t="str">
        <f>IF($E$30="Enter Duration (wks)","",IF($Y73="Enter Hrs/Wk","",IF($E$30&gt;='FORMULA REFS'!G$1,$Y73,"")))</f>
        <v/>
      </c>
      <c r="P195" s="882" t="str">
        <f>IF($E$30="Enter Duration (wks)","",IF($Y73="Enter Hrs/Wk","",IF($E$30&gt;='FORMULA REFS'!H$1,$Y73,"")))</f>
        <v/>
      </c>
      <c r="Q195" s="882" t="str">
        <f>IF($E$30="Enter Duration (wks)","",IF($Y73="Enter Hrs/Wk","",IF($E$30&gt;='FORMULA REFS'!I$1,$Y73,"")))</f>
        <v/>
      </c>
      <c r="R195" s="882" t="str">
        <f>IF($E$30="Enter Duration (wks)","",IF($Y73="Enter Hrs/Wk","",IF($E$30&gt;='FORMULA REFS'!J$1,$Y73,"")))</f>
        <v/>
      </c>
      <c r="S195" s="882" t="str">
        <f>IF($E$30="Enter Duration (wks)","",IF($Y73="Enter Hrs/Wk","",IF($E$30&gt;='FORMULA REFS'!K$1,$Y73,"")))</f>
        <v/>
      </c>
      <c r="T195" s="1323" t="str">
        <f>IF($E$30="Enter Duration (wks)","",IF($Y73="Enter Hrs/Wk","",IF($E$30&gt;='FORMULA REFS'!L$1,$Y73,"")))</f>
        <v/>
      </c>
      <c r="U195" s="882" t="str">
        <f>IF($E$30="Enter Duration (wks)","",IF($Y73="Enter Hrs/Wk","",IF($E$30&gt;='FORMULA REFS'!M$1,$Y73,"")))</f>
        <v/>
      </c>
      <c r="V195" s="882"/>
      <c r="W195" s="882"/>
      <c r="X195" s="1285"/>
      <c r="Y195" s="1285" t="str">
        <f>IF($E$30="Enter Duration (wks)","",IF($Y73="Enter Hrs/Wk","",IF($E$30&gt;='FORMULA REFS'!N$1,$Y73,"")))</f>
        <v/>
      </c>
      <c r="Z195" s="1343" t="str">
        <f>IF($E$30="Enter Duration (wks)","",IF($Y73="Enter Hrs/Wk","",IF($E$30&gt;='FORMULA REFS'!O$1,$Y73,"")))</f>
        <v/>
      </c>
      <c r="AA195" s="882" t="str">
        <f>IF($E$30="Enter Duration (wks)","",IF($Y73="Enter Hrs/Wk","",IF($E$30&gt;='FORMULA REFS'!P$1,$Y73,"")))</f>
        <v/>
      </c>
      <c r="AB195" s="882" t="str">
        <f>IF($E$30="Enter Duration (wks)","",IF($Y73="Enter Hrs/Wk","",IF($E$30&gt;='FORMULA REFS'!Q$1,$Y73,"")))</f>
        <v/>
      </c>
      <c r="AC195" s="882"/>
      <c r="AD195" s="882"/>
      <c r="AE195" s="882"/>
      <c r="AF195" s="882"/>
      <c r="AG195" s="1286" t="str">
        <f>IF($E$30="Enter Duration (wks)","",IF($Y73="Enter Hrs/Wk","",IF($E$30&gt;='FORMULA REFS'!R$1,$Y73,"")))</f>
        <v/>
      </c>
      <c r="AH195" s="1286" t="str">
        <f>IF($E$30="Enter Duration (wks)","",IF($Y73="Enter Hrs/Wk","",IF($E$30&gt;='FORMULA REFS'!S$1,$Y73,"")))</f>
        <v/>
      </c>
      <c r="AI195" s="1286" t="str">
        <f>IF($E$30="Enter Duration (wks)","",IF($Y73="Enter Hrs/Wk","",IF($E$30&gt;='FORMULA REFS'!T$1,$Y73,"")))</f>
        <v/>
      </c>
      <c r="AJ195" s="1286" t="str">
        <f>IF($E$30="Enter Duration (wks)","",IF($Y73="Enter Hrs/Wk","",IF($E$30&gt;='FORMULA REFS'!U$1,$Y73,"")))</f>
        <v/>
      </c>
      <c r="AK195" s="1286" t="str">
        <f>IF($E$30="Enter Duration (wks)","",IF($Y73="Enter Hrs/Wk","",IF($E$30&gt;='FORMULA REFS'!V$1,$Y73,"")))</f>
        <v/>
      </c>
      <c r="AL195" s="1286" t="str">
        <f>IF($E$30="Enter Duration (wks)","",IF($Y73="Enter Hrs/Wk","",IF($E$30&gt;='FORMULA REFS'!W$1,$Y73,"")))</f>
        <v/>
      </c>
      <c r="AM195" s="1286" t="str">
        <f>IF($E$30="Enter Duration (wks)","",IF($Y73="Enter Hrs/Wk","",IF($E$30&gt;='FORMULA REFS'!X$1,$Y73,"")))</f>
        <v/>
      </c>
      <c r="AN195" s="1286" t="str">
        <f>IF($E$30="Enter Duration (wks)","",IF($Y73="Enter Hrs/Wk","",IF($E$30&gt;='FORMULA REFS'!Y$1,$Y73,"")))</f>
        <v/>
      </c>
      <c r="AO195" s="1286" t="str">
        <f>IF($E$30="Enter Duration (wks)","",IF($Y73="Enter Hrs/Wk","",IF($E$30&gt;='FORMULA REFS'!Z$1,$Y73,"")))</f>
        <v/>
      </c>
      <c r="AP195" s="1286" t="str">
        <f>IF($E$30="Enter Duration (wks)","",IF($Y73="Enter Hrs/Wk","",IF($E$30&gt;='FORMULA REFS'!AA$1,$Y73,"")))</f>
        <v/>
      </c>
      <c r="AQ195" s="1286" t="str">
        <f>IF($E$30="Enter Duration (wks)","",IF($Y73="Enter Hrs/Wk","",IF($E$30&gt;='FORMULA REFS'!AB$1,$Y73,"")))</f>
        <v/>
      </c>
      <c r="AR195" s="1286" t="str">
        <f>IF($E$30="Enter Duration (wks)","",IF($Y73="Enter Hrs/Wk","",IF($E$30&gt;='FORMULA REFS'!AC$1,$Y73,"")))</f>
        <v/>
      </c>
      <c r="AS195" s="1286" t="str">
        <f>IF($E$30="Enter Duration (wks)","",IF($Y73="Enter Hrs/Wk","",IF($E$30&gt;='FORMULA REFS'!AD$1,$Y73,"")))</f>
        <v/>
      </c>
      <c r="AT195" s="1286" t="str">
        <f>IF($E$30="Enter Duration (wks)","",IF($Y73="Enter Hrs/Wk","",IF($E$30&gt;='FORMULA REFS'!AE$1,$Y73,"")))</f>
        <v/>
      </c>
      <c r="AU195" s="1286" t="str">
        <f>IF($E$30="Enter Duration (wks)","",IF($Y73="Enter Hrs/Wk","",IF($E$30&gt;='FORMULA REFS'!AF$1,$Y73,"")))</f>
        <v/>
      </c>
      <c r="AV195" s="1286" t="str">
        <f>IF($E$30="Enter Duration (wks)","",IF($Y73="Enter Hrs/Wk","",IF($E$30&gt;='FORMULA REFS'!AG$1,$Y73,"")))</f>
        <v/>
      </c>
      <c r="AW195" s="1286" t="str">
        <f>IF($E$30="Enter Duration (wks)","",IF($Y73="Enter Hrs/Wk","",IF($E$30&gt;='FORMULA REFS'!AH$1,$Y73,"")))</f>
        <v/>
      </c>
      <c r="AX195" s="1286" t="str">
        <f>IF($E$30="Enter Duration (wks)","",IF($Y73="Enter Hrs/Wk","",IF($E$30&gt;='FORMULA REFS'!AI$1,$Y73,"")))</f>
        <v/>
      </c>
      <c r="AY195" s="1286" t="str">
        <f>IF($E$30="Enter Duration (wks)","",IF($Y73="Enter Hrs/Wk","",IF($E$30&gt;='FORMULA REFS'!AJ$1,$Y73,"")))</f>
        <v/>
      </c>
      <c r="AZ195" s="1286" t="str">
        <f>IF($E$30="Enter Duration (wks)","",IF($Y73="Enter Hrs/Wk","",IF($E$30&gt;='FORMULA REFS'!AK$1,$Y73,"")))</f>
        <v/>
      </c>
      <c r="BA195" s="1286" t="str">
        <f>IF($E$30="Enter Duration (wks)","",IF($Y73="Enter Hrs/Wk","",IF($E$30&gt;='FORMULA REFS'!AL$1,$Y73,"")))</f>
        <v/>
      </c>
      <c r="BB195" s="1286" t="str">
        <f>IF($E$30="Enter Duration (wks)","",IF($Y73="Enter Hrs/Wk","",IF($E$30&gt;='FORMULA REFS'!AM$1,$Y73,"")))</f>
        <v/>
      </c>
      <c r="BC195" s="1286" t="str">
        <f>IF($E$30="Enter Duration (wks)","",IF($Y73="Enter Hrs/Wk","",IF($E$30&gt;='FORMULA REFS'!AN$1,$Y73,"")))</f>
        <v/>
      </c>
      <c r="BD195" s="1286" t="str">
        <f>IF($E$30="Enter Duration (wks)","",IF($Y73="Enter Hrs/Wk","",IF($E$30&gt;='FORMULA REFS'!AO$1,$Y73,"")))</f>
        <v/>
      </c>
      <c r="BE195" s="1286" t="str">
        <f>IF($E$30="Enter Duration (wks)","",IF($Y73="Enter Hrs/Wk","",IF($E$30&gt;='FORMULA REFS'!AP$1,$Y73,"")))</f>
        <v/>
      </c>
      <c r="BF195" s="1286" t="str">
        <f>IF($E$30="Enter Duration (wks)","",IF($Y73="Enter Hrs/Wk","",IF($E$30&gt;='FORMULA REFS'!AQ$1,$Y73,"")))</f>
        <v/>
      </c>
      <c r="BG195" s="1286" t="str">
        <f>IF($E$30="Enter Duration (wks)","",IF($Y73="Enter Hrs/Wk","",IF($E$30&gt;='FORMULA REFS'!AR$1,$Y73,"")))</f>
        <v/>
      </c>
      <c r="BH195" s="1286" t="str">
        <f>IF($E$30="Enter Duration (wks)","",IF($Y73="Enter Hrs/Wk","",IF($E$30&gt;='FORMULA REFS'!AS$1,$Y73,"")))</f>
        <v/>
      </c>
      <c r="BI195" s="1286" t="str">
        <f>IF($E$30="Enter Duration (wks)","",IF($Y73="Enter Hrs/Wk","",IF($E$30&gt;='FORMULA REFS'!AT$1,$Y73,"")))</f>
        <v/>
      </c>
      <c r="BJ195" s="1286" t="str">
        <f>IF($E$30="Enter Duration (wks)","",IF($Y73="Enter Hrs/Wk","",IF($E$30&gt;='FORMULA REFS'!AU$1,$Y73,"")))</f>
        <v/>
      </c>
      <c r="BK195" s="1286" t="str">
        <f>IF($E$30="Enter Duration (wks)","",IF($Y73="Enter Hrs/Wk","",IF($E$30&gt;='FORMULA REFS'!AV$1,$Y73,"")))</f>
        <v/>
      </c>
      <c r="BL195" s="1286" t="str">
        <f>IF($E$30="Enter Duration (wks)","",IF($Y73="Enter Hrs/Wk","",IF($E$30&gt;='FORMULA REFS'!AW$1,$Y73,"")))</f>
        <v/>
      </c>
      <c r="BM195" s="1286" t="str">
        <f>IF($E$30="Enter Duration (wks)","",IF($Y73="Enter Hrs/Wk","",IF($E$30&gt;='FORMULA REFS'!AX$1,$Y73,"")))</f>
        <v/>
      </c>
      <c r="BN195" s="1286" t="str">
        <f>IF($E$30="Enter Duration (wks)","",IF($Y73="Enter Hrs/Wk","",IF($E$30&gt;='FORMULA REFS'!AY$1,$Y73,"")))</f>
        <v/>
      </c>
      <c r="BO195" s="1286" t="str">
        <f>IF($E$30="Enter Duration (wks)","",IF($Y73="Enter Hrs/Wk","",IF($E$30&gt;='FORMULA REFS'!AZ$1,$Y73,"")))</f>
        <v/>
      </c>
      <c r="BP195" s="523"/>
      <c r="BQ195" s="523"/>
      <c r="BR195" s="523"/>
      <c r="BS195" s="523"/>
      <c r="BT195" s="523"/>
      <c r="BU195" s="523"/>
      <c r="BV195" s="523"/>
      <c r="BW195" s="523"/>
      <c r="BX195" s="523"/>
      <c r="BY195" s="523"/>
      <c r="BZ195" s="523"/>
      <c r="CA195" s="523"/>
      <c r="CB195" s="523"/>
      <c r="CC195" s="523"/>
      <c r="CD195" s="523"/>
      <c r="CE195" s="523"/>
      <c r="CF195" s="523"/>
      <c r="CG195" s="523"/>
      <c r="CH195" s="523"/>
      <c r="CI195" s="523"/>
      <c r="CJ195" s="523"/>
      <c r="CK195" s="523"/>
      <c r="CL195" s="413"/>
      <c r="CM195" s="413"/>
      <c r="CN195" s="413"/>
      <c r="CO195" s="413"/>
      <c r="CP195" s="413"/>
      <c r="CQ195" s="413"/>
    </row>
    <row r="196" spans="3:95" ht="13.95" hidden="1" customHeight="1" outlineLevel="1" x14ac:dyDescent="0.25">
      <c r="C196" s="1291" t="str">
        <f t="shared" si="80"/>
        <v/>
      </c>
      <c r="D196" s="1318" t="str">
        <f t="shared" si="81"/>
        <v/>
      </c>
      <c r="E196" s="1326"/>
      <c r="F196" s="1327" t="str">
        <f>IF($E$30="Enter Duration (wks)","",IF($Y74="Enter Hrs/Wk","",IF($E$30&gt;='FORMULA REFS'!A$1,$Y74,"")))</f>
        <v/>
      </c>
      <c r="G196" s="1328"/>
      <c r="H196" s="1570"/>
      <c r="I196" s="1329" t="str">
        <f>IF($E$30="Enter Duration (wks)","",IF($Y74="Enter Hrs/Wk","",IF($E$30&gt;='FORMULA REFS'!B$1,$Y74,"")))</f>
        <v/>
      </c>
      <c r="J196" s="1323"/>
      <c r="K196" s="1286" t="str">
        <f>IF($E$30="Enter Duration (wks)","",IF($Y74="Enter Hrs/Wk","",IF($E$30&gt;='FORMULA REFS'!C$1,$Y74,"")))</f>
        <v/>
      </c>
      <c r="L196" s="882" t="str">
        <f>IF($E$30="Enter Duration (wks)","",IF($Y74="Enter Hrs/Wk","",IF($E$30&gt;='FORMULA REFS'!D$1,$Y74,"")))</f>
        <v/>
      </c>
      <c r="M196" s="882" t="str">
        <f>IF($E$30="Enter Duration (wks)","",IF($Y74="Enter Hrs/Wk","",IF($E$30&gt;='FORMULA REFS'!E$1,$Y74,"")))</f>
        <v/>
      </c>
      <c r="N196" s="882" t="str">
        <f>IF($E$30="Enter Duration (wks)","",IF($Y74="Enter Hrs/Wk","",IF($E$30&gt;='FORMULA REFS'!F$1,$Y74,"")))</f>
        <v/>
      </c>
      <c r="O196" s="882" t="str">
        <f>IF($E$30="Enter Duration (wks)","",IF($Y74="Enter Hrs/Wk","",IF($E$30&gt;='FORMULA REFS'!G$1,$Y74,"")))</f>
        <v/>
      </c>
      <c r="P196" s="882" t="str">
        <f>IF($E$30="Enter Duration (wks)","",IF($Y74="Enter Hrs/Wk","",IF($E$30&gt;='FORMULA REFS'!H$1,$Y74,"")))</f>
        <v/>
      </c>
      <c r="Q196" s="882" t="str">
        <f>IF($E$30="Enter Duration (wks)","",IF($Y74="Enter Hrs/Wk","",IF($E$30&gt;='FORMULA REFS'!I$1,$Y74,"")))</f>
        <v/>
      </c>
      <c r="R196" s="882" t="str">
        <f>IF($E$30="Enter Duration (wks)","",IF($Y74="Enter Hrs/Wk","",IF($E$30&gt;='FORMULA REFS'!J$1,$Y74,"")))</f>
        <v/>
      </c>
      <c r="S196" s="882" t="str">
        <f>IF($E$30="Enter Duration (wks)","",IF($Y74="Enter Hrs/Wk","",IF($E$30&gt;='FORMULA REFS'!K$1,$Y74,"")))</f>
        <v/>
      </c>
      <c r="T196" s="1323" t="str">
        <f>IF($E$30="Enter Duration (wks)","",IF($Y74="Enter Hrs/Wk","",IF($E$30&gt;='FORMULA REFS'!L$1,$Y74,"")))</f>
        <v/>
      </c>
      <c r="U196" s="882" t="str">
        <f>IF($E$30="Enter Duration (wks)","",IF($Y74="Enter Hrs/Wk","",IF($E$30&gt;='FORMULA REFS'!M$1,$Y74,"")))</f>
        <v/>
      </c>
      <c r="V196" s="882"/>
      <c r="W196" s="882"/>
      <c r="X196" s="1285"/>
      <c r="Y196" s="1285" t="str">
        <f>IF($E$30="Enter Duration (wks)","",IF($Y74="Enter Hrs/Wk","",IF($E$30&gt;='FORMULA REFS'!N$1,$Y74,"")))</f>
        <v/>
      </c>
      <c r="Z196" s="1343" t="str">
        <f>IF($E$30="Enter Duration (wks)","",IF($Y74="Enter Hrs/Wk","",IF($E$30&gt;='FORMULA REFS'!O$1,$Y74,"")))</f>
        <v/>
      </c>
      <c r="AA196" s="882" t="str">
        <f>IF($E$30="Enter Duration (wks)","",IF($Y74="Enter Hrs/Wk","",IF($E$30&gt;='FORMULA REFS'!P$1,$Y74,"")))</f>
        <v/>
      </c>
      <c r="AB196" s="882" t="str">
        <f>IF($E$30="Enter Duration (wks)","",IF($Y74="Enter Hrs/Wk","",IF($E$30&gt;='FORMULA REFS'!Q$1,$Y74,"")))</f>
        <v/>
      </c>
      <c r="AC196" s="882"/>
      <c r="AD196" s="882"/>
      <c r="AE196" s="882"/>
      <c r="AF196" s="882"/>
      <c r="AG196" s="1286" t="str">
        <f>IF($E$30="Enter Duration (wks)","",IF($Y74="Enter Hrs/Wk","",IF($E$30&gt;='FORMULA REFS'!R$1,$Y74,"")))</f>
        <v/>
      </c>
      <c r="AH196" s="1286" t="str">
        <f>IF($E$30="Enter Duration (wks)","",IF($Y74="Enter Hrs/Wk","",IF($E$30&gt;='FORMULA REFS'!S$1,$Y74,"")))</f>
        <v/>
      </c>
      <c r="AI196" s="1286" t="str">
        <f>IF($E$30="Enter Duration (wks)","",IF($Y74="Enter Hrs/Wk","",IF($E$30&gt;='FORMULA REFS'!T$1,$Y74,"")))</f>
        <v/>
      </c>
      <c r="AJ196" s="1286" t="str">
        <f>IF($E$30="Enter Duration (wks)","",IF($Y74="Enter Hrs/Wk","",IF($E$30&gt;='FORMULA REFS'!U$1,$Y74,"")))</f>
        <v/>
      </c>
      <c r="AK196" s="1286" t="str">
        <f>IF($E$30="Enter Duration (wks)","",IF($Y74="Enter Hrs/Wk","",IF($E$30&gt;='FORMULA REFS'!V$1,$Y74,"")))</f>
        <v/>
      </c>
      <c r="AL196" s="1286" t="str">
        <f>IF($E$30="Enter Duration (wks)","",IF($Y74="Enter Hrs/Wk","",IF($E$30&gt;='FORMULA REFS'!W$1,$Y74,"")))</f>
        <v/>
      </c>
      <c r="AM196" s="1286" t="str">
        <f>IF($E$30="Enter Duration (wks)","",IF($Y74="Enter Hrs/Wk","",IF($E$30&gt;='FORMULA REFS'!X$1,$Y74,"")))</f>
        <v/>
      </c>
      <c r="AN196" s="1286" t="str">
        <f>IF($E$30="Enter Duration (wks)","",IF($Y74="Enter Hrs/Wk","",IF($E$30&gt;='FORMULA REFS'!Y$1,$Y74,"")))</f>
        <v/>
      </c>
      <c r="AO196" s="1286" t="str">
        <f>IF($E$30="Enter Duration (wks)","",IF($Y74="Enter Hrs/Wk","",IF($E$30&gt;='FORMULA REFS'!Z$1,$Y74,"")))</f>
        <v/>
      </c>
      <c r="AP196" s="1286" t="str">
        <f>IF($E$30="Enter Duration (wks)","",IF($Y74="Enter Hrs/Wk","",IF($E$30&gt;='FORMULA REFS'!AA$1,$Y74,"")))</f>
        <v/>
      </c>
      <c r="AQ196" s="1286" t="str">
        <f>IF($E$30="Enter Duration (wks)","",IF($Y74="Enter Hrs/Wk","",IF($E$30&gt;='FORMULA REFS'!AB$1,$Y74,"")))</f>
        <v/>
      </c>
      <c r="AR196" s="1286" t="str">
        <f>IF($E$30="Enter Duration (wks)","",IF($Y74="Enter Hrs/Wk","",IF($E$30&gt;='FORMULA REFS'!AC$1,$Y74,"")))</f>
        <v/>
      </c>
      <c r="AS196" s="1286" t="str">
        <f>IF($E$30="Enter Duration (wks)","",IF($Y74="Enter Hrs/Wk","",IF($E$30&gt;='FORMULA REFS'!AD$1,$Y74,"")))</f>
        <v/>
      </c>
      <c r="AT196" s="1286" t="str">
        <f>IF($E$30="Enter Duration (wks)","",IF($Y74="Enter Hrs/Wk","",IF($E$30&gt;='FORMULA REFS'!AE$1,$Y74,"")))</f>
        <v/>
      </c>
      <c r="AU196" s="1286" t="str">
        <f>IF($E$30="Enter Duration (wks)","",IF($Y74="Enter Hrs/Wk","",IF($E$30&gt;='FORMULA REFS'!AF$1,$Y74,"")))</f>
        <v/>
      </c>
      <c r="AV196" s="1286" t="str">
        <f>IF($E$30="Enter Duration (wks)","",IF($Y74="Enter Hrs/Wk","",IF($E$30&gt;='FORMULA REFS'!AG$1,$Y74,"")))</f>
        <v/>
      </c>
      <c r="AW196" s="1286" t="str">
        <f>IF($E$30="Enter Duration (wks)","",IF($Y74="Enter Hrs/Wk","",IF($E$30&gt;='FORMULA REFS'!AH$1,$Y74,"")))</f>
        <v/>
      </c>
      <c r="AX196" s="1286" t="str">
        <f>IF($E$30="Enter Duration (wks)","",IF($Y74="Enter Hrs/Wk","",IF($E$30&gt;='FORMULA REFS'!AI$1,$Y74,"")))</f>
        <v/>
      </c>
      <c r="AY196" s="1286" t="str">
        <f>IF($E$30="Enter Duration (wks)","",IF($Y74="Enter Hrs/Wk","",IF($E$30&gt;='FORMULA REFS'!AJ$1,$Y74,"")))</f>
        <v/>
      </c>
      <c r="AZ196" s="1286" t="str">
        <f>IF($E$30="Enter Duration (wks)","",IF($Y74="Enter Hrs/Wk","",IF($E$30&gt;='FORMULA REFS'!AK$1,$Y74,"")))</f>
        <v/>
      </c>
      <c r="BA196" s="1286" t="str">
        <f>IF($E$30="Enter Duration (wks)","",IF($Y74="Enter Hrs/Wk","",IF($E$30&gt;='FORMULA REFS'!AL$1,$Y74,"")))</f>
        <v/>
      </c>
      <c r="BB196" s="1286" t="str">
        <f>IF($E$30="Enter Duration (wks)","",IF($Y74="Enter Hrs/Wk","",IF($E$30&gt;='FORMULA REFS'!AM$1,$Y74,"")))</f>
        <v/>
      </c>
      <c r="BC196" s="1286" t="str">
        <f>IF($E$30="Enter Duration (wks)","",IF($Y74="Enter Hrs/Wk","",IF($E$30&gt;='FORMULA REFS'!AN$1,$Y74,"")))</f>
        <v/>
      </c>
      <c r="BD196" s="1286" t="str">
        <f>IF($E$30="Enter Duration (wks)","",IF($Y74="Enter Hrs/Wk","",IF($E$30&gt;='FORMULA REFS'!AO$1,$Y74,"")))</f>
        <v/>
      </c>
      <c r="BE196" s="1286" t="str">
        <f>IF($E$30="Enter Duration (wks)","",IF($Y74="Enter Hrs/Wk","",IF($E$30&gt;='FORMULA REFS'!AP$1,$Y74,"")))</f>
        <v/>
      </c>
      <c r="BF196" s="1286" t="str">
        <f>IF($E$30="Enter Duration (wks)","",IF($Y74="Enter Hrs/Wk","",IF($E$30&gt;='FORMULA REFS'!AQ$1,$Y74,"")))</f>
        <v/>
      </c>
      <c r="BG196" s="1286" t="str">
        <f>IF($E$30="Enter Duration (wks)","",IF($Y74="Enter Hrs/Wk","",IF($E$30&gt;='FORMULA REFS'!AR$1,$Y74,"")))</f>
        <v/>
      </c>
      <c r="BH196" s="1286" t="str">
        <f>IF($E$30="Enter Duration (wks)","",IF($Y74="Enter Hrs/Wk","",IF($E$30&gt;='FORMULA REFS'!AS$1,$Y74,"")))</f>
        <v/>
      </c>
      <c r="BI196" s="1286" t="str">
        <f>IF($E$30="Enter Duration (wks)","",IF($Y74="Enter Hrs/Wk","",IF($E$30&gt;='FORMULA REFS'!AT$1,$Y74,"")))</f>
        <v/>
      </c>
      <c r="BJ196" s="1286" t="str">
        <f>IF($E$30="Enter Duration (wks)","",IF($Y74="Enter Hrs/Wk","",IF($E$30&gt;='FORMULA REFS'!AU$1,$Y74,"")))</f>
        <v/>
      </c>
      <c r="BK196" s="1286" t="str">
        <f>IF($E$30="Enter Duration (wks)","",IF($Y74="Enter Hrs/Wk","",IF($E$30&gt;='FORMULA REFS'!AV$1,$Y74,"")))</f>
        <v/>
      </c>
      <c r="BL196" s="1286" t="str">
        <f>IF($E$30="Enter Duration (wks)","",IF($Y74="Enter Hrs/Wk","",IF($E$30&gt;='FORMULA REFS'!AW$1,$Y74,"")))</f>
        <v/>
      </c>
      <c r="BM196" s="1286" t="str">
        <f>IF($E$30="Enter Duration (wks)","",IF($Y74="Enter Hrs/Wk","",IF($E$30&gt;='FORMULA REFS'!AX$1,$Y74,"")))</f>
        <v/>
      </c>
      <c r="BN196" s="1286" t="str">
        <f>IF($E$30="Enter Duration (wks)","",IF($Y74="Enter Hrs/Wk","",IF($E$30&gt;='FORMULA REFS'!AY$1,$Y74,"")))</f>
        <v/>
      </c>
      <c r="BO196" s="1286" t="str">
        <f>IF($E$30="Enter Duration (wks)","",IF($Y74="Enter Hrs/Wk","",IF($E$30&gt;='FORMULA REFS'!AZ$1,$Y74,"")))</f>
        <v/>
      </c>
      <c r="BP196" s="523"/>
      <c r="BQ196" s="523"/>
      <c r="BR196" s="523"/>
      <c r="BS196" s="523"/>
      <c r="BT196" s="523"/>
      <c r="BU196" s="523"/>
      <c r="BV196" s="523"/>
      <c r="BW196" s="523"/>
      <c r="BX196" s="523"/>
      <c r="BY196" s="523"/>
      <c r="BZ196" s="523"/>
      <c r="CA196" s="523"/>
      <c r="CB196" s="523"/>
      <c r="CC196" s="523"/>
      <c r="CD196" s="523"/>
      <c r="CE196" s="523"/>
      <c r="CF196" s="523"/>
      <c r="CG196" s="523"/>
      <c r="CH196" s="523"/>
      <c r="CI196" s="523"/>
      <c r="CJ196" s="523"/>
      <c r="CK196" s="523"/>
      <c r="CL196" s="413"/>
      <c r="CM196" s="413"/>
      <c r="CN196" s="413"/>
      <c r="CO196" s="413"/>
      <c r="CP196" s="413"/>
      <c r="CQ196" s="413"/>
    </row>
    <row r="197" spans="3:95" ht="13.95" hidden="1" customHeight="1" outlineLevel="1" x14ac:dyDescent="0.25">
      <c r="C197" s="1291" t="str">
        <f t="shared" si="80"/>
        <v/>
      </c>
      <c r="D197" s="1318" t="str">
        <f t="shared" si="81"/>
        <v/>
      </c>
      <c r="E197" s="1326"/>
      <c r="F197" s="1327" t="str">
        <f>IF($E$30="Enter Duration (wks)","",IF($Y75="Enter Hrs/Wk","",IF($E$30&gt;='FORMULA REFS'!A$1,$Y75,"")))</f>
        <v/>
      </c>
      <c r="G197" s="1328"/>
      <c r="H197" s="1570"/>
      <c r="I197" s="1329" t="str">
        <f>IF($E$30="Enter Duration (wks)","",IF($Y75="Enter Hrs/Wk","",IF($E$30&gt;='FORMULA REFS'!B$1,$Y75,"")))</f>
        <v/>
      </c>
      <c r="J197" s="1323"/>
      <c r="K197" s="1286" t="str">
        <f>IF($E$30="Enter Duration (wks)","",IF($Y75="Enter Hrs/Wk","",IF($E$30&gt;='FORMULA REFS'!C$1,$Y75,"")))</f>
        <v/>
      </c>
      <c r="L197" s="882" t="str">
        <f>IF($E$30="Enter Duration (wks)","",IF($Y75="Enter Hrs/Wk","",IF($E$30&gt;='FORMULA REFS'!D$1,$Y75,"")))</f>
        <v/>
      </c>
      <c r="M197" s="882" t="str">
        <f>IF($E$30="Enter Duration (wks)","",IF($Y75="Enter Hrs/Wk","",IF($E$30&gt;='FORMULA REFS'!E$1,$Y75,"")))</f>
        <v/>
      </c>
      <c r="N197" s="882" t="str">
        <f>IF($E$30="Enter Duration (wks)","",IF($Y75="Enter Hrs/Wk","",IF($E$30&gt;='FORMULA REFS'!F$1,$Y75,"")))</f>
        <v/>
      </c>
      <c r="O197" s="882" t="str">
        <f>IF($E$30="Enter Duration (wks)","",IF($Y75="Enter Hrs/Wk","",IF($E$30&gt;='FORMULA REFS'!G$1,$Y75,"")))</f>
        <v/>
      </c>
      <c r="P197" s="882" t="str">
        <f>IF($E$30="Enter Duration (wks)","",IF($Y75="Enter Hrs/Wk","",IF($E$30&gt;='FORMULA REFS'!H$1,$Y75,"")))</f>
        <v/>
      </c>
      <c r="Q197" s="882" t="str">
        <f>IF($E$30="Enter Duration (wks)","",IF($Y75="Enter Hrs/Wk","",IF($E$30&gt;='FORMULA REFS'!I$1,$Y75,"")))</f>
        <v/>
      </c>
      <c r="R197" s="882" t="str">
        <f>IF($E$30="Enter Duration (wks)","",IF($Y75="Enter Hrs/Wk","",IF($E$30&gt;='FORMULA REFS'!J$1,$Y75,"")))</f>
        <v/>
      </c>
      <c r="S197" s="882" t="str">
        <f>IF($E$30="Enter Duration (wks)","",IF($Y75="Enter Hrs/Wk","",IF($E$30&gt;='FORMULA REFS'!K$1,$Y75,"")))</f>
        <v/>
      </c>
      <c r="T197" s="1323" t="str">
        <f>IF($E$30="Enter Duration (wks)","",IF($Y75="Enter Hrs/Wk","",IF($E$30&gt;='FORMULA REFS'!L$1,$Y75,"")))</f>
        <v/>
      </c>
      <c r="U197" s="882" t="str">
        <f>IF($E$30="Enter Duration (wks)","",IF($Y75="Enter Hrs/Wk","",IF($E$30&gt;='FORMULA REFS'!M$1,$Y75,"")))</f>
        <v/>
      </c>
      <c r="V197" s="882"/>
      <c r="W197" s="882"/>
      <c r="X197" s="1285"/>
      <c r="Y197" s="1285" t="str">
        <f>IF($E$30="Enter Duration (wks)","",IF($Y75="Enter Hrs/Wk","",IF($E$30&gt;='FORMULA REFS'!N$1,$Y75,"")))</f>
        <v/>
      </c>
      <c r="Z197" s="1343" t="str">
        <f>IF($E$30="Enter Duration (wks)","",IF($Y75="Enter Hrs/Wk","",IF($E$30&gt;='FORMULA REFS'!O$1,$Y75,"")))</f>
        <v/>
      </c>
      <c r="AA197" s="882" t="str">
        <f>IF($E$30="Enter Duration (wks)","",IF($Y75="Enter Hrs/Wk","",IF($E$30&gt;='FORMULA REFS'!P$1,$Y75,"")))</f>
        <v/>
      </c>
      <c r="AB197" s="882" t="str">
        <f>IF($E$30="Enter Duration (wks)","",IF($Y75="Enter Hrs/Wk","",IF($E$30&gt;='FORMULA REFS'!Q$1,$Y75,"")))</f>
        <v/>
      </c>
      <c r="AC197" s="882"/>
      <c r="AD197" s="882"/>
      <c r="AE197" s="882"/>
      <c r="AF197" s="882"/>
      <c r="AG197" s="1286" t="str">
        <f>IF($E$30="Enter Duration (wks)","",IF($Y75="Enter Hrs/Wk","",IF($E$30&gt;='FORMULA REFS'!R$1,$Y75,"")))</f>
        <v/>
      </c>
      <c r="AH197" s="1286" t="str">
        <f>IF($E$30="Enter Duration (wks)","",IF($Y75="Enter Hrs/Wk","",IF($E$30&gt;='FORMULA REFS'!S$1,$Y75,"")))</f>
        <v/>
      </c>
      <c r="AI197" s="1286" t="str">
        <f>IF($E$30="Enter Duration (wks)","",IF($Y75="Enter Hrs/Wk","",IF($E$30&gt;='FORMULA REFS'!T$1,$Y75,"")))</f>
        <v/>
      </c>
      <c r="AJ197" s="1286" t="str">
        <f>IF($E$30="Enter Duration (wks)","",IF($Y75="Enter Hrs/Wk","",IF($E$30&gt;='FORMULA REFS'!U$1,$Y75,"")))</f>
        <v/>
      </c>
      <c r="AK197" s="1286" t="str">
        <f>IF($E$30="Enter Duration (wks)","",IF($Y75="Enter Hrs/Wk","",IF($E$30&gt;='FORMULA REFS'!V$1,$Y75,"")))</f>
        <v/>
      </c>
      <c r="AL197" s="1286" t="str">
        <f>IF($E$30="Enter Duration (wks)","",IF($Y75="Enter Hrs/Wk","",IF($E$30&gt;='FORMULA REFS'!W$1,$Y75,"")))</f>
        <v/>
      </c>
      <c r="AM197" s="1286" t="str">
        <f>IF($E$30="Enter Duration (wks)","",IF($Y75="Enter Hrs/Wk","",IF($E$30&gt;='FORMULA REFS'!X$1,$Y75,"")))</f>
        <v/>
      </c>
      <c r="AN197" s="1286" t="str">
        <f>IF($E$30="Enter Duration (wks)","",IF($Y75="Enter Hrs/Wk","",IF($E$30&gt;='FORMULA REFS'!Y$1,$Y75,"")))</f>
        <v/>
      </c>
      <c r="AO197" s="1286" t="str">
        <f>IF($E$30="Enter Duration (wks)","",IF($Y75="Enter Hrs/Wk","",IF($E$30&gt;='FORMULA REFS'!Z$1,$Y75,"")))</f>
        <v/>
      </c>
      <c r="AP197" s="1286" t="str">
        <f>IF($E$30="Enter Duration (wks)","",IF($Y75="Enter Hrs/Wk","",IF($E$30&gt;='FORMULA REFS'!AA$1,$Y75,"")))</f>
        <v/>
      </c>
      <c r="AQ197" s="1286" t="str">
        <f>IF($E$30="Enter Duration (wks)","",IF($Y75="Enter Hrs/Wk","",IF($E$30&gt;='FORMULA REFS'!AB$1,$Y75,"")))</f>
        <v/>
      </c>
      <c r="AR197" s="1286" t="str">
        <f>IF($E$30="Enter Duration (wks)","",IF($Y75="Enter Hrs/Wk","",IF($E$30&gt;='FORMULA REFS'!AC$1,$Y75,"")))</f>
        <v/>
      </c>
      <c r="AS197" s="1286" t="str">
        <f>IF($E$30="Enter Duration (wks)","",IF($Y75="Enter Hrs/Wk","",IF($E$30&gt;='FORMULA REFS'!AD$1,$Y75,"")))</f>
        <v/>
      </c>
      <c r="AT197" s="1286" t="str">
        <f>IF($E$30="Enter Duration (wks)","",IF($Y75="Enter Hrs/Wk","",IF($E$30&gt;='FORMULA REFS'!AE$1,$Y75,"")))</f>
        <v/>
      </c>
      <c r="AU197" s="1286" t="str">
        <f>IF($E$30="Enter Duration (wks)","",IF($Y75="Enter Hrs/Wk","",IF($E$30&gt;='FORMULA REFS'!AF$1,$Y75,"")))</f>
        <v/>
      </c>
      <c r="AV197" s="1286" t="str">
        <f>IF($E$30="Enter Duration (wks)","",IF($Y75="Enter Hrs/Wk","",IF($E$30&gt;='FORMULA REFS'!AG$1,$Y75,"")))</f>
        <v/>
      </c>
      <c r="AW197" s="1286" t="str">
        <f>IF($E$30="Enter Duration (wks)","",IF($Y75="Enter Hrs/Wk","",IF($E$30&gt;='FORMULA REFS'!AH$1,$Y75,"")))</f>
        <v/>
      </c>
      <c r="AX197" s="1286" t="str">
        <f>IF($E$30="Enter Duration (wks)","",IF($Y75="Enter Hrs/Wk","",IF($E$30&gt;='FORMULA REFS'!AI$1,$Y75,"")))</f>
        <v/>
      </c>
      <c r="AY197" s="1286" t="str">
        <f>IF($E$30="Enter Duration (wks)","",IF($Y75="Enter Hrs/Wk","",IF($E$30&gt;='FORMULA REFS'!AJ$1,$Y75,"")))</f>
        <v/>
      </c>
      <c r="AZ197" s="1286" t="str">
        <f>IF($E$30="Enter Duration (wks)","",IF($Y75="Enter Hrs/Wk","",IF($E$30&gt;='FORMULA REFS'!AK$1,$Y75,"")))</f>
        <v/>
      </c>
      <c r="BA197" s="1286" t="str">
        <f>IF($E$30="Enter Duration (wks)","",IF($Y75="Enter Hrs/Wk","",IF($E$30&gt;='FORMULA REFS'!AL$1,$Y75,"")))</f>
        <v/>
      </c>
      <c r="BB197" s="1286" t="str">
        <f>IF($E$30="Enter Duration (wks)","",IF($Y75="Enter Hrs/Wk","",IF($E$30&gt;='FORMULA REFS'!AM$1,$Y75,"")))</f>
        <v/>
      </c>
      <c r="BC197" s="1286" t="str">
        <f>IF($E$30="Enter Duration (wks)","",IF($Y75="Enter Hrs/Wk","",IF($E$30&gt;='FORMULA REFS'!AN$1,$Y75,"")))</f>
        <v/>
      </c>
      <c r="BD197" s="1286" t="str">
        <f>IF($E$30="Enter Duration (wks)","",IF($Y75="Enter Hrs/Wk","",IF($E$30&gt;='FORMULA REFS'!AO$1,$Y75,"")))</f>
        <v/>
      </c>
      <c r="BE197" s="1286" t="str">
        <f>IF($E$30="Enter Duration (wks)","",IF($Y75="Enter Hrs/Wk","",IF($E$30&gt;='FORMULA REFS'!AP$1,$Y75,"")))</f>
        <v/>
      </c>
      <c r="BF197" s="1286" t="str">
        <f>IF($E$30="Enter Duration (wks)","",IF($Y75="Enter Hrs/Wk","",IF($E$30&gt;='FORMULA REFS'!AQ$1,$Y75,"")))</f>
        <v/>
      </c>
      <c r="BG197" s="1286" t="str">
        <f>IF($E$30="Enter Duration (wks)","",IF($Y75="Enter Hrs/Wk","",IF($E$30&gt;='FORMULA REFS'!AR$1,$Y75,"")))</f>
        <v/>
      </c>
      <c r="BH197" s="1286" t="str">
        <f>IF($E$30="Enter Duration (wks)","",IF($Y75="Enter Hrs/Wk","",IF($E$30&gt;='FORMULA REFS'!AS$1,$Y75,"")))</f>
        <v/>
      </c>
      <c r="BI197" s="1286" t="str">
        <f>IF($E$30="Enter Duration (wks)","",IF($Y75="Enter Hrs/Wk","",IF($E$30&gt;='FORMULA REFS'!AT$1,$Y75,"")))</f>
        <v/>
      </c>
      <c r="BJ197" s="1286" t="str">
        <f>IF($E$30="Enter Duration (wks)","",IF($Y75="Enter Hrs/Wk","",IF($E$30&gt;='FORMULA REFS'!AU$1,$Y75,"")))</f>
        <v/>
      </c>
      <c r="BK197" s="1286" t="str">
        <f>IF($E$30="Enter Duration (wks)","",IF($Y75="Enter Hrs/Wk","",IF($E$30&gt;='FORMULA REFS'!AV$1,$Y75,"")))</f>
        <v/>
      </c>
      <c r="BL197" s="1286" t="str">
        <f>IF($E$30="Enter Duration (wks)","",IF($Y75="Enter Hrs/Wk","",IF($E$30&gt;='FORMULA REFS'!AW$1,$Y75,"")))</f>
        <v/>
      </c>
      <c r="BM197" s="1286" t="str">
        <f>IF($E$30="Enter Duration (wks)","",IF($Y75="Enter Hrs/Wk","",IF($E$30&gt;='FORMULA REFS'!AX$1,$Y75,"")))</f>
        <v/>
      </c>
      <c r="BN197" s="1286" t="str">
        <f>IF($E$30="Enter Duration (wks)","",IF($Y75="Enter Hrs/Wk","",IF($E$30&gt;='FORMULA REFS'!AY$1,$Y75,"")))</f>
        <v/>
      </c>
      <c r="BO197" s="1286" t="str">
        <f>IF($E$30="Enter Duration (wks)","",IF($Y75="Enter Hrs/Wk","",IF($E$30&gt;='FORMULA REFS'!AZ$1,$Y75,"")))</f>
        <v/>
      </c>
      <c r="BP197" s="413"/>
      <c r="BQ197" s="413"/>
      <c r="BR197" s="413"/>
      <c r="BS197" s="413"/>
      <c r="BT197" s="413"/>
      <c r="BU197" s="413"/>
      <c r="BV197" s="413"/>
      <c r="BW197" s="413"/>
      <c r="BX197" s="413"/>
      <c r="BY197" s="413"/>
      <c r="BZ197" s="413"/>
      <c r="CA197" s="413"/>
      <c r="CB197" s="413"/>
      <c r="CC197" s="413"/>
      <c r="CD197" s="413"/>
      <c r="CE197" s="413"/>
      <c r="CF197" s="413"/>
      <c r="CG197" s="413"/>
      <c r="CH197" s="413"/>
      <c r="CI197" s="413"/>
      <c r="CJ197" s="413"/>
      <c r="CK197" s="413"/>
      <c r="CL197" s="413"/>
      <c r="CM197" s="413"/>
      <c r="CN197" s="413"/>
      <c r="CO197" s="413"/>
      <c r="CP197" s="413"/>
      <c r="CQ197" s="413"/>
    </row>
    <row r="198" spans="3:95" ht="13.95" hidden="1" customHeight="1" outlineLevel="1" x14ac:dyDescent="0.25">
      <c r="C198" s="1291" t="str">
        <f t="shared" si="80"/>
        <v/>
      </c>
      <c r="D198" s="1318" t="str">
        <f t="shared" si="81"/>
        <v/>
      </c>
      <c r="E198" s="1326"/>
      <c r="F198" s="1327" t="str">
        <f>IF($E$30="Enter Duration (wks)","",IF($Y76="Enter Hrs/Wk","",IF($E$30&gt;='FORMULA REFS'!A$1,$Y76,"")))</f>
        <v/>
      </c>
      <c r="G198" s="1328"/>
      <c r="H198" s="1570"/>
      <c r="I198" s="1329" t="str">
        <f>IF($E$30="Enter Duration (wks)","",IF($Y76="Enter Hrs/Wk","",IF($E$30&gt;='FORMULA REFS'!B$1,$Y76,"")))</f>
        <v/>
      </c>
      <c r="J198" s="1323"/>
      <c r="K198" s="1286" t="str">
        <f>IF($E$30="Enter Duration (wks)","",IF($Y76="Enter Hrs/Wk","",IF($E$30&gt;='FORMULA REFS'!C$1,$Y76,"")))</f>
        <v/>
      </c>
      <c r="L198" s="882" t="str">
        <f>IF($E$30="Enter Duration (wks)","",IF($Y76="Enter Hrs/Wk","",IF($E$30&gt;='FORMULA REFS'!D$1,$Y76,"")))</f>
        <v/>
      </c>
      <c r="M198" s="882" t="str">
        <f>IF($E$30="Enter Duration (wks)","",IF($Y76="Enter Hrs/Wk","",IF($E$30&gt;='FORMULA REFS'!E$1,$Y76,"")))</f>
        <v/>
      </c>
      <c r="N198" s="882" t="str">
        <f>IF($E$30="Enter Duration (wks)","",IF($Y76="Enter Hrs/Wk","",IF($E$30&gt;='FORMULA REFS'!F$1,$Y76,"")))</f>
        <v/>
      </c>
      <c r="O198" s="882" t="str">
        <f>IF($E$30="Enter Duration (wks)","",IF($Y76="Enter Hrs/Wk","",IF($E$30&gt;='FORMULA REFS'!G$1,$Y76,"")))</f>
        <v/>
      </c>
      <c r="P198" s="882" t="str">
        <f>IF($E$30="Enter Duration (wks)","",IF($Y76="Enter Hrs/Wk","",IF($E$30&gt;='FORMULA REFS'!H$1,$Y76,"")))</f>
        <v/>
      </c>
      <c r="Q198" s="882" t="str">
        <f>IF($E$30="Enter Duration (wks)","",IF($Y76="Enter Hrs/Wk","",IF($E$30&gt;='FORMULA REFS'!I$1,$Y76,"")))</f>
        <v/>
      </c>
      <c r="R198" s="882" t="str">
        <f>IF($E$30="Enter Duration (wks)","",IF($Y76="Enter Hrs/Wk","",IF($E$30&gt;='FORMULA REFS'!J$1,$Y76,"")))</f>
        <v/>
      </c>
      <c r="S198" s="882" t="str">
        <f>IF($E$30="Enter Duration (wks)","",IF($Y76="Enter Hrs/Wk","",IF($E$30&gt;='FORMULA REFS'!K$1,$Y76,"")))</f>
        <v/>
      </c>
      <c r="T198" s="1323" t="str">
        <f>IF($E$30="Enter Duration (wks)","",IF($Y76="Enter Hrs/Wk","",IF($E$30&gt;='FORMULA REFS'!L$1,$Y76,"")))</f>
        <v/>
      </c>
      <c r="U198" s="882" t="str">
        <f>IF($E$30="Enter Duration (wks)","",IF($Y76="Enter Hrs/Wk","",IF($E$30&gt;='FORMULA REFS'!M$1,$Y76,"")))</f>
        <v/>
      </c>
      <c r="V198" s="882"/>
      <c r="W198" s="882"/>
      <c r="X198" s="1285"/>
      <c r="Y198" s="1285" t="str">
        <f>IF($E$30="Enter Duration (wks)","",IF($Y76="Enter Hrs/Wk","",IF($E$30&gt;='FORMULA REFS'!N$1,$Y76,"")))</f>
        <v/>
      </c>
      <c r="Z198" s="1343" t="str">
        <f>IF($E$30="Enter Duration (wks)","",IF($Y76="Enter Hrs/Wk","",IF($E$30&gt;='FORMULA REFS'!O$1,$Y76,"")))</f>
        <v/>
      </c>
      <c r="AA198" s="882" t="str">
        <f>IF($E$30="Enter Duration (wks)","",IF($Y76="Enter Hrs/Wk","",IF($E$30&gt;='FORMULA REFS'!P$1,$Y76,"")))</f>
        <v/>
      </c>
      <c r="AB198" s="882" t="str">
        <f>IF($E$30="Enter Duration (wks)","",IF($Y76="Enter Hrs/Wk","",IF($E$30&gt;='FORMULA REFS'!Q$1,$Y76,"")))</f>
        <v/>
      </c>
      <c r="AC198" s="882"/>
      <c r="AD198" s="882"/>
      <c r="AE198" s="882"/>
      <c r="AF198" s="882"/>
      <c r="AG198" s="1286" t="str">
        <f>IF($E$30="Enter Duration (wks)","",IF($Y76="Enter Hrs/Wk","",IF($E$30&gt;='FORMULA REFS'!R$1,$Y76,"")))</f>
        <v/>
      </c>
      <c r="AH198" s="1286" t="str">
        <f>IF($E$30="Enter Duration (wks)","",IF($Y76="Enter Hrs/Wk","",IF($E$30&gt;='FORMULA REFS'!S$1,$Y76,"")))</f>
        <v/>
      </c>
      <c r="AI198" s="1286" t="str">
        <f>IF($E$30="Enter Duration (wks)","",IF($Y76="Enter Hrs/Wk","",IF($E$30&gt;='FORMULA REFS'!T$1,$Y76,"")))</f>
        <v/>
      </c>
      <c r="AJ198" s="1286" t="str">
        <f>IF($E$30="Enter Duration (wks)","",IF($Y76="Enter Hrs/Wk","",IF($E$30&gt;='FORMULA REFS'!U$1,$Y76,"")))</f>
        <v/>
      </c>
      <c r="AK198" s="1286" t="str">
        <f>IF($E$30="Enter Duration (wks)","",IF($Y76="Enter Hrs/Wk","",IF($E$30&gt;='FORMULA REFS'!V$1,$Y76,"")))</f>
        <v/>
      </c>
      <c r="AL198" s="1286" t="str">
        <f>IF($E$30="Enter Duration (wks)","",IF($Y76="Enter Hrs/Wk","",IF($E$30&gt;='FORMULA REFS'!W$1,$Y76,"")))</f>
        <v/>
      </c>
      <c r="AM198" s="1286" t="str">
        <f>IF($E$30="Enter Duration (wks)","",IF($Y76="Enter Hrs/Wk","",IF($E$30&gt;='FORMULA REFS'!X$1,$Y76,"")))</f>
        <v/>
      </c>
      <c r="AN198" s="1286" t="str">
        <f>IF($E$30="Enter Duration (wks)","",IF($Y76="Enter Hrs/Wk","",IF($E$30&gt;='FORMULA REFS'!Y$1,$Y76,"")))</f>
        <v/>
      </c>
      <c r="AO198" s="1286" t="str">
        <f>IF($E$30="Enter Duration (wks)","",IF($Y76="Enter Hrs/Wk","",IF($E$30&gt;='FORMULA REFS'!Z$1,$Y76,"")))</f>
        <v/>
      </c>
      <c r="AP198" s="1286" t="str">
        <f>IF($E$30="Enter Duration (wks)","",IF($Y76="Enter Hrs/Wk","",IF($E$30&gt;='FORMULA REFS'!AA$1,$Y76,"")))</f>
        <v/>
      </c>
      <c r="AQ198" s="1286" t="str">
        <f>IF($E$30="Enter Duration (wks)","",IF($Y76="Enter Hrs/Wk","",IF($E$30&gt;='FORMULA REFS'!AB$1,$Y76,"")))</f>
        <v/>
      </c>
      <c r="AR198" s="1286" t="str">
        <f>IF($E$30="Enter Duration (wks)","",IF($Y76="Enter Hrs/Wk","",IF($E$30&gt;='FORMULA REFS'!AC$1,$Y76,"")))</f>
        <v/>
      </c>
      <c r="AS198" s="1286" t="str">
        <f>IF($E$30="Enter Duration (wks)","",IF($Y76="Enter Hrs/Wk","",IF($E$30&gt;='FORMULA REFS'!AD$1,$Y76,"")))</f>
        <v/>
      </c>
      <c r="AT198" s="1286" t="str">
        <f>IF($E$30="Enter Duration (wks)","",IF($Y76="Enter Hrs/Wk","",IF($E$30&gt;='FORMULA REFS'!AE$1,$Y76,"")))</f>
        <v/>
      </c>
      <c r="AU198" s="1286" t="str">
        <f>IF($E$30="Enter Duration (wks)","",IF($Y76="Enter Hrs/Wk","",IF($E$30&gt;='FORMULA REFS'!AF$1,$Y76,"")))</f>
        <v/>
      </c>
      <c r="AV198" s="1286" t="str">
        <f>IF($E$30="Enter Duration (wks)","",IF($Y76="Enter Hrs/Wk","",IF($E$30&gt;='FORMULA REFS'!AG$1,$Y76,"")))</f>
        <v/>
      </c>
      <c r="AW198" s="1286" t="str">
        <f>IF($E$30="Enter Duration (wks)","",IF($Y76="Enter Hrs/Wk","",IF($E$30&gt;='FORMULA REFS'!AH$1,$Y76,"")))</f>
        <v/>
      </c>
      <c r="AX198" s="1286" t="str">
        <f>IF($E$30="Enter Duration (wks)","",IF($Y76="Enter Hrs/Wk","",IF($E$30&gt;='FORMULA REFS'!AI$1,$Y76,"")))</f>
        <v/>
      </c>
      <c r="AY198" s="1286" t="str">
        <f>IF($E$30="Enter Duration (wks)","",IF($Y76="Enter Hrs/Wk","",IF($E$30&gt;='FORMULA REFS'!AJ$1,$Y76,"")))</f>
        <v/>
      </c>
      <c r="AZ198" s="1286" t="str">
        <f>IF($E$30="Enter Duration (wks)","",IF($Y76="Enter Hrs/Wk","",IF($E$30&gt;='FORMULA REFS'!AK$1,$Y76,"")))</f>
        <v/>
      </c>
      <c r="BA198" s="1286" t="str">
        <f>IF($E$30="Enter Duration (wks)","",IF($Y76="Enter Hrs/Wk","",IF($E$30&gt;='FORMULA REFS'!AL$1,$Y76,"")))</f>
        <v/>
      </c>
      <c r="BB198" s="1286" t="str">
        <f>IF($E$30="Enter Duration (wks)","",IF($Y76="Enter Hrs/Wk","",IF($E$30&gt;='FORMULA REFS'!AM$1,$Y76,"")))</f>
        <v/>
      </c>
      <c r="BC198" s="1286" t="str">
        <f>IF($E$30="Enter Duration (wks)","",IF($Y76="Enter Hrs/Wk","",IF($E$30&gt;='FORMULA REFS'!AN$1,$Y76,"")))</f>
        <v/>
      </c>
      <c r="BD198" s="1286" t="str">
        <f>IF($E$30="Enter Duration (wks)","",IF($Y76="Enter Hrs/Wk","",IF($E$30&gt;='FORMULA REFS'!AO$1,$Y76,"")))</f>
        <v/>
      </c>
      <c r="BE198" s="1286" t="str">
        <f>IF($E$30="Enter Duration (wks)","",IF($Y76="Enter Hrs/Wk","",IF($E$30&gt;='FORMULA REFS'!AP$1,$Y76,"")))</f>
        <v/>
      </c>
      <c r="BF198" s="1286" t="str">
        <f>IF($E$30="Enter Duration (wks)","",IF($Y76="Enter Hrs/Wk","",IF($E$30&gt;='FORMULA REFS'!AQ$1,$Y76,"")))</f>
        <v/>
      </c>
      <c r="BG198" s="1286" t="str">
        <f>IF($E$30="Enter Duration (wks)","",IF($Y76="Enter Hrs/Wk","",IF($E$30&gt;='FORMULA REFS'!AR$1,$Y76,"")))</f>
        <v/>
      </c>
      <c r="BH198" s="1286" t="str">
        <f>IF($E$30="Enter Duration (wks)","",IF($Y76="Enter Hrs/Wk","",IF($E$30&gt;='FORMULA REFS'!AS$1,$Y76,"")))</f>
        <v/>
      </c>
      <c r="BI198" s="1286" t="str">
        <f>IF($E$30="Enter Duration (wks)","",IF($Y76="Enter Hrs/Wk","",IF($E$30&gt;='FORMULA REFS'!AT$1,$Y76,"")))</f>
        <v/>
      </c>
      <c r="BJ198" s="1286" t="str">
        <f>IF($E$30="Enter Duration (wks)","",IF($Y76="Enter Hrs/Wk","",IF($E$30&gt;='FORMULA REFS'!AU$1,$Y76,"")))</f>
        <v/>
      </c>
      <c r="BK198" s="1286" t="str">
        <f>IF($E$30="Enter Duration (wks)","",IF($Y76="Enter Hrs/Wk","",IF($E$30&gt;='FORMULA REFS'!AV$1,$Y76,"")))</f>
        <v/>
      </c>
      <c r="BL198" s="1286" t="str">
        <f>IF($E$30="Enter Duration (wks)","",IF($Y76="Enter Hrs/Wk","",IF($E$30&gt;='FORMULA REFS'!AW$1,$Y76,"")))</f>
        <v/>
      </c>
      <c r="BM198" s="1286" t="str">
        <f>IF($E$30="Enter Duration (wks)","",IF($Y76="Enter Hrs/Wk","",IF($E$30&gt;='FORMULA REFS'!AX$1,$Y76,"")))</f>
        <v/>
      </c>
      <c r="BN198" s="1286" t="str">
        <f>IF($E$30="Enter Duration (wks)","",IF($Y76="Enter Hrs/Wk","",IF($E$30&gt;='FORMULA REFS'!AY$1,$Y76,"")))</f>
        <v/>
      </c>
      <c r="BO198" s="1286" t="str">
        <f>IF($E$30="Enter Duration (wks)","",IF($Y76="Enter Hrs/Wk","",IF($E$30&gt;='FORMULA REFS'!AZ$1,$Y76,"")))</f>
        <v/>
      </c>
      <c r="BP198" s="413"/>
      <c r="BQ198" s="413"/>
      <c r="BR198" s="413"/>
      <c r="BS198" s="413"/>
      <c r="BT198" s="413"/>
      <c r="BU198" s="413"/>
      <c r="BV198" s="413"/>
      <c r="BW198" s="413"/>
      <c r="BX198" s="413"/>
      <c r="BY198" s="413"/>
      <c r="BZ198" s="413"/>
      <c r="CA198" s="413"/>
      <c r="CB198" s="413"/>
      <c r="CC198" s="413"/>
      <c r="CD198" s="413"/>
      <c r="CE198" s="413"/>
      <c r="CF198" s="413"/>
      <c r="CG198" s="413"/>
      <c r="CH198" s="413"/>
      <c r="CI198" s="413"/>
      <c r="CJ198" s="413"/>
      <c r="CK198" s="413"/>
      <c r="CL198" s="413"/>
      <c r="CM198" s="413"/>
      <c r="CN198" s="413"/>
      <c r="CO198" s="413"/>
      <c r="CP198" s="413"/>
      <c r="CQ198" s="413"/>
    </row>
    <row r="199" spans="3:95" ht="13.95" hidden="1" customHeight="1" outlineLevel="1" x14ac:dyDescent="0.25">
      <c r="C199" s="1291" t="str">
        <f t="shared" si="80"/>
        <v/>
      </c>
      <c r="D199" s="1318" t="str">
        <f t="shared" si="81"/>
        <v/>
      </c>
      <c r="E199" s="1326"/>
      <c r="F199" s="1327" t="str">
        <f>IF($E$30="Enter Duration (wks)","",IF($Y77="Enter Hrs/Wk","",IF($E$30&gt;='FORMULA REFS'!A$1,$Y77,"")))</f>
        <v/>
      </c>
      <c r="G199" s="1328"/>
      <c r="H199" s="1570"/>
      <c r="I199" s="1329" t="str">
        <f>IF($E$30="Enter Duration (wks)","",IF($Y77="Enter Hrs/Wk","",IF($E$30&gt;='FORMULA REFS'!B$1,$Y77,"")))</f>
        <v/>
      </c>
      <c r="J199" s="1323"/>
      <c r="K199" s="1286" t="str">
        <f>IF($E$30="Enter Duration (wks)","",IF($Y77="Enter Hrs/Wk","",IF($E$30&gt;='FORMULA REFS'!C$1,$Y77,"")))</f>
        <v/>
      </c>
      <c r="L199" s="882" t="str">
        <f>IF($E$30="Enter Duration (wks)","",IF($Y77="Enter Hrs/Wk","",IF($E$30&gt;='FORMULA REFS'!D$1,$Y77,"")))</f>
        <v/>
      </c>
      <c r="M199" s="882" t="str">
        <f>IF($E$30="Enter Duration (wks)","",IF($Y77="Enter Hrs/Wk","",IF($E$30&gt;='FORMULA REFS'!E$1,$Y77,"")))</f>
        <v/>
      </c>
      <c r="N199" s="882" t="str">
        <f>IF($E$30="Enter Duration (wks)","",IF($Y77="Enter Hrs/Wk","",IF($E$30&gt;='FORMULA REFS'!F$1,$Y77,"")))</f>
        <v/>
      </c>
      <c r="O199" s="882" t="str">
        <f>IF($E$30="Enter Duration (wks)","",IF($Y77="Enter Hrs/Wk","",IF($E$30&gt;='FORMULA REFS'!G$1,$Y77,"")))</f>
        <v/>
      </c>
      <c r="P199" s="882" t="str">
        <f>IF($E$30="Enter Duration (wks)","",IF($Y77="Enter Hrs/Wk","",IF($E$30&gt;='FORMULA REFS'!H$1,$Y77,"")))</f>
        <v/>
      </c>
      <c r="Q199" s="882" t="str">
        <f>IF($E$30="Enter Duration (wks)","",IF($Y77="Enter Hrs/Wk","",IF($E$30&gt;='FORMULA REFS'!I$1,$Y77,"")))</f>
        <v/>
      </c>
      <c r="R199" s="882" t="str">
        <f>IF($E$30="Enter Duration (wks)","",IF($Y77="Enter Hrs/Wk","",IF($E$30&gt;='FORMULA REFS'!J$1,$Y77,"")))</f>
        <v/>
      </c>
      <c r="S199" s="882" t="str">
        <f>IF($E$30="Enter Duration (wks)","",IF($Y77="Enter Hrs/Wk","",IF($E$30&gt;='FORMULA REFS'!K$1,$Y77,"")))</f>
        <v/>
      </c>
      <c r="T199" s="1323" t="str">
        <f>IF($E$30="Enter Duration (wks)","",IF($Y77="Enter Hrs/Wk","",IF($E$30&gt;='FORMULA REFS'!L$1,$Y77,"")))</f>
        <v/>
      </c>
      <c r="U199" s="882" t="str">
        <f>IF($E$30="Enter Duration (wks)","",IF($Y77="Enter Hrs/Wk","",IF($E$30&gt;='FORMULA REFS'!M$1,$Y77,"")))</f>
        <v/>
      </c>
      <c r="V199" s="882"/>
      <c r="W199" s="882"/>
      <c r="X199" s="1285"/>
      <c r="Y199" s="1285" t="str">
        <f>IF($E$30="Enter Duration (wks)","",IF($Y77="Enter Hrs/Wk","",IF($E$30&gt;='FORMULA REFS'!N$1,$Y77,"")))</f>
        <v/>
      </c>
      <c r="Z199" s="1343" t="str">
        <f>IF($E$30="Enter Duration (wks)","",IF($Y77="Enter Hrs/Wk","",IF($E$30&gt;='FORMULA REFS'!O$1,$Y77,"")))</f>
        <v/>
      </c>
      <c r="AA199" s="882" t="str">
        <f>IF($E$30="Enter Duration (wks)","",IF($Y77="Enter Hrs/Wk","",IF($E$30&gt;='FORMULA REFS'!P$1,$Y77,"")))</f>
        <v/>
      </c>
      <c r="AB199" s="882" t="str">
        <f>IF($E$30="Enter Duration (wks)","",IF($Y77="Enter Hrs/Wk","",IF($E$30&gt;='FORMULA REFS'!Q$1,$Y77,"")))</f>
        <v/>
      </c>
      <c r="AC199" s="882"/>
      <c r="AD199" s="882"/>
      <c r="AE199" s="882"/>
      <c r="AF199" s="882"/>
      <c r="AG199" s="1286" t="str">
        <f>IF($E$30="Enter Duration (wks)","",IF($Y77="Enter Hrs/Wk","",IF($E$30&gt;='FORMULA REFS'!R$1,$Y77,"")))</f>
        <v/>
      </c>
      <c r="AH199" s="1286" t="str">
        <f>IF($E$30="Enter Duration (wks)","",IF($Y77="Enter Hrs/Wk","",IF($E$30&gt;='FORMULA REFS'!S$1,$Y77,"")))</f>
        <v/>
      </c>
      <c r="AI199" s="1286" t="str">
        <f>IF($E$30="Enter Duration (wks)","",IF($Y77="Enter Hrs/Wk","",IF($E$30&gt;='FORMULA REFS'!T$1,$Y77,"")))</f>
        <v/>
      </c>
      <c r="AJ199" s="1286" t="str">
        <f>IF($E$30="Enter Duration (wks)","",IF($Y77="Enter Hrs/Wk","",IF($E$30&gt;='FORMULA REFS'!U$1,$Y77,"")))</f>
        <v/>
      </c>
      <c r="AK199" s="1286" t="str">
        <f>IF($E$30="Enter Duration (wks)","",IF($Y77="Enter Hrs/Wk","",IF($E$30&gt;='FORMULA REFS'!V$1,$Y77,"")))</f>
        <v/>
      </c>
      <c r="AL199" s="1286" t="str">
        <f>IF($E$30="Enter Duration (wks)","",IF($Y77="Enter Hrs/Wk","",IF($E$30&gt;='FORMULA REFS'!W$1,$Y77,"")))</f>
        <v/>
      </c>
      <c r="AM199" s="1286" t="str">
        <f>IF($E$30="Enter Duration (wks)","",IF($Y77="Enter Hrs/Wk","",IF($E$30&gt;='FORMULA REFS'!X$1,$Y77,"")))</f>
        <v/>
      </c>
      <c r="AN199" s="1286" t="str">
        <f>IF($E$30="Enter Duration (wks)","",IF($Y77="Enter Hrs/Wk","",IF($E$30&gt;='FORMULA REFS'!Y$1,$Y77,"")))</f>
        <v/>
      </c>
      <c r="AO199" s="1286" t="str">
        <f>IF($E$30="Enter Duration (wks)","",IF($Y77="Enter Hrs/Wk","",IF($E$30&gt;='FORMULA REFS'!Z$1,$Y77,"")))</f>
        <v/>
      </c>
      <c r="AP199" s="1286" t="str">
        <f>IF($E$30="Enter Duration (wks)","",IF($Y77="Enter Hrs/Wk","",IF($E$30&gt;='FORMULA REFS'!AA$1,$Y77,"")))</f>
        <v/>
      </c>
      <c r="AQ199" s="1286" t="str">
        <f>IF($E$30="Enter Duration (wks)","",IF($Y77="Enter Hrs/Wk","",IF($E$30&gt;='FORMULA REFS'!AB$1,$Y77,"")))</f>
        <v/>
      </c>
      <c r="AR199" s="1286" t="str">
        <f>IF($E$30="Enter Duration (wks)","",IF($Y77="Enter Hrs/Wk","",IF($E$30&gt;='FORMULA REFS'!AC$1,$Y77,"")))</f>
        <v/>
      </c>
      <c r="AS199" s="1286" t="str">
        <f>IF($E$30="Enter Duration (wks)","",IF($Y77="Enter Hrs/Wk","",IF($E$30&gt;='FORMULA REFS'!AD$1,$Y77,"")))</f>
        <v/>
      </c>
      <c r="AT199" s="1286" t="str">
        <f>IF($E$30="Enter Duration (wks)","",IF($Y77="Enter Hrs/Wk","",IF($E$30&gt;='FORMULA REFS'!AE$1,$Y77,"")))</f>
        <v/>
      </c>
      <c r="AU199" s="1286" t="str">
        <f>IF($E$30="Enter Duration (wks)","",IF($Y77="Enter Hrs/Wk","",IF($E$30&gt;='FORMULA REFS'!AF$1,$Y77,"")))</f>
        <v/>
      </c>
      <c r="AV199" s="1286" t="str">
        <f>IF($E$30="Enter Duration (wks)","",IF($Y77="Enter Hrs/Wk","",IF($E$30&gt;='FORMULA REFS'!AG$1,$Y77,"")))</f>
        <v/>
      </c>
      <c r="AW199" s="1286" t="str">
        <f>IF($E$30="Enter Duration (wks)","",IF($Y77="Enter Hrs/Wk","",IF($E$30&gt;='FORMULA REFS'!AH$1,$Y77,"")))</f>
        <v/>
      </c>
      <c r="AX199" s="1286" t="str">
        <f>IF($E$30="Enter Duration (wks)","",IF($Y77="Enter Hrs/Wk","",IF($E$30&gt;='FORMULA REFS'!AI$1,$Y77,"")))</f>
        <v/>
      </c>
      <c r="AY199" s="1286" t="str">
        <f>IF($E$30="Enter Duration (wks)","",IF($Y77="Enter Hrs/Wk","",IF($E$30&gt;='FORMULA REFS'!AJ$1,$Y77,"")))</f>
        <v/>
      </c>
      <c r="AZ199" s="1286" t="str">
        <f>IF($E$30="Enter Duration (wks)","",IF($Y77="Enter Hrs/Wk","",IF($E$30&gt;='FORMULA REFS'!AK$1,$Y77,"")))</f>
        <v/>
      </c>
      <c r="BA199" s="1286" t="str">
        <f>IF($E$30="Enter Duration (wks)","",IF($Y77="Enter Hrs/Wk","",IF($E$30&gt;='FORMULA REFS'!AL$1,$Y77,"")))</f>
        <v/>
      </c>
      <c r="BB199" s="1286" t="str">
        <f>IF($E$30="Enter Duration (wks)","",IF($Y77="Enter Hrs/Wk","",IF($E$30&gt;='FORMULA REFS'!AM$1,$Y77,"")))</f>
        <v/>
      </c>
      <c r="BC199" s="1286" t="str">
        <f>IF($E$30="Enter Duration (wks)","",IF($Y77="Enter Hrs/Wk","",IF($E$30&gt;='FORMULA REFS'!AN$1,$Y77,"")))</f>
        <v/>
      </c>
      <c r="BD199" s="1286" t="str">
        <f>IF($E$30="Enter Duration (wks)","",IF($Y77="Enter Hrs/Wk","",IF($E$30&gt;='FORMULA REFS'!AO$1,$Y77,"")))</f>
        <v/>
      </c>
      <c r="BE199" s="1286" t="str">
        <f>IF($E$30="Enter Duration (wks)","",IF($Y77="Enter Hrs/Wk","",IF($E$30&gt;='FORMULA REFS'!AP$1,$Y77,"")))</f>
        <v/>
      </c>
      <c r="BF199" s="1286" t="str">
        <f>IF($E$30="Enter Duration (wks)","",IF($Y77="Enter Hrs/Wk","",IF($E$30&gt;='FORMULA REFS'!AQ$1,$Y77,"")))</f>
        <v/>
      </c>
      <c r="BG199" s="1286" t="str">
        <f>IF($E$30="Enter Duration (wks)","",IF($Y77="Enter Hrs/Wk","",IF($E$30&gt;='FORMULA REFS'!AR$1,$Y77,"")))</f>
        <v/>
      </c>
      <c r="BH199" s="1286" t="str">
        <f>IF($E$30="Enter Duration (wks)","",IF($Y77="Enter Hrs/Wk","",IF($E$30&gt;='FORMULA REFS'!AS$1,$Y77,"")))</f>
        <v/>
      </c>
      <c r="BI199" s="1286" t="str">
        <f>IF($E$30="Enter Duration (wks)","",IF($Y77="Enter Hrs/Wk","",IF($E$30&gt;='FORMULA REFS'!AT$1,$Y77,"")))</f>
        <v/>
      </c>
      <c r="BJ199" s="1286" t="str">
        <f>IF($E$30="Enter Duration (wks)","",IF($Y77="Enter Hrs/Wk","",IF($E$30&gt;='FORMULA REFS'!AU$1,$Y77,"")))</f>
        <v/>
      </c>
      <c r="BK199" s="1286" t="str">
        <f>IF($E$30="Enter Duration (wks)","",IF($Y77="Enter Hrs/Wk","",IF($E$30&gt;='FORMULA REFS'!AV$1,$Y77,"")))</f>
        <v/>
      </c>
      <c r="BL199" s="1286" t="str">
        <f>IF($E$30="Enter Duration (wks)","",IF($Y77="Enter Hrs/Wk","",IF($E$30&gt;='FORMULA REFS'!AW$1,$Y77,"")))</f>
        <v/>
      </c>
      <c r="BM199" s="1286" t="str">
        <f>IF($E$30="Enter Duration (wks)","",IF($Y77="Enter Hrs/Wk","",IF($E$30&gt;='FORMULA REFS'!AX$1,$Y77,"")))</f>
        <v/>
      </c>
      <c r="BN199" s="1286" t="str">
        <f>IF($E$30="Enter Duration (wks)","",IF($Y77="Enter Hrs/Wk","",IF($E$30&gt;='FORMULA REFS'!AY$1,$Y77,"")))</f>
        <v/>
      </c>
      <c r="BO199" s="1286" t="str">
        <f>IF($E$30="Enter Duration (wks)","",IF($Y77="Enter Hrs/Wk","",IF($E$30&gt;='FORMULA REFS'!AZ$1,$Y77,"")))</f>
        <v/>
      </c>
      <c r="BP199" s="413"/>
      <c r="BQ199" s="413"/>
      <c r="BR199" s="413"/>
      <c r="BS199" s="413"/>
      <c r="BT199" s="413"/>
      <c r="BU199" s="413"/>
      <c r="BV199" s="413"/>
      <c r="BW199" s="413"/>
      <c r="BX199" s="413"/>
      <c r="BY199" s="413"/>
      <c r="BZ199" s="413"/>
      <c r="CA199" s="413"/>
      <c r="CB199" s="413"/>
      <c r="CC199" s="413"/>
      <c r="CD199" s="413"/>
      <c r="CE199" s="413"/>
      <c r="CF199" s="413"/>
      <c r="CG199" s="413"/>
      <c r="CH199" s="413"/>
      <c r="CI199" s="413"/>
      <c r="CJ199" s="413"/>
      <c r="CK199" s="413"/>
      <c r="CL199" s="413"/>
      <c r="CM199" s="413"/>
      <c r="CN199" s="413"/>
      <c r="CO199" s="413"/>
      <c r="CP199" s="413"/>
      <c r="CQ199" s="413"/>
    </row>
    <row r="200" spans="3:95" ht="13.95" hidden="1" customHeight="1" outlineLevel="1" x14ac:dyDescent="0.25">
      <c r="C200" s="1291" t="str">
        <f t="shared" si="80"/>
        <v/>
      </c>
      <c r="D200" s="1318" t="str">
        <f t="shared" si="81"/>
        <v/>
      </c>
      <c r="E200" s="1326"/>
      <c r="F200" s="1327" t="str">
        <f>IF($E$30="Enter Duration (wks)","",IF($Y78="Enter Hrs/Wk","",IF($E$30&gt;='FORMULA REFS'!A$1,$Y78,"")))</f>
        <v/>
      </c>
      <c r="G200" s="1328"/>
      <c r="H200" s="1570"/>
      <c r="I200" s="1329" t="str">
        <f>IF($E$30="Enter Duration (wks)","",IF($Y78="Enter Hrs/Wk","",IF($E$30&gt;='FORMULA REFS'!B$1,$Y78,"")))</f>
        <v/>
      </c>
      <c r="J200" s="1323"/>
      <c r="K200" s="1286" t="str">
        <f>IF($E$30="Enter Duration (wks)","",IF($Y78="Enter Hrs/Wk","",IF($E$30&gt;='FORMULA REFS'!C$1,$Y78,"")))</f>
        <v/>
      </c>
      <c r="L200" s="882" t="str">
        <f>IF($E$30="Enter Duration (wks)","",IF($Y78="Enter Hrs/Wk","",IF($E$30&gt;='FORMULA REFS'!D$1,$Y78,"")))</f>
        <v/>
      </c>
      <c r="M200" s="882" t="str">
        <f>IF($E$30="Enter Duration (wks)","",IF($Y78="Enter Hrs/Wk","",IF($E$30&gt;='FORMULA REFS'!E$1,$Y78,"")))</f>
        <v/>
      </c>
      <c r="N200" s="882" t="str">
        <f>IF($E$30="Enter Duration (wks)","",IF($Y78="Enter Hrs/Wk","",IF($E$30&gt;='FORMULA REFS'!F$1,$Y78,"")))</f>
        <v/>
      </c>
      <c r="O200" s="882" t="str">
        <f>IF($E$30="Enter Duration (wks)","",IF($Y78="Enter Hrs/Wk","",IF($E$30&gt;='FORMULA REFS'!G$1,$Y78,"")))</f>
        <v/>
      </c>
      <c r="P200" s="882" t="str">
        <f>IF($E$30="Enter Duration (wks)","",IF($Y78="Enter Hrs/Wk","",IF($E$30&gt;='FORMULA REFS'!H$1,$Y78,"")))</f>
        <v/>
      </c>
      <c r="Q200" s="882" t="str">
        <f>IF($E$30="Enter Duration (wks)","",IF($Y78="Enter Hrs/Wk","",IF($E$30&gt;='FORMULA REFS'!I$1,$Y78,"")))</f>
        <v/>
      </c>
      <c r="R200" s="882" t="str">
        <f>IF($E$30="Enter Duration (wks)","",IF($Y78="Enter Hrs/Wk","",IF($E$30&gt;='FORMULA REFS'!J$1,$Y78,"")))</f>
        <v/>
      </c>
      <c r="S200" s="882" t="str">
        <f>IF($E$30="Enter Duration (wks)","",IF($Y78="Enter Hrs/Wk","",IF($E$30&gt;='FORMULA REFS'!K$1,$Y78,"")))</f>
        <v/>
      </c>
      <c r="T200" s="1323" t="str">
        <f>IF($E$30="Enter Duration (wks)","",IF($Y78="Enter Hrs/Wk","",IF($E$30&gt;='FORMULA REFS'!L$1,$Y78,"")))</f>
        <v/>
      </c>
      <c r="U200" s="882" t="str">
        <f>IF($E$30="Enter Duration (wks)","",IF($Y78="Enter Hrs/Wk","",IF($E$30&gt;='FORMULA REFS'!M$1,$Y78,"")))</f>
        <v/>
      </c>
      <c r="V200" s="882"/>
      <c r="W200" s="882"/>
      <c r="X200" s="1285"/>
      <c r="Y200" s="1285" t="str">
        <f>IF($E$30="Enter Duration (wks)","",IF($Y78="Enter Hrs/Wk","",IF($E$30&gt;='FORMULA REFS'!N$1,$Y78,"")))</f>
        <v/>
      </c>
      <c r="Z200" s="1343" t="str">
        <f>IF($E$30="Enter Duration (wks)","",IF($Y78="Enter Hrs/Wk","",IF($E$30&gt;='FORMULA REFS'!O$1,$Y78,"")))</f>
        <v/>
      </c>
      <c r="AA200" s="882" t="str">
        <f>IF($E$30="Enter Duration (wks)","",IF($Y78="Enter Hrs/Wk","",IF($E$30&gt;='FORMULA REFS'!P$1,$Y78,"")))</f>
        <v/>
      </c>
      <c r="AB200" s="882" t="str">
        <f>IF($E$30="Enter Duration (wks)","",IF($Y78="Enter Hrs/Wk","",IF($E$30&gt;='FORMULA REFS'!Q$1,$Y78,"")))</f>
        <v/>
      </c>
      <c r="AC200" s="882"/>
      <c r="AD200" s="882"/>
      <c r="AE200" s="882"/>
      <c r="AF200" s="882"/>
      <c r="AG200" s="1286" t="str">
        <f>IF($E$30="Enter Duration (wks)","",IF($Y78="Enter Hrs/Wk","",IF($E$30&gt;='FORMULA REFS'!R$1,$Y78,"")))</f>
        <v/>
      </c>
      <c r="AH200" s="1286" t="str">
        <f>IF($E$30="Enter Duration (wks)","",IF($Y78="Enter Hrs/Wk","",IF($E$30&gt;='FORMULA REFS'!S$1,$Y78,"")))</f>
        <v/>
      </c>
      <c r="AI200" s="1286" t="str">
        <f>IF($E$30="Enter Duration (wks)","",IF($Y78="Enter Hrs/Wk","",IF($E$30&gt;='FORMULA REFS'!T$1,$Y78,"")))</f>
        <v/>
      </c>
      <c r="AJ200" s="1286" t="str">
        <f>IF($E$30="Enter Duration (wks)","",IF($Y78="Enter Hrs/Wk","",IF($E$30&gt;='FORMULA REFS'!U$1,$Y78,"")))</f>
        <v/>
      </c>
      <c r="AK200" s="1286" t="str">
        <f>IF($E$30="Enter Duration (wks)","",IF($Y78="Enter Hrs/Wk","",IF($E$30&gt;='FORMULA REFS'!V$1,$Y78,"")))</f>
        <v/>
      </c>
      <c r="AL200" s="1286" t="str">
        <f>IF($E$30="Enter Duration (wks)","",IF($Y78="Enter Hrs/Wk","",IF($E$30&gt;='FORMULA REFS'!W$1,$Y78,"")))</f>
        <v/>
      </c>
      <c r="AM200" s="1286" t="str">
        <f>IF($E$30="Enter Duration (wks)","",IF($Y78="Enter Hrs/Wk","",IF($E$30&gt;='FORMULA REFS'!X$1,$Y78,"")))</f>
        <v/>
      </c>
      <c r="AN200" s="1286" t="str">
        <f>IF($E$30="Enter Duration (wks)","",IF($Y78="Enter Hrs/Wk","",IF($E$30&gt;='FORMULA REFS'!Y$1,$Y78,"")))</f>
        <v/>
      </c>
      <c r="AO200" s="1286" t="str">
        <f>IF($E$30="Enter Duration (wks)","",IF($Y78="Enter Hrs/Wk","",IF($E$30&gt;='FORMULA REFS'!Z$1,$Y78,"")))</f>
        <v/>
      </c>
      <c r="AP200" s="1286" t="str">
        <f>IF($E$30="Enter Duration (wks)","",IF($Y78="Enter Hrs/Wk","",IF($E$30&gt;='FORMULA REFS'!AA$1,$Y78,"")))</f>
        <v/>
      </c>
      <c r="AQ200" s="1286" t="str">
        <f>IF($E$30="Enter Duration (wks)","",IF($Y78="Enter Hrs/Wk","",IF($E$30&gt;='FORMULA REFS'!AB$1,$Y78,"")))</f>
        <v/>
      </c>
      <c r="AR200" s="1286" t="str">
        <f>IF($E$30="Enter Duration (wks)","",IF($Y78="Enter Hrs/Wk","",IF($E$30&gt;='FORMULA REFS'!AC$1,$Y78,"")))</f>
        <v/>
      </c>
      <c r="AS200" s="1286" t="str">
        <f>IF($E$30="Enter Duration (wks)","",IF($Y78="Enter Hrs/Wk","",IF($E$30&gt;='FORMULA REFS'!AD$1,$Y78,"")))</f>
        <v/>
      </c>
      <c r="AT200" s="1286" t="str">
        <f>IF($E$30="Enter Duration (wks)","",IF($Y78="Enter Hrs/Wk","",IF($E$30&gt;='FORMULA REFS'!AE$1,$Y78,"")))</f>
        <v/>
      </c>
      <c r="AU200" s="1286" t="str">
        <f>IF($E$30="Enter Duration (wks)","",IF($Y78="Enter Hrs/Wk","",IF($E$30&gt;='FORMULA REFS'!AF$1,$Y78,"")))</f>
        <v/>
      </c>
      <c r="AV200" s="1286" t="str">
        <f>IF($E$30="Enter Duration (wks)","",IF($Y78="Enter Hrs/Wk","",IF($E$30&gt;='FORMULA REFS'!AG$1,$Y78,"")))</f>
        <v/>
      </c>
      <c r="AW200" s="1286" t="str">
        <f>IF($E$30="Enter Duration (wks)","",IF($Y78="Enter Hrs/Wk","",IF($E$30&gt;='FORMULA REFS'!AH$1,$Y78,"")))</f>
        <v/>
      </c>
      <c r="AX200" s="1286" t="str">
        <f>IF($E$30="Enter Duration (wks)","",IF($Y78="Enter Hrs/Wk","",IF($E$30&gt;='FORMULA REFS'!AI$1,$Y78,"")))</f>
        <v/>
      </c>
      <c r="AY200" s="1286" t="str">
        <f>IF($E$30="Enter Duration (wks)","",IF($Y78="Enter Hrs/Wk","",IF($E$30&gt;='FORMULA REFS'!AJ$1,$Y78,"")))</f>
        <v/>
      </c>
      <c r="AZ200" s="1286" t="str">
        <f>IF($E$30="Enter Duration (wks)","",IF($Y78="Enter Hrs/Wk","",IF($E$30&gt;='FORMULA REFS'!AK$1,$Y78,"")))</f>
        <v/>
      </c>
      <c r="BA200" s="1286" t="str">
        <f>IF($E$30="Enter Duration (wks)","",IF($Y78="Enter Hrs/Wk","",IF($E$30&gt;='FORMULA REFS'!AL$1,$Y78,"")))</f>
        <v/>
      </c>
      <c r="BB200" s="1286" t="str">
        <f>IF($E$30="Enter Duration (wks)","",IF($Y78="Enter Hrs/Wk","",IF($E$30&gt;='FORMULA REFS'!AM$1,$Y78,"")))</f>
        <v/>
      </c>
      <c r="BC200" s="1286" t="str">
        <f>IF($E$30="Enter Duration (wks)","",IF($Y78="Enter Hrs/Wk","",IF($E$30&gt;='FORMULA REFS'!AN$1,$Y78,"")))</f>
        <v/>
      </c>
      <c r="BD200" s="1286" t="str">
        <f>IF($E$30="Enter Duration (wks)","",IF($Y78="Enter Hrs/Wk","",IF($E$30&gt;='FORMULA REFS'!AO$1,$Y78,"")))</f>
        <v/>
      </c>
      <c r="BE200" s="1286" t="str">
        <f>IF($E$30="Enter Duration (wks)","",IF($Y78="Enter Hrs/Wk","",IF($E$30&gt;='FORMULA REFS'!AP$1,$Y78,"")))</f>
        <v/>
      </c>
      <c r="BF200" s="1286" t="str">
        <f>IF($E$30="Enter Duration (wks)","",IF($Y78="Enter Hrs/Wk","",IF($E$30&gt;='FORMULA REFS'!AQ$1,$Y78,"")))</f>
        <v/>
      </c>
      <c r="BG200" s="1286" t="str">
        <f>IF($E$30="Enter Duration (wks)","",IF($Y78="Enter Hrs/Wk","",IF($E$30&gt;='FORMULA REFS'!AR$1,$Y78,"")))</f>
        <v/>
      </c>
      <c r="BH200" s="1286" t="str">
        <f>IF($E$30="Enter Duration (wks)","",IF($Y78="Enter Hrs/Wk","",IF($E$30&gt;='FORMULA REFS'!AS$1,$Y78,"")))</f>
        <v/>
      </c>
      <c r="BI200" s="1286" t="str">
        <f>IF($E$30="Enter Duration (wks)","",IF($Y78="Enter Hrs/Wk","",IF($E$30&gt;='FORMULA REFS'!AT$1,$Y78,"")))</f>
        <v/>
      </c>
      <c r="BJ200" s="1286" t="str">
        <f>IF($E$30="Enter Duration (wks)","",IF($Y78="Enter Hrs/Wk","",IF($E$30&gt;='FORMULA REFS'!AU$1,$Y78,"")))</f>
        <v/>
      </c>
      <c r="BK200" s="1286" t="str">
        <f>IF($E$30="Enter Duration (wks)","",IF($Y78="Enter Hrs/Wk","",IF($E$30&gt;='FORMULA REFS'!AV$1,$Y78,"")))</f>
        <v/>
      </c>
      <c r="BL200" s="1286" t="str">
        <f>IF($E$30="Enter Duration (wks)","",IF($Y78="Enter Hrs/Wk","",IF($E$30&gt;='FORMULA REFS'!AW$1,$Y78,"")))</f>
        <v/>
      </c>
      <c r="BM200" s="1286" t="str">
        <f>IF($E$30="Enter Duration (wks)","",IF($Y78="Enter Hrs/Wk","",IF($E$30&gt;='FORMULA REFS'!AX$1,$Y78,"")))</f>
        <v/>
      </c>
      <c r="BN200" s="1286" t="str">
        <f>IF($E$30="Enter Duration (wks)","",IF($Y78="Enter Hrs/Wk","",IF($E$30&gt;='FORMULA REFS'!AY$1,$Y78,"")))</f>
        <v/>
      </c>
      <c r="BO200" s="1286" t="str">
        <f>IF($E$30="Enter Duration (wks)","",IF($Y78="Enter Hrs/Wk","",IF($E$30&gt;='FORMULA REFS'!AZ$1,$Y78,"")))</f>
        <v/>
      </c>
      <c r="BP200" s="413"/>
      <c r="BQ200" s="413"/>
      <c r="BR200" s="413"/>
      <c r="BS200" s="413"/>
      <c r="BT200" s="413"/>
      <c r="BU200" s="413"/>
      <c r="BV200" s="413"/>
      <c r="BW200" s="413"/>
      <c r="BX200" s="413"/>
      <c r="BY200" s="413"/>
      <c r="BZ200" s="413"/>
      <c r="CA200" s="413"/>
      <c r="CB200" s="413"/>
      <c r="CC200" s="413"/>
      <c r="CD200" s="413"/>
      <c r="CE200" s="413"/>
      <c r="CF200" s="413"/>
      <c r="CG200" s="413"/>
      <c r="CH200" s="413"/>
      <c r="CI200" s="413"/>
      <c r="CJ200" s="413"/>
      <c r="CK200" s="413"/>
      <c r="CL200" s="413"/>
      <c r="CM200" s="413"/>
      <c r="CN200" s="413"/>
      <c r="CO200" s="413"/>
      <c r="CP200" s="413"/>
      <c r="CQ200" s="413"/>
    </row>
    <row r="201" spans="3:95" ht="13.95" hidden="1" customHeight="1" outlineLevel="1" x14ac:dyDescent="0.25">
      <c r="C201" s="1291" t="str">
        <f t="shared" si="80"/>
        <v/>
      </c>
      <c r="D201" s="1318" t="str">
        <f t="shared" si="81"/>
        <v/>
      </c>
      <c r="E201" s="1326"/>
      <c r="F201" s="1327" t="str">
        <f>IF($E$30="Enter Duration (wks)","",IF($Y79="Enter Hrs/Wk","",IF($E$30&gt;='FORMULA REFS'!A$1,$Y79,"")))</f>
        <v/>
      </c>
      <c r="G201" s="1328"/>
      <c r="H201" s="1570"/>
      <c r="I201" s="1329" t="str">
        <f>IF($E$30="Enter Duration (wks)","",IF($Y79="Enter Hrs/Wk","",IF($E$30&gt;='FORMULA REFS'!B$1,$Y79,"")))</f>
        <v/>
      </c>
      <c r="J201" s="1323"/>
      <c r="K201" s="1286" t="str">
        <f>IF($E$30="Enter Duration (wks)","",IF($Y79="Enter Hrs/Wk","",IF($E$30&gt;='FORMULA REFS'!C$1,$Y79,"")))</f>
        <v/>
      </c>
      <c r="L201" s="882" t="str">
        <f>IF($E$30="Enter Duration (wks)","",IF($Y79="Enter Hrs/Wk","",IF($E$30&gt;='FORMULA REFS'!D$1,$Y79,"")))</f>
        <v/>
      </c>
      <c r="M201" s="882" t="str">
        <f>IF($E$30="Enter Duration (wks)","",IF($Y79="Enter Hrs/Wk","",IF($E$30&gt;='FORMULA REFS'!E$1,$Y79,"")))</f>
        <v/>
      </c>
      <c r="N201" s="882" t="str">
        <f>IF($E$30="Enter Duration (wks)","",IF($Y79="Enter Hrs/Wk","",IF($E$30&gt;='FORMULA REFS'!F$1,$Y79,"")))</f>
        <v/>
      </c>
      <c r="O201" s="882" t="str">
        <f>IF($E$30="Enter Duration (wks)","",IF($Y79="Enter Hrs/Wk","",IF($E$30&gt;='FORMULA REFS'!G$1,$Y79,"")))</f>
        <v/>
      </c>
      <c r="P201" s="882" t="str">
        <f>IF($E$30="Enter Duration (wks)","",IF($Y79="Enter Hrs/Wk","",IF($E$30&gt;='FORMULA REFS'!H$1,$Y79,"")))</f>
        <v/>
      </c>
      <c r="Q201" s="882" t="str">
        <f>IF($E$30="Enter Duration (wks)","",IF($Y79="Enter Hrs/Wk","",IF($E$30&gt;='FORMULA REFS'!I$1,$Y79,"")))</f>
        <v/>
      </c>
      <c r="R201" s="882" t="str">
        <f>IF($E$30="Enter Duration (wks)","",IF($Y79="Enter Hrs/Wk","",IF($E$30&gt;='FORMULA REFS'!J$1,$Y79,"")))</f>
        <v/>
      </c>
      <c r="S201" s="882" t="str">
        <f>IF($E$30="Enter Duration (wks)","",IF($Y79="Enter Hrs/Wk","",IF($E$30&gt;='FORMULA REFS'!K$1,$Y79,"")))</f>
        <v/>
      </c>
      <c r="T201" s="1323" t="str">
        <f>IF($E$30="Enter Duration (wks)","",IF($Y79="Enter Hrs/Wk","",IF($E$30&gt;='FORMULA REFS'!L$1,$Y79,"")))</f>
        <v/>
      </c>
      <c r="U201" s="882" t="str">
        <f>IF($E$30="Enter Duration (wks)","",IF($Y79="Enter Hrs/Wk","",IF($E$30&gt;='FORMULA REFS'!M$1,$Y79,"")))</f>
        <v/>
      </c>
      <c r="V201" s="882"/>
      <c r="W201" s="882"/>
      <c r="X201" s="1285"/>
      <c r="Y201" s="1285" t="str">
        <f>IF($E$30="Enter Duration (wks)","",IF($Y79="Enter Hrs/Wk","",IF($E$30&gt;='FORMULA REFS'!N$1,$Y79,"")))</f>
        <v/>
      </c>
      <c r="Z201" s="1343" t="str">
        <f>IF($E$30="Enter Duration (wks)","",IF($Y79="Enter Hrs/Wk","",IF($E$30&gt;='FORMULA REFS'!O$1,$Y79,"")))</f>
        <v/>
      </c>
      <c r="AA201" s="882" t="str">
        <f>IF($E$30="Enter Duration (wks)","",IF($Y79="Enter Hrs/Wk","",IF($E$30&gt;='FORMULA REFS'!P$1,$Y79,"")))</f>
        <v/>
      </c>
      <c r="AB201" s="882" t="str">
        <f>IF($E$30="Enter Duration (wks)","",IF($Y79="Enter Hrs/Wk","",IF($E$30&gt;='FORMULA REFS'!Q$1,$Y79,"")))</f>
        <v/>
      </c>
      <c r="AC201" s="882"/>
      <c r="AD201" s="882"/>
      <c r="AE201" s="882"/>
      <c r="AF201" s="882"/>
      <c r="AG201" s="1286" t="str">
        <f>IF($E$30="Enter Duration (wks)","",IF($Y79="Enter Hrs/Wk","",IF($E$30&gt;='FORMULA REFS'!R$1,$Y79,"")))</f>
        <v/>
      </c>
      <c r="AH201" s="1286" t="str">
        <f>IF($E$30="Enter Duration (wks)","",IF($Y79="Enter Hrs/Wk","",IF($E$30&gt;='FORMULA REFS'!S$1,$Y79,"")))</f>
        <v/>
      </c>
      <c r="AI201" s="1286" t="str">
        <f>IF($E$30="Enter Duration (wks)","",IF($Y79="Enter Hrs/Wk","",IF($E$30&gt;='FORMULA REFS'!T$1,$Y79,"")))</f>
        <v/>
      </c>
      <c r="AJ201" s="1286" t="str">
        <f>IF($E$30="Enter Duration (wks)","",IF($Y79="Enter Hrs/Wk","",IF($E$30&gt;='FORMULA REFS'!U$1,$Y79,"")))</f>
        <v/>
      </c>
      <c r="AK201" s="1286" t="str">
        <f>IF($E$30="Enter Duration (wks)","",IF($Y79="Enter Hrs/Wk","",IF($E$30&gt;='FORMULA REFS'!V$1,$Y79,"")))</f>
        <v/>
      </c>
      <c r="AL201" s="1286" t="str">
        <f>IF($E$30="Enter Duration (wks)","",IF($Y79="Enter Hrs/Wk","",IF($E$30&gt;='FORMULA REFS'!W$1,$Y79,"")))</f>
        <v/>
      </c>
      <c r="AM201" s="1286" t="str">
        <f>IF($E$30="Enter Duration (wks)","",IF($Y79="Enter Hrs/Wk","",IF($E$30&gt;='FORMULA REFS'!X$1,$Y79,"")))</f>
        <v/>
      </c>
      <c r="AN201" s="1286" t="str">
        <f>IF($E$30="Enter Duration (wks)","",IF($Y79="Enter Hrs/Wk","",IF($E$30&gt;='FORMULA REFS'!Y$1,$Y79,"")))</f>
        <v/>
      </c>
      <c r="AO201" s="1286" t="str">
        <f>IF($E$30="Enter Duration (wks)","",IF($Y79="Enter Hrs/Wk","",IF($E$30&gt;='FORMULA REFS'!Z$1,$Y79,"")))</f>
        <v/>
      </c>
      <c r="AP201" s="1286" t="str">
        <f>IF($E$30="Enter Duration (wks)","",IF($Y79="Enter Hrs/Wk","",IF($E$30&gt;='FORMULA REFS'!AA$1,$Y79,"")))</f>
        <v/>
      </c>
      <c r="AQ201" s="1286" t="str">
        <f>IF($E$30="Enter Duration (wks)","",IF($Y79="Enter Hrs/Wk","",IF($E$30&gt;='FORMULA REFS'!AB$1,$Y79,"")))</f>
        <v/>
      </c>
      <c r="AR201" s="1286" t="str">
        <f>IF($E$30="Enter Duration (wks)","",IF($Y79="Enter Hrs/Wk","",IF($E$30&gt;='FORMULA REFS'!AC$1,$Y79,"")))</f>
        <v/>
      </c>
      <c r="AS201" s="1286" t="str">
        <f>IF($E$30="Enter Duration (wks)","",IF($Y79="Enter Hrs/Wk","",IF($E$30&gt;='FORMULA REFS'!AD$1,$Y79,"")))</f>
        <v/>
      </c>
      <c r="AT201" s="1286" t="str">
        <f>IF($E$30="Enter Duration (wks)","",IF($Y79="Enter Hrs/Wk","",IF($E$30&gt;='FORMULA REFS'!AE$1,$Y79,"")))</f>
        <v/>
      </c>
      <c r="AU201" s="1286" t="str">
        <f>IF($E$30="Enter Duration (wks)","",IF($Y79="Enter Hrs/Wk","",IF($E$30&gt;='FORMULA REFS'!AF$1,$Y79,"")))</f>
        <v/>
      </c>
      <c r="AV201" s="1286" t="str">
        <f>IF($E$30="Enter Duration (wks)","",IF($Y79="Enter Hrs/Wk","",IF($E$30&gt;='FORMULA REFS'!AG$1,$Y79,"")))</f>
        <v/>
      </c>
      <c r="AW201" s="1286" t="str">
        <f>IF($E$30="Enter Duration (wks)","",IF($Y79="Enter Hrs/Wk","",IF($E$30&gt;='FORMULA REFS'!AH$1,$Y79,"")))</f>
        <v/>
      </c>
      <c r="AX201" s="1286" t="str">
        <f>IF($E$30="Enter Duration (wks)","",IF($Y79="Enter Hrs/Wk","",IF($E$30&gt;='FORMULA REFS'!AI$1,$Y79,"")))</f>
        <v/>
      </c>
      <c r="AY201" s="1286" t="str">
        <f>IF($E$30="Enter Duration (wks)","",IF($Y79="Enter Hrs/Wk","",IF($E$30&gt;='FORMULA REFS'!AJ$1,$Y79,"")))</f>
        <v/>
      </c>
      <c r="AZ201" s="1286" t="str">
        <f>IF($E$30="Enter Duration (wks)","",IF($Y79="Enter Hrs/Wk","",IF($E$30&gt;='FORMULA REFS'!AK$1,$Y79,"")))</f>
        <v/>
      </c>
      <c r="BA201" s="1286" t="str">
        <f>IF($E$30="Enter Duration (wks)","",IF($Y79="Enter Hrs/Wk","",IF($E$30&gt;='FORMULA REFS'!AL$1,$Y79,"")))</f>
        <v/>
      </c>
      <c r="BB201" s="1286" t="str">
        <f>IF($E$30="Enter Duration (wks)","",IF($Y79="Enter Hrs/Wk","",IF($E$30&gt;='FORMULA REFS'!AM$1,$Y79,"")))</f>
        <v/>
      </c>
      <c r="BC201" s="1286" t="str">
        <f>IF($E$30="Enter Duration (wks)","",IF($Y79="Enter Hrs/Wk","",IF($E$30&gt;='FORMULA REFS'!AN$1,$Y79,"")))</f>
        <v/>
      </c>
      <c r="BD201" s="1286" t="str">
        <f>IF($E$30="Enter Duration (wks)","",IF($Y79="Enter Hrs/Wk","",IF($E$30&gt;='FORMULA REFS'!AO$1,$Y79,"")))</f>
        <v/>
      </c>
      <c r="BE201" s="1286" t="str">
        <f>IF($E$30="Enter Duration (wks)","",IF($Y79="Enter Hrs/Wk","",IF($E$30&gt;='FORMULA REFS'!AP$1,$Y79,"")))</f>
        <v/>
      </c>
      <c r="BF201" s="1286" t="str">
        <f>IF($E$30="Enter Duration (wks)","",IF($Y79="Enter Hrs/Wk","",IF($E$30&gt;='FORMULA REFS'!AQ$1,$Y79,"")))</f>
        <v/>
      </c>
      <c r="BG201" s="1286" t="str">
        <f>IF($E$30="Enter Duration (wks)","",IF($Y79="Enter Hrs/Wk","",IF($E$30&gt;='FORMULA REFS'!AR$1,$Y79,"")))</f>
        <v/>
      </c>
      <c r="BH201" s="1286" t="str">
        <f>IF($E$30="Enter Duration (wks)","",IF($Y79="Enter Hrs/Wk","",IF($E$30&gt;='FORMULA REFS'!AS$1,$Y79,"")))</f>
        <v/>
      </c>
      <c r="BI201" s="1286" t="str">
        <f>IF($E$30="Enter Duration (wks)","",IF($Y79="Enter Hrs/Wk","",IF($E$30&gt;='FORMULA REFS'!AT$1,$Y79,"")))</f>
        <v/>
      </c>
      <c r="BJ201" s="1286" t="str">
        <f>IF($E$30="Enter Duration (wks)","",IF($Y79="Enter Hrs/Wk","",IF($E$30&gt;='FORMULA REFS'!AU$1,$Y79,"")))</f>
        <v/>
      </c>
      <c r="BK201" s="1286" t="str">
        <f>IF($E$30="Enter Duration (wks)","",IF($Y79="Enter Hrs/Wk","",IF($E$30&gt;='FORMULA REFS'!AV$1,$Y79,"")))</f>
        <v/>
      </c>
      <c r="BL201" s="1286" t="str">
        <f>IF($E$30="Enter Duration (wks)","",IF($Y79="Enter Hrs/Wk","",IF($E$30&gt;='FORMULA REFS'!AW$1,$Y79,"")))</f>
        <v/>
      </c>
      <c r="BM201" s="1286" t="str">
        <f>IF($E$30="Enter Duration (wks)","",IF($Y79="Enter Hrs/Wk","",IF($E$30&gt;='FORMULA REFS'!AX$1,$Y79,"")))</f>
        <v/>
      </c>
      <c r="BN201" s="1286" t="str">
        <f>IF($E$30="Enter Duration (wks)","",IF($Y79="Enter Hrs/Wk","",IF($E$30&gt;='FORMULA REFS'!AY$1,$Y79,"")))</f>
        <v/>
      </c>
      <c r="BO201" s="1286" t="str">
        <f>IF($E$30="Enter Duration (wks)","",IF($Y79="Enter Hrs/Wk","",IF($E$30&gt;='FORMULA REFS'!AZ$1,$Y79,"")))</f>
        <v/>
      </c>
    </row>
    <row r="202" spans="3:95" ht="13.95" hidden="1" customHeight="1" outlineLevel="1" x14ac:dyDescent="0.25">
      <c r="C202" s="1291" t="str">
        <f t="shared" si="80"/>
        <v/>
      </c>
      <c r="D202" s="1318" t="str">
        <f t="shared" si="81"/>
        <v/>
      </c>
      <c r="E202" s="1326"/>
      <c r="F202" s="1327" t="str">
        <f>IF($E$30="Enter Duration (wks)","",IF($Y80="Enter Hrs/Wk","",IF($E$30&gt;='FORMULA REFS'!A$1,$Y80,"")))</f>
        <v/>
      </c>
      <c r="G202" s="1328"/>
      <c r="H202" s="1570"/>
      <c r="I202" s="1329" t="str">
        <f>IF($E$30="Enter Duration (wks)","",IF($Y80="Enter Hrs/Wk","",IF($E$30&gt;='FORMULA REFS'!B$1,$Y80,"")))</f>
        <v/>
      </c>
      <c r="J202" s="1323"/>
      <c r="K202" s="1286" t="str">
        <f>IF($E$30="Enter Duration (wks)","",IF($Y80="Enter Hrs/Wk","",IF($E$30&gt;='FORMULA REFS'!C$1,$Y80,"")))</f>
        <v/>
      </c>
      <c r="L202" s="882" t="str">
        <f>IF($E$30="Enter Duration (wks)","",IF($Y80="Enter Hrs/Wk","",IF($E$30&gt;='FORMULA REFS'!D$1,$Y80,"")))</f>
        <v/>
      </c>
      <c r="M202" s="882" t="str">
        <f>IF($E$30="Enter Duration (wks)","",IF($Y80="Enter Hrs/Wk","",IF($E$30&gt;='FORMULA REFS'!E$1,$Y80,"")))</f>
        <v/>
      </c>
      <c r="N202" s="882" t="str">
        <f>IF($E$30="Enter Duration (wks)","",IF($Y80="Enter Hrs/Wk","",IF($E$30&gt;='FORMULA REFS'!F$1,$Y80,"")))</f>
        <v/>
      </c>
      <c r="O202" s="882" t="str">
        <f>IF($E$30="Enter Duration (wks)","",IF($Y80="Enter Hrs/Wk","",IF($E$30&gt;='FORMULA REFS'!G$1,$Y80,"")))</f>
        <v/>
      </c>
      <c r="P202" s="882" t="str">
        <f>IF($E$30="Enter Duration (wks)","",IF($Y80="Enter Hrs/Wk","",IF($E$30&gt;='FORMULA REFS'!H$1,$Y80,"")))</f>
        <v/>
      </c>
      <c r="Q202" s="882" t="str">
        <f>IF($E$30="Enter Duration (wks)","",IF($Y80="Enter Hrs/Wk","",IF($E$30&gt;='FORMULA REFS'!I$1,$Y80,"")))</f>
        <v/>
      </c>
      <c r="R202" s="882" t="str">
        <f>IF($E$30="Enter Duration (wks)","",IF($Y80="Enter Hrs/Wk","",IF($E$30&gt;='FORMULA REFS'!J$1,$Y80,"")))</f>
        <v/>
      </c>
      <c r="S202" s="882" t="str">
        <f>IF($E$30="Enter Duration (wks)","",IF($Y80="Enter Hrs/Wk","",IF($E$30&gt;='FORMULA REFS'!K$1,$Y80,"")))</f>
        <v/>
      </c>
      <c r="T202" s="1323" t="str">
        <f>IF($E$30="Enter Duration (wks)","",IF($Y80="Enter Hrs/Wk","",IF($E$30&gt;='FORMULA REFS'!L$1,$Y80,"")))</f>
        <v/>
      </c>
      <c r="U202" s="882" t="str">
        <f>IF($E$30="Enter Duration (wks)","",IF($Y80="Enter Hrs/Wk","",IF($E$30&gt;='FORMULA REFS'!M$1,$Y80,"")))</f>
        <v/>
      </c>
      <c r="V202" s="882"/>
      <c r="W202" s="882"/>
      <c r="X202" s="1285"/>
      <c r="Y202" s="1285" t="str">
        <f>IF($E$30="Enter Duration (wks)","",IF($Y80="Enter Hrs/Wk","",IF($E$30&gt;='FORMULA REFS'!N$1,$Y80,"")))</f>
        <v/>
      </c>
      <c r="Z202" s="1343" t="str">
        <f>IF($E$30="Enter Duration (wks)","",IF($Y80="Enter Hrs/Wk","",IF($E$30&gt;='FORMULA REFS'!O$1,$Y80,"")))</f>
        <v/>
      </c>
      <c r="AA202" s="882" t="str">
        <f>IF($E$30="Enter Duration (wks)","",IF($Y80="Enter Hrs/Wk","",IF($E$30&gt;='FORMULA REFS'!P$1,$Y80,"")))</f>
        <v/>
      </c>
      <c r="AB202" s="882" t="str">
        <f>IF($E$30="Enter Duration (wks)","",IF($Y80="Enter Hrs/Wk","",IF($E$30&gt;='FORMULA REFS'!Q$1,$Y80,"")))</f>
        <v/>
      </c>
      <c r="AC202" s="882"/>
      <c r="AD202" s="882"/>
      <c r="AE202" s="882"/>
      <c r="AF202" s="882"/>
      <c r="AG202" s="1286" t="str">
        <f>IF($E$30="Enter Duration (wks)","",IF($Y80="Enter Hrs/Wk","",IF($E$30&gt;='FORMULA REFS'!R$1,$Y80,"")))</f>
        <v/>
      </c>
      <c r="AH202" s="1286" t="str">
        <f>IF($E$30="Enter Duration (wks)","",IF($Y80="Enter Hrs/Wk","",IF($E$30&gt;='FORMULA REFS'!S$1,$Y80,"")))</f>
        <v/>
      </c>
      <c r="AI202" s="1286" t="str">
        <f>IF($E$30="Enter Duration (wks)","",IF($Y80="Enter Hrs/Wk","",IF($E$30&gt;='FORMULA REFS'!T$1,$Y80,"")))</f>
        <v/>
      </c>
      <c r="AJ202" s="1286" t="str">
        <f>IF($E$30="Enter Duration (wks)","",IF($Y80="Enter Hrs/Wk","",IF($E$30&gt;='FORMULA REFS'!U$1,$Y80,"")))</f>
        <v/>
      </c>
      <c r="AK202" s="1286" t="str">
        <f>IF($E$30="Enter Duration (wks)","",IF($Y80="Enter Hrs/Wk","",IF($E$30&gt;='FORMULA REFS'!V$1,$Y80,"")))</f>
        <v/>
      </c>
      <c r="AL202" s="1286" t="str">
        <f>IF($E$30="Enter Duration (wks)","",IF($Y80="Enter Hrs/Wk","",IF($E$30&gt;='FORMULA REFS'!W$1,$Y80,"")))</f>
        <v/>
      </c>
      <c r="AM202" s="1286" t="str">
        <f>IF($E$30="Enter Duration (wks)","",IF($Y80="Enter Hrs/Wk","",IF($E$30&gt;='FORMULA REFS'!X$1,$Y80,"")))</f>
        <v/>
      </c>
      <c r="AN202" s="1286" t="str">
        <f>IF($E$30="Enter Duration (wks)","",IF($Y80="Enter Hrs/Wk","",IF($E$30&gt;='FORMULA REFS'!Y$1,$Y80,"")))</f>
        <v/>
      </c>
      <c r="AO202" s="1286" t="str">
        <f>IF($E$30="Enter Duration (wks)","",IF($Y80="Enter Hrs/Wk","",IF($E$30&gt;='FORMULA REFS'!Z$1,$Y80,"")))</f>
        <v/>
      </c>
      <c r="AP202" s="1286" t="str">
        <f>IF($E$30="Enter Duration (wks)","",IF($Y80="Enter Hrs/Wk","",IF($E$30&gt;='FORMULA REFS'!AA$1,$Y80,"")))</f>
        <v/>
      </c>
      <c r="AQ202" s="1286" t="str">
        <f>IF($E$30="Enter Duration (wks)","",IF($Y80="Enter Hrs/Wk","",IF($E$30&gt;='FORMULA REFS'!AB$1,$Y80,"")))</f>
        <v/>
      </c>
      <c r="AR202" s="1286" t="str">
        <f>IF($E$30="Enter Duration (wks)","",IF($Y80="Enter Hrs/Wk","",IF($E$30&gt;='FORMULA REFS'!AC$1,$Y80,"")))</f>
        <v/>
      </c>
      <c r="AS202" s="1286" t="str">
        <f>IF($E$30="Enter Duration (wks)","",IF($Y80="Enter Hrs/Wk","",IF($E$30&gt;='FORMULA REFS'!AD$1,$Y80,"")))</f>
        <v/>
      </c>
      <c r="AT202" s="1286" t="str">
        <f>IF($E$30="Enter Duration (wks)","",IF($Y80="Enter Hrs/Wk","",IF($E$30&gt;='FORMULA REFS'!AE$1,$Y80,"")))</f>
        <v/>
      </c>
      <c r="AU202" s="1286" t="str">
        <f>IF($E$30="Enter Duration (wks)","",IF($Y80="Enter Hrs/Wk","",IF($E$30&gt;='FORMULA REFS'!AF$1,$Y80,"")))</f>
        <v/>
      </c>
      <c r="AV202" s="1286" t="str">
        <f>IF($E$30="Enter Duration (wks)","",IF($Y80="Enter Hrs/Wk","",IF($E$30&gt;='FORMULA REFS'!AG$1,$Y80,"")))</f>
        <v/>
      </c>
      <c r="AW202" s="1286" t="str">
        <f>IF($E$30="Enter Duration (wks)","",IF($Y80="Enter Hrs/Wk","",IF($E$30&gt;='FORMULA REFS'!AH$1,$Y80,"")))</f>
        <v/>
      </c>
      <c r="AX202" s="1286" t="str">
        <f>IF($E$30="Enter Duration (wks)","",IF($Y80="Enter Hrs/Wk","",IF($E$30&gt;='FORMULA REFS'!AI$1,$Y80,"")))</f>
        <v/>
      </c>
      <c r="AY202" s="1286" t="str">
        <f>IF($E$30="Enter Duration (wks)","",IF($Y80="Enter Hrs/Wk","",IF($E$30&gt;='FORMULA REFS'!AJ$1,$Y80,"")))</f>
        <v/>
      </c>
      <c r="AZ202" s="1286" t="str">
        <f>IF($E$30="Enter Duration (wks)","",IF($Y80="Enter Hrs/Wk","",IF($E$30&gt;='FORMULA REFS'!AK$1,$Y80,"")))</f>
        <v/>
      </c>
      <c r="BA202" s="1286" t="str">
        <f>IF($E$30="Enter Duration (wks)","",IF($Y80="Enter Hrs/Wk","",IF($E$30&gt;='FORMULA REFS'!AL$1,$Y80,"")))</f>
        <v/>
      </c>
      <c r="BB202" s="1286" t="str">
        <f>IF($E$30="Enter Duration (wks)","",IF($Y80="Enter Hrs/Wk","",IF($E$30&gt;='FORMULA REFS'!AM$1,$Y80,"")))</f>
        <v/>
      </c>
      <c r="BC202" s="1286" t="str">
        <f>IF($E$30="Enter Duration (wks)","",IF($Y80="Enter Hrs/Wk","",IF($E$30&gt;='FORMULA REFS'!AN$1,$Y80,"")))</f>
        <v/>
      </c>
      <c r="BD202" s="1286" t="str">
        <f>IF($E$30="Enter Duration (wks)","",IF($Y80="Enter Hrs/Wk","",IF($E$30&gt;='FORMULA REFS'!AO$1,$Y80,"")))</f>
        <v/>
      </c>
      <c r="BE202" s="1286" t="str">
        <f>IF($E$30="Enter Duration (wks)","",IF($Y80="Enter Hrs/Wk","",IF($E$30&gt;='FORMULA REFS'!AP$1,$Y80,"")))</f>
        <v/>
      </c>
      <c r="BF202" s="1286" t="str">
        <f>IF($E$30="Enter Duration (wks)","",IF($Y80="Enter Hrs/Wk","",IF($E$30&gt;='FORMULA REFS'!AQ$1,$Y80,"")))</f>
        <v/>
      </c>
      <c r="BG202" s="1286" t="str">
        <f>IF($E$30="Enter Duration (wks)","",IF($Y80="Enter Hrs/Wk","",IF($E$30&gt;='FORMULA REFS'!AR$1,$Y80,"")))</f>
        <v/>
      </c>
      <c r="BH202" s="1286" t="str">
        <f>IF($E$30="Enter Duration (wks)","",IF($Y80="Enter Hrs/Wk","",IF($E$30&gt;='FORMULA REFS'!AS$1,$Y80,"")))</f>
        <v/>
      </c>
      <c r="BI202" s="1286" t="str">
        <f>IF($E$30="Enter Duration (wks)","",IF($Y80="Enter Hrs/Wk","",IF($E$30&gt;='FORMULA REFS'!AT$1,$Y80,"")))</f>
        <v/>
      </c>
      <c r="BJ202" s="1286" t="str">
        <f>IF($E$30="Enter Duration (wks)","",IF($Y80="Enter Hrs/Wk","",IF($E$30&gt;='FORMULA REFS'!AU$1,$Y80,"")))</f>
        <v/>
      </c>
      <c r="BK202" s="1286" t="str">
        <f>IF($E$30="Enter Duration (wks)","",IF($Y80="Enter Hrs/Wk","",IF($E$30&gt;='FORMULA REFS'!AV$1,$Y80,"")))</f>
        <v/>
      </c>
      <c r="BL202" s="1286" t="str">
        <f>IF($E$30="Enter Duration (wks)","",IF($Y80="Enter Hrs/Wk","",IF($E$30&gt;='FORMULA REFS'!AW$1,$Y80,"")))</f>
        <v/>
      </c>
      <c r="BM202" s="1286" t="str">
        <f>IF($E$30="Enter Duration (wks)","",IF($Y80="Enter Hrs/Wk","",IF($E$30&gt;='FORMULA REFS'!AX$1,$Y80,"")))</f>
        <v/>
      </c>
      <c r="BN202" s="1286" t="str">
        <f>IF($E$30="Enter Duration (wks)","",IF($Y80="Enter Hrs/Wk","",IF($E$30&gt;='FORMULA REFS'!AY$1,$Y80,"")))</f>
        <v/>
      </c>
      <c r="BO202" s="1286" t="str">
        <f>IF($E$30="Enter Duration (wks)","",IF($Y80="Enter Hrs/Wk","",IF($E$30&gt;='FORMULA REFS'!AZ$1,$Y80,"")))</f>
        <v/>
      </c>
    </row>
    <row r="203" spans="3:95" ht="13.95" hidden="1" customHeight="1" outlineLevel="1" x14ac:dyDescent="0.25">
      <c r="C203" s="1291" t="str">
        <f t="shared" ref="C203:C234" si="82">IF(ISBLANK(C81),"",C81)</f>
        <v/>
      </c>
      <c r="D203" s="1318" t="str">
        <f t="shared" si="81"/>
        <v/>
      </c>
      <c r="E203" s="1326"/>
      <c r="F203" s="1327" t="str">
        <f>IF($E$30="Enter Duration (wks)","",IF($Y81="Enter Hrs/Wk","",IF($E$30&gt;='FORMULA REFS'!A$1,$Y81,"")))</f>
        <v/>
      </c>
      <c r="G203" s="1328"/>
      <c r="H203" s="1570"/>
      <c r="I203" s="1329" t="str">
        <f>IF($E$30="Enter Duration (wks)","",IF($Y81="Enter Hrs/Wk","",IF($E$30&gt;='FORMULA REFS'!B$1,$Y81,"")))</f>
        <v/>
      </c>
      <c r="J203" s="1323"/>
      <c r="K203" s="1286" t="str">
        <f>IF($E$30="Enter Duration (wks)","",IF($Y81="Enter Hrs/Wk","",IF($E$30&gt;='FORMULA REFS'!C$1,$Y81,"")))</f>
        <v/>
      </c>
      <c r="L203" s="882" t="str">
        <f>IF($E$30="Enter Duration (wks)","",IF($Y81="Enter Hrs/Wk","",IF($E$30&gt;='FORMULA REFS'!D$1,$Y81,"")))</f>
        <v/>
      </c>
      <c r="M203" s="882" t="str">
        <f>IF($E$30="Enter Duration (wks)","",IF($Y81="Enter Hrs/Wk","",IF($E$30&gt;='FORMULA REFS'!E$1,$Y81,"")))</f>
        <v/>
      </c>
      <c r="N203" s="882" t="str">
        <f>IF($E$30="Enter Duration (wks)","",IF($Y81="Enter Hrs/Wk","",IF($E$30&gt;='FORMULA REFS'!F$1,$Y81,"")))</f>
        <v/>
      </c>
      <c r="O203" s="882" t="str">
        <f>IF($E$30="Enter Duration (wks)","",IF($Y81="Enter Hrs/Wk","",IF($E$30&gt;='FORMULA REFS'!G$1,$Y81,"")))</f>
        <v/>
      </c>
      <c r="P203" s="882" t="str">
        <f>IF($E$30="Enter Duration (wks)","",IF($Y81="Enter Hrs/Wk","",IF($E$30&gt;='FORMULA REFS'!H$1,$Y81,"")))</f>
        <v/>
      </c>
      <c r="Q203" s="882" t="str">
        <f>IF($E$30="Enter Duration (wks)","",IF($Y81="Enter Hrs/Wk","",IF($E$30&gt;='FORMULA REFS'!I$1,$Y81,"")))</f>
        <v/>
      </c>
      <c r="R203" s="882" t="str">
        <f>IF($E$30="Enter Duration (wks)","",IF($Y81="Enter Hrs/Wk","",IF($E$30&gt;='FORMULA REFS'!J$1,$Y81,"")))</f>
        <v/>
      </c>
      <c r="S203" s="882" t="str">
        <f>IF($E$30="Enter Duration (wks)","",IF($Y81="Enter Hrs/Wk","",IF($E$30&gt;='FORMULA REFS'!K$1,$Y81,"")))</f>
        <v/>
      </c>
      <c r="T203" s="1323" t="str">
        <f>IF($E$30="Enter Duration (wks)","",IF($Y81="Enter Hrs/Wk","",IF($E$30&gt;='FORMULA REFS'!L$1,$Y81,"")))</f>
        <v/>
      </c>
      <c r="U203" s="882" t="str">
        <f>IF($E$30="Enter Duration (wks)","",IF($Y81="Enter Hrs/Wk","",IF($E$30&gt;='FORMULA REFS'!M$1,$Y81,"")))</f>
        <v/>
      </c>
      <c r="V203" s="882"/>
      <c r="W203" s="882"/>
      <c r="X203" s="1285"/>
      <c r="Y203" s="1285" t="str">
        <f>IF($E$30="Enter Duration (wks)","",IF($Y81="Enter Hrs/Wk","",IF($E$30&gt;='FORMULA REFS'!N$1,$Y81,"")))</f>
        <v/>
      </c>
      <c r="Z203" s="1343" t="str">
        <f>IF($E$30="Enter Duration (wks)","",IF($Y81="Enter Hrs/Wk","",IF($E$30&gt;='FORMULA REFS'!O$1,$Y81,"")))</f>
        <v/>
      </c>
      <c r="AA203" s="882" t="str">
        <f>IF($E$30="Enter Duration (wks)","",IF($Y81="Enter Hrs/Wk","",IF($E$30&gt;='FORMULA REFS'!P$1,$Y81,"")))</f>
        <v/>
      </c>
      <c r="AB203" s="882" t="str">
        <f>IF($E$30="Enter Duration (wks)","",IF($Y81="Enter Hrs/Wk","",IF($E$30&gt;='FORMULA REFS'!Q$1,$Y81,"")))</f>
        <v/>
      </c>
      <c r="AC203" s="882"/>
      <c r="AD203" s="882"/>
      <c r="AE203" s="882"/>
      <c r="AF203" s="882"/>
      <c r="AG203" s="1286" t="str">
        <f>IF($E$30="Enter Duration (wks)","",IF($Y81="Enter Hrs/Wk","",IF($E$30&gt;='FORMULA REFS'!R$1,$Y81,"")))</f>
        <v/>
      </c>
      <c r="AH203" s="1286" t="str">
        <f>IF($E$30="Enter Duration (wks)","",IF($Y81="Enter Hrs/Wk","",IF($E$30&gt;='FORMULA REFS'!S$1,$Y81,"")))</f>
        <v/>
      </c>
      <c r="AI203" s="1286" t="str">
        <f>IF($E$30="Enter Duration (wks)","",IF($Y81="Enter Hrs/Wk","",IF($E$30&gt;='FORMULA REFS'!T$1,$Y81,"")))</f>
        <v/>
      </c>
      <c r="AJ203" s="1286" t="str">
        <f>IF($E$30="Enter Duration (wks)","",IF($Y81="Enter Hrs/Wk","",IF($E$30&gt;='FORMULA REFS'!U$1,$Y81,"")))</f>
        <v/>
      </c>
      <c r="AK203" s="1286" t="str">
        <f>IF($E$30="Enter Duration (wks)","",IF($Y81="Enter Hrs/Wk","",IF($E$30&gt;='FORMULA REFS'!V$1,$Y81,"")))</f>
        <v/>
      </c>
      <c r="AL203" s="1286" t="str">
        <f>IF($E$30="Enter Duration (wks)","",IF($Y81="Enter Hrs/Wk","",IF($E$30&gt;='FORMULA REFS'!W$1,$Y81,"")))</f>
        <v/>
      </c>
      <c r="AM203" s="1286" t="str">
        <f>IF($E$30="Enter Duration (wks)","",IF($Y81="Enter Hrs/Wk","",IF($E$30&gt;='FORMULA REFS'!X$1,$Y81,"")))</f>
        <v/>
      </c>
      <c r="AN203" s="1286" t="str">
        <f>IF($E$30="Enter Duration (wks)","",IF($Y81="Enter Hrs/Wk","",IF($E$30&gt;='FORMULA REFS'!Y$1,$Y81,"")))</f>
        <v/>
      </c>
      <c r="AO203" s="1286" t="str">
        <f>IF($E$30="Enter Duration (wks)","",IF($Y81="Enter Hrs/Wk","",IF($E$30&gt;='FORMULA REFS'!Z$1,$Y81,"")))</f>
        <v/>
      </c>
      <c r="AP203" s="1286" t="str">
        <f>IF($E$30="Enter Duration (wks)","",IF($Y81="Enter Hrs/Wk","",IF($E$30&gt;='FORMULA REFS'!AA$1,$Y81,"")))</f>
        <v/>
      </c>
      <c r="AQ203" s="1286" t="str">
        <f>IF($E$30="Enter Duration (wks)","",IF($Y81="Enter Hrs/Wk","",IF($E$30&gt;='FORMULA REFS'!AB$1,$Y81,"")))</f>
        <v/>
      </c>
      <c r="AR203" s="1286" t="str">
        <f>IF($E$30="Enter Duration (wks)","",IF($Y81="Enter Hrs/Wk","",IF($E$30&gt;='FORMULA REFS'!AC$1,$Y81,"")))</f>
        <v/>
      </c>
      <c r="AS203" s="1286" t="str">
        <f>IF($E$30="Enter Duration (wks)","",IF($Y81="Enter Hrs/Wk","",IF($E$30&gt;='FORMULA REFS'!AD$1,$Y81,"")))</f>
        <v/>
      </c>
      <c r="AT203" s="1286" t="str">
        <f>IF($E$30="Enter Duration (wks)","",IF($Y81="Enter Hrs/Wk","",IF($E$30&gt;='FORMULA REFS'!AE$1,$Y81,"")))</f>
        <v/>
      </c>
      <c r="AU203" s="1286" t="str">
        <f>IF($E$30="Enter Duration (wks)","",IF($Y81="Enter Hrs/Wk","",IF($E$30&gt;='FORMULA REFS'!AF$1,$Y81,"")))</f>
        <v/>
      </c>
      <c r="AV203" s="1286" t="str">
        <f>IF($E$30="Enter Duration (wks)","",IF($Y81="Enter Hrs/Wk","",IF($E$30&gt;='FORMULA REFS'!AG$1,$Y81,"")))</f>
        <v/>
      </c>
      <c r="AW203" s="1286" t="str">
        <f>IF($E$30="Enter Duration (wks)","",IF($Y81="Enter Hrs/Wk","",IF($E$30&gt;='FORMULA REFS'!AH$1,$Y81,"")))</f>
        <v/>
      </c>
      <c r="AX203" s="1286" t="str">
        <f>IF($E$30="Enter Duration (wks)","",IF($Y81="Enter Hrs/Wk","",IF($E$30&gt;='FORMULA REFS'!AI$1,$Y81,"")))</f>
        <v/>
      </c>
      <c r="AY203" s="1286" t="str">
        <f>IF($E$30="Enter Duration (wks)","",IF($Y81="Enter Hrs/Wk","",IF($E$30&gt;='FORMULA REFS'!AJ$1,$Y81,"")))</f>
        <v/>
      </c>
      <c r="AZ203" s="1286" t="str">
        <f>IF($E$30="Enter Duration (wks)","",IF($Y81="Enter Hrs/Wk","",IF($E$30&gt;='FORMULA REFS'!AK$1,$Y81,"")))</f>
        <v/>
      </c>
      <c r="BA203" s="1286" t="str">
        <f>IF($E$30="Enter Duration (wks)","",IF($Y81="Enter Hrs/Wk","",IF($E$30&gt;='FORMULA REFS'!AL$1,$Y81,"")))</f>
        <v/>
      </c>
      <c r="BB203" s="1286" t="str">
        <f>IF($E$30="Enter Duration (wks)","",IF($Y81="Enter Hrs/Wk","",IF($E$30&gt;='FORMULA REFS'!AM$1,$Y81,"")))</f>
        <v/>
      </c>
      <c r="BC203" s="1286" t="str">
        <f>IF($E$30="Enter Duration (wks)","",IF($Y81="Enter Hrs/Wk","",IF($E$30&gt;='FORMULA REFS'!AN$1,$Y81,"")))</f>
        <v/>
      </c>
      <c r="BD203" s="1286" t="str">
        <f>IF($E$30="Enter Duration (wks)","",IF($Y81="Enter Hrs/Wk","",IF($E$30&gt;='FORMULA REFS'!AO$1,$Y81,"")))</f>
        <v/>
      </c>
      <c r="BE203" s="1286" t="str">
        <f>IF($E$30="Enter Duration (wks)","",IF($Y81="Enter Hrs/Wk","",IF($E$30&gt;='FORMULA REFS'!AP$1,$Y81,"")))</f>
        <v/>
      </c>
      <c r="BF203" s="1286" t="str">
        <f>IF($E$30="Enter Duration (wks)","",IF($Y81="Enter Hrs/Wk","",IF($E$30&gt;='FORMULA REFS'!AQ$1,$Y81,"")))</f>
        <v/>
      </c>
      <c r="BG203" s="1286" t="str">
        <f>IF($E$30="Enter Duration (wks)","",IF($Y81="Enter Hrs/Wk","",IF($E$30&gt;='FORMULA REFS'!AR$1,$Y81,"")))</f>
        <v/>
      </c>
      <c r="BH203" s="1286" t="str">
        <f>IF($E$30="Enter Duration (wks)","",IF($Y81="Enter Hrs/Wk","",IF($E$30&gt;='FORMULA REFS'!AS$1,$Y81,"")))</f>
        <v/>
      </c>
      <c r="BI203" s="1286" t="str">
        <f>IF($E$30="Enter Duration (wks)","",IF($Y81="Enter Hrs/Wk","",IF($E$30&gt;='FORMULA REFS'!AT$1,$Y81,"")))</f>
        <v/>
      </c>
      <c r="BJ203" s="1286" t="str">
        <f>IF($E$30="Enter Duration (wks)","",IF($Y81="Enter Hrs/Wk","",IF($E$30&gt;='FORMULA REFS'!AU$1,$Y81,"")))</f>
        <v/>
      </c>
      <c r="BK203" s="1286" t="str">
        <f>IF($E$30="Enter Duration (wks)","",IF($Y81="Enter Hrs/Wk","",IF($E$30&gt;='FORMULA REFS'!AV$1,$Y81,"")))</f>
        <v/>
      </c>
      <c r="BL203" s="1286" t="str">
        <f>IF($E$30="Enter Duration (wks)","",IF($Y81="Enter Hrs/Wk","",IF($E$30&gt;='FORMULA REFS'!AW$1,$Y81,"")))</f>
        <v/>
      </c>
      <c r="BM203" s="1286" t="str">
        <f>IF($E$30="Enter Duration (wks)","",IF($Y81="Enter Hrs/Wk","",IF($E$30&gt;='FORMULA REFS'!AX$1,$Y81,"")))</f>
        <v/>
      </c>
      <c r="BN203" s="1286" t="str">
        <f>IF($E$30="Enter Duration (wks)","",IF($Y81="Enter Hrs/Wk","",IF($E$30&gt;='FORMULA REFS'!AY$1,$Y81,"")))</f>
        <v/>
      </c>
      <c r="BO203" s="1286" t="str">
        <f>IF($E$30="Enter Duration (wks)","",IF($Y81="Enter Hrs/Wk","",IF($E$30&gt;='FORMULA REFS'!AZ$1,$Y81,"")))</f>
        <v/>
      </c>
    </row>
    <row r="204" spans="3:95" ht="13.95" hidden="1" customHeight="1" outlineLevel="1" x14ac:dyDescent="0.25">
      <c r="C204" s="1291" t="str">
        <f t="shared" si="82"/>
        <v/>
      </c>
      <c r="D204" s="1318" t="str">
        <f t="shared" si="81"/>
        <v/>
      </c>
      <c r="E204" s="1326"/>
      <c r="F204" s="1327" t="str">
        <f>IF($E$30="Enter Duration (wks)","",IF($Y82="Enter Hrs/Wk","",IF($E$30&gt;='FORMULA REFS'!A$1,$Y82,"")))</f>
        <v/>
      </c>
      <c r="G204" s="1328"/>
      <c r="H204" s="1570"/>
      <c r="I204" s="1329" t="str">
        <f>IF($E$30="Enter Duration (wks)","",IF($Y82="Enter Hrs/Wk","",IF($E$30&gt;='FORMULA REFS'!B$1,$Y82,"")))</f>
        <v/>
      </c>
      <c r="J204" s="1323"/>
      <c r="K204" s="1286" t="str">
        <f>IF($E$30="Enter Duration (wks)","",IF($Y82="Enter Hrs/Wk","",IF($E$30&gt;='FORMULA REFS'!C$1,$Y82,"")))</f>
        <v/>
      </c>
      <c r="L204" s="882" t="str">
        <f>IF($E$30="Enter Duration (wks)","",IF($Y82="Enter Hrs/Wk","",IF($E$30&gt;='FORMULA REFS'!D$1,$Y82,"")))</f>
        <v/>
      </c>
      <c r="M204" s="882" t="str">
        <f>IF($E$30="Enter Duration (wks)","",IF($Y82="Enter Hrs/Wk","",IF($E$30&gt;='FORMULA REFS'!E$1,$Y82,"")))</f>
        <v/>
      </c>
      <c r="N204" s="882" t="str">
        <f>IF($E$30="Enter Duration (wks)","",IF($Y82="Enter Hrs/Wk","",IF($E$30&gt;='FORMULA REFS'!F$1,$Y82,"")))</f>
        <v/>
      </c>
      <c r="O204" s="882" t="str">
        <f>IF($E$30="Enter Duration (wks)","",IF($Y82="Enter Hrs/Wk","",IF($E$30&gt;='FORMULA REFS'!G$1,$Y82,"")))</f>
        <v/>
      </c>
      <c r="P204" s="882" t="str">
        <f>IF($E$30="Enter Duration (wks)","",IF($Y82="Enter Hrs/Wk","",IF($E$30&gt;='FORMULA REFS'!H$1,$Y82,"")))</f>
        <v/>
      </c>
      <c r="Q204" s="882" t="str">
        <f>IF($E$30="Enter Duration (wks)","",IF($Y82="Enter Hrs/Wk","",IF($E$30&gt;='FORMULA REFS'!I$1,$Y82,"")))</f>
        <v/>
      </c>
      <c r="R204" s="882" t="str">
        <f>IF($E$30="Enter Duration (wks)","",IF($Y82="Enter Hrs/Wk","",IF($E$30&gt;='FORMULA REFS'!J$1,$Y82,"")))</f>
        <v/>
      </c>
      <c r="S204" s="882" t="str">
        <f>IF($E$30="Enter Duration (wks)","",IF($Y82="Enter Hrs/Wk","",IF($E$30&gt;='FORMULA REFS'!K$1,$Y82,"")))</f>
        <v/>
      </c>
      <c r="T204" s="1323" t="str">
        <f>IF($E$30="Enter Duration (wks)","",IF($Y82="Enter Hrs/Wk","",IF($E$30&gt;='FORMULA REFS'!L$1,$Y82,"")))</f>
        <v/>
      </c>
      <c r="U204" s="882" t="str">
        <f>IF($E$30="Enter Duration (wks)","",IF($Y82="Enter Hrs/Wk","",IF($E$30&gt;='FORMULA REFS'!M$1,$Y82,"")))</f>
        <v/>
      </c>
      <c r="V204" s="882"/>
      <c r="W204" s="882"/>
      <c r="X204" s="1285"/>
      <c r="Y204" s="1285" t="str">
        <f>IF($E$30="Enter Duration (wks)","",IF($Y82="Enter Hrs/Wk","",IF($E$30&gt;='FORMULA REFS'!N$1,$Y82,"")))</f>
        <v/>
      </c>
      <c r="Z204" s="1343" t="str">
        <f>IF($E$30="Enter Duration (wks)","",IF($Y82="Enter Hrs/Wk","",IF($E$30&gt;='FORMULA REFS'!O$1,$Y82,"")))</f>
        <v/>
      </c>
      <c r="AA204" s="882" t="str">
        <f>IF($E$30="Enter Duration (wks)","",IF($Y82="Enter Hrs/Wk","",IF($E$30&gt;='FORMULA REFS'!P$1,$Y82,"")))</f>
        <v/>
      </c>
      <c r="AB204" s="882" t="str">
        <f>IF($E$30="Enter Duration (wks)","",IF($Y82="Enter Hrs/Wk","",IF($E$30&gt;='FORMULA REFS'!Q$1,$Y82,"")))</f>
        <v/>
      </c>
      <c r="AC204" s="882"/>
      <c r="AD204" s="882"/>
      <c r="AE204" s="882"/>
      <c r="AF204" s="882"/>
      <c r="AG204" s="1286" t="str">
        <f>IF($E$30="Enter Duration (wks)","",IF($Y82="Enter Hrs/Wk","",IF($E$30&gt;='FORMULA REFS'!R$1,$Y82,"")))</f>
        <v/>
      </c>
      <c r="AH204" s="1286" t="str">
        <f>IF($E$30="Enter Duration (wks)","",IF($Y82="Enter Hrs/Wk","",IF($E$30&gt;='FORMULA REFS'!S$1,$Y82,"")))</f>
        <v/>
      </c>
      <c r="AI204" s="1286" t="str">
        <f>IF($E$30="Enter Duration (wks)","",IF($Y82="Enter Hrs/Wk","",IF($E$30&gt;='FORMULA REFS'!T$1,$Y82,"")))</f>
        <v/>
      </c>
      <c r="AJ204" s="1286" t="str">
        <f>IF($E$30="Enter Duration (wks)","",IF($Y82="Enter Hrs/Wk","",IF($E$30&gt;='FORMULA REFS'!U$1,$Y82,"")))</f>
        <v/>
      </c>
      <c r="AK204" s="1286" t="str">
        <f>IF($E$30="Enter Duration (wks)","",IF($Y82="Enter Hrs/Wk","",IF($E$30&gt;='FORMULA REFS'!V$1,$Y82,"")))</f>
        <v/>
      </c>
      <c r="AL204" s="1286" t="str">
        <f>IF($E$30="Enter Duration (wks)","",IF($Y82="Enter Hrs/Wk","",IF($E$30&gt;='FORMULA REFS'!W$1,$Y82,"")))</f>
        <v/>
      </c>
      <c r="AM204" s="1286" t="str">
        <f>IF($E$30="Enter Duration (wks)","",IF($Y82="Enter Hrs/Wk","",IF($E$30&gt;='FORMULA REFS'!X$1,$Y82,"")))</f>
        <v/>
      </c>
      <c r="AN204" s="1286" t="str">
        <f>IF($E$30="Enter Duration (wks)","",IF($Y82="Enter Hrs/Wk","",IF($E$30&gt;='FORMULA REFS'!Y$1,$Y82,"")))</f>
        <v/>
      </c>
      <c r="AO204" s="1286" t="str">
        <f>IF($E$30="Enter Duration (wks)","",IF($Y82="Enter Hrs/Wk","",IF($E$30&gt;='FORMULA REFS'!Z$1,$Y82,"")))</f>
        <v/>
      </c>
      <c r="AP204" s="1286" t="str">
        <f>IF($E$30="Enter Duration (wks)","",IF($Y82="Enter Hrs/Wk","",IF($E$30&gt;='FORMULA REFS'!AA$1,$Y82,"")))</f>
        <v/>
      </c>
      <c r="AQ204" s="1286" t="str">
        <f>IF($E$30="Enter Duration (wks)","",IF($Y82="Enter Hrs/Wk","",IF($E$30&gt;='FORMULA REFS'!AB$1,$Y82,"")))</f>
        <v/>
      </c>
      <c r="AR204" s="1286" t="str">
        <f>IF($E$30="Enter Duration (wks)","",IF($Y82="Enter Hrs/Wk","",IF($E$30&gt;='FORMULA REFS'!AC$1,$Y82,"")))</f>
        <v/>
      </c>
      <c r="AS204" s="1286" t="str">
        <f>IF($E$30="Enter Duration (wks)","",IF($Y82="Enter Hrs/Wk","",IF($E$30&gt;='FORMULA REFS'!AD$1,$Y82,"")))</f>
        <v/>
      </c>
      <c r="AT204" s="1286" t="str">
        <f>IF($E$30="Enter Duration (wks)","",IF($Y82="Enter Hrs/Wk","",IF($E$30&gt;='FORMULA REFS'!AE$1,$Y82,"")))</f>
        <v/>
      </c>
      <c r="AU204" s="1286" t="str">
        <f>IF($E$30="Enter Duration (wks)","",IF($Y82="Enter Hrs/Wk","",IF($E$30&gt;='FORMULA REFS'!AF$1,$Y82,"")))</f>
        <v/>
      </c>
      <c r="AV204" s="1286" t="str">
        <f>IF($E$30="Enter Duration (wks)","",IF($Y82="Enter Hrs/Wk","",IF($E$30&gt;='FORMULA REFS'!AG$1,$Y82,"")))</f>
        <v/>
      </c>
      <c r="AW204" s="1286" t="str">
        <f>IF($E$30="Enter Duration (wks)","",IF($Y82="Enter Hrs/Wk","",IF($E$30&gt;='FORMULA REFS'!AH$1,$Y82,"")))</f>
        <v/>
      </c>
      <c r="AX204" s="1286" t="str">
        <f>IF($E$30="Enter Duration (wks)","",IF($Y82="Enter Hrs/Wk","",IF($E$30&gt;='FORMULA REFS'!AI$1,$Y82,"")))</f>
        <v/>
      </c>
      <c r="AY204" s="1286" t="str">
        <f>IF($E$30="Enter Duration (wks)","",IF($Y82="Enter Hrs/Wk","",IF($E$30&gt;='FORMULA REFS'!AJ$1,$Y82,"")))</f>
        <v/>
      </c>
      <c r="AZ204" s="1286" t="str">
        <f>IF($E$30="Enter Duration (wks)","",IF($Y82="Enter Hrs/Wk","",IF($E$30&gt;='FORMULA REFS'!AK$1,$Y82,"")))</f>
        <v/>
      </c>
      <c r="BA204" s="1286" t="str">
        <f>IF($E$30="Enter Duration (wks)","",IF($Y82="Enter Hrs/Wk","",IF($E$30&gt;='FORMULA REFS'!AL$1,$Y82,"")))</f>
        <v/>
      </c>
      <c r="BB204" s="1286" t="str">
        <f>IF($E$30="Enter Duration (wks)","",IF($Y82="Enter Hrs/Wk","",IF($E$30&gt;='FORMULA REFS'!AM$1,$Y82,"")))</f>
        <v/>
      </c>
      <c r="BC204" s="1286" t="str">
        <f>IF($E$30="Enter Duration (wks)","",IF($Y82="Enter Hrs/Wk","",IF($E$30&gt;='FORMULA REFS'!AN$1,$Y82,"")))</f>
        <v/>
      </c>
      <c r="BD204" s="1286" t="str">
        <f>IF($E$30="Enter Duration (wks)","",IF($Y82="Enter Hrs/Wk","",IF($E$30&gt;='FORMULA REFS'!AO$1,$Y82,"")))</f>
        <v/>
      </c>
      <c r="BE204" s="1286" t="str">
        <f>IF($E$30="Enter Duration (wks)","",IF($Y82="Enter Hrs/Wk","",IF($E$30&gt;='FORMULA REFS'!AP$1,$Y82,"")))</f>
        <v/>
      </c>
      <c r="BF204" s="1286" t="str">
        <f>IF($E$30="Enter Duration (wks)","",IF($Y82="Enter Hrs/Wk","",IF($E$30&gt;='FORMULA REFS'!AQ$1,$Y82,"")))</f>
        <v/>
      </c>
      <c r="BG204" s="1286" t="str">
        <f>IF($E$30="Enter Duration (wks)","",IF($Y82="Enter Hrs/Wk","",IF($E$30&gt;='FORMULA REFS'!AR$1,$Y82,"")))</f>
        <v/>
      </c>
      <c r="BH204" s="1286" t="str">
        <f>IF($E$30="Enter Duration (wks)","",IF($Y82="Enter Hrs/Wk","",IF($E$30&gt;='FORMULA REFS'!AS$1,$Y82,"")))</f>
        <v/>
      </c>
      <c r="BI204" s="1286" t="str">
        <f>IF($E$30="Enter Duration (wks)","",IF($Y82="Enter Hrs/Wk","",IF($E$30&gt;='FORMULA REFS'!AT$1,$Y82,"")))</f>
        <v/>
      </c>
      <c r="BJ204" s="1286" t="str">
        <f>IF($E$30="Enter Duration (wks)","",IF($Y82="Enter Hrs/Wk","",IF($E$30&gt;='FORMULA REFS'!AU$1,$Y82,"")))</f>
        <v/>
      </c>
      <c r="BK204" s="1286" t="str">
        <f>IF($E$30="Enter Duration (wks)","",IF($Y82="Enter Hrs/Wk","",IF($E$30&gt;='FORMULA REFS'!AV$1,$Y82,"")))</f>
        <v/>
      </c>
      <c r="BL204" s="1286" t="str">
        <f>IF($E$30="Enter Duration (wks)","",IF($Y82="Enter Hrs/Wk","",IF($E$30&gt;='FORMULA REFS'!AW$1,$Y82,"")))</f>
        <v/>
      </c>
      <c r="BM204" s="1286" t="str">
        <f>IF($E$30="Enter Duration (wks)","",IF($Y82="Enter Hrs/Wk","",IF($E$30&gt;='FORMULA REFS'!AX$1,$Y82,"")))</f>
        <v/>
      </c>
      <c r="BN204" s="1286" t="str">
        <f>IF($E$30="Enter Duration (wks)","",IF($Y82="Enter Hrs/Wk","",IF($E$30&gt;='FORMULA REFS'!AY$1,$Y82,"")))</f>
        <v/>
      </c>
      <c r="BO204" s="1286" t="str">
        <f>IF($E$30="Enter Duration (wks)","",IF($Y82="Enter Hrs/Wk","",IF($E$30&gt;='FORMULA REFS'!AZ$1,$Y82,"")))</f>
        <v/>
      </c>
    </row>
    <row r="205" spans="3:95" ht="13.95" hidden="1" customHeight="1" outlineLevel="1" x14ac:dyDescent="0.25">
      <c r="C205" s="1291" t="str">
        <f t="shared" si="82"/>
        <v/>
      </c>
      <c r="D205" s="1318" t="str">
        <f t="shared" si="81"/>
        <v/>
      </c>
      <c r="E205" s="1326"/>
      <c r="F205" s="1327" t="str">
        <f>IF($E$30="Enter Duration (wks)","",IF($Y83="Enter Hrs/Wk","",IF($E$30&gt;='FORMULA REFS'!A$1,$Y83,"")))</f>
        <v/>
      </c>
      <c r="G205" s="1328"/>
      <c r="H205" s="1570"/>
      <c r="I205" s="1329" t="str">
        <f>IF($E$30="Enter Duration (wks)","",IF($Y83="Enter Hrs/Wk","",IF($E$30&gt;='FORMULA REFS'!B$1,$Y83,"")))</f>
        <v/>
      </c>
      <c r="J205" s="1323"/>
      <c r="K205" s="1286" t="str">
        <f>IF($E$30="Enter Duration (wks)","",IF($Y83="Enter Hrs/Wk","",IF($E$30&gt;='FORMULA REFS'!C$1,$Y83,"")))</f>
        <v/>
      </c>
      <c r="L205" s="882" t="str">
        <f>IF($E$30="Enter Duration (wks)","",IF($Y83="Enter Hrs/Wk","",IF($E$30&gt;='FORMULA REFS'!D$1,$Y83,"")))</f>
        <v/>
      </c>
      <c r="M205" s="882" t="str">
        <f>IF($E$30="Enter Duration (wks)","",IF($Y83="Enter Hrs/Wk","",IF($E$30&gt;='FORMULA REFS'!E$1,$Y83,"")))</f>
        <v/>
      </c>
      <c r="N205" s="882" t="str">
        <f>IF($E$30="Enter Duration (wks)","",IF($Y83="Enter Hrs/Wk","",IF($E$30&gt;='FORMULA REFS'!F$1,$Y83,"")))</f>
        <v/>
      </c>
      <c r="O205" s="882" t="str">
        <f>IF($E$30="Enter Duration (wks)","",IF($Y83="Enter Hrs/Wk","",IF($E$30&gt;='FORMULA REFS'!G$1,$Y83,"")))</f>
        <v/>
      </c>
      <c r="P205" s="882" t="str">
        <f>IF($E$30="Enter Duration (wks)","",IF($Y83="Enter Hrs/Wk","",IF($E$30&gt;='FORMULA REFS'!H$1,$Y83,"")))</f>
        <v/>
      </c>
      <c r="Q205" s="882" t="str">
        <f>IF($E$30="Enter Duration (wks)","",IF($Y83="Enter Hrs/Wk","",IF($E$30&gt;='FORMULA REFS'!I$1,$Y83,"")))</f>
        <v/>
      </c>
      <c r="R205" s="882" t="str">
        <f>IF($E$30="Enter Duration (wks)","",IF($Y83="Enter Hrs/Wk","",IF($E$30&gt;='FORMULA REFS'!J$1,$Y83,"")))</f>
        <v/>
      </c>
      <c r="S205" s="882" t="str">
        <f>IF($E$30="Enter Duration (wks)","",IF($Y83="Enter Hrs/Wk","",IF($E$30&gt;='FORMULA REFS'!K$1,$Y83,"")))</f>
        <v/>
      </c>
      <c r="T205" s="1323" t="str">
        <f>IF($E$30="Enter Duration (wks)","",IF($Y83="Enter Hrs/Wk","",IF($E$30&gt;='FORMULA REFS'!L$1,$Y83,"")))</f>
        <v/>
      </c>
      <c r="U205" s="882" t="str">
        <f>IF($E$30="Enter Duration (wks)","",IF($Y83="Enter Hrs/Wk","",IF($E$30&gt;='FORMULA REFS'!M$1,$Y83,"")))</f>
        <v/>
      </c>
      <c r="V205" s="882"/>
      <c r="W205" s="882"/>
      <c r="X205" s="1285"/>
      <c r="Y205" s="1285" t="str">
        <f>IF($E$30="Enter Duration (wks)","",IF($Y83="Enter Hrs/Wk","",IF($E$30&gt;='FORMULA REFS'!N$1,$Y83,"")))</f>
        <v/>
      </c>
      <c r="Z205" s="1343" t="str">
        <f>IF($E$30="Enter Duration (wks)","",IF($Y83="Enter Hrs/Wk","",IF($E$30&gt;='FORMULA REFS'!O$1,$Y83,"")))</f>
        <v/>
      </c>
      <c r="AA205" s="882" t="str">
        <f>IF($E$30="Enter Duration (wks)","",IF($Y83="Enter Hrs/Wk","",IF($E$30&gt;='FORMULA REFS'!P$1,$Y83,"")))</f>
        <v/>
      </c>
      <c r="AB205" s="882" t="str">
        <f>IF($E$30="Enter Duration (wks)","",IF($Y83="Enter Hrs/Wk","",IF($E$30&gt;='FORMULA REFS'!Q$1,$Y83,"")))</f>
        <v/>
      </c>
      <c r="AC205" s="882"/>
      <c r="AD205" s="882"/>
      <c r="AE205" s="882"/>
      <c r="AF205" s="882"/>
      <c r="AG205" s="1286" t="str">
        <f>IF($E$30="Enter Duration (wks)","",IF($Y83="Enter Hrs/Wk","",IF($E$30&gt;='FORMULA REFS'!R$1,$Y83,"")))</f>
        <v/>
      </c>
      <c r="AH205" s="1286" t="str">
        <f>IF($E$30="Enter Duration (wks)","",IF($Y83="Enter Hrs/Wk","",IF($E$30&gt;='FORMULA REFS'!S$1,$Y83,"")))</f>
        <v/>
      </c>
      <c r="AI205" s="1286" t="str">
        <f>IF($E$30="Enter Duration (wks)","",IF($Y83="Enter Hrs/Wk","",IF($E$30&gt;='FORMULA REFS'!T$1,$Y83,"")))</f>
        <v/>
      </c>
      <c r="AJ205" s="1286" t="str">
        <f>IF($E$30="Enter Duration (wks)","",IF($Y83="Enter Hrs/Wk","",IF($E$30&gt;='FORMULA REFS'!U$1,$Y83,"")))</f>
        <v/>
      </c>
      <c r="AK205" s="1286" t="str">
        <f>IF($E$30="Enter Duration (wks)","",IF($Y83="Enter Hrs/Wk","",IF($E$30&gt;='FORMULA REFS'!V$1,$Y83,"")))</f>
        <v/>
      </c>
      <c r="AL205" s="1286" t="str">
        <f>IF($E$30="Enter Duration (wks)","",IF($Y83="Enter Hrs/Wk","",IF($E$30&gt;='FORMULA REFS'!W$1,$Y83,"")))</f>
        <v/>
      </c>
      <c r="AM205" s="1286" t="str">
        <f>IF($E$30="Enter Duration (wks)","",IF($Y83="Enter Hrs/Wk","",IF($E$30&gt;='FORMULA REFS'!X$1,$Y83,"")))</f>
        <v/>
      </c>
      <c r="AN205" s="1286" t="str">
        <f>IF($E$30="Enter Duration (wks)","",IF($Y83="Enter Hrs/Wk","",IF($E$30&gt;='FORMULA REFS'!Y$1,$Y83,"")))</f>
        <v/>
      </c>
      <c r="AO205" s="1286" t="str">
        <f>IF($E$30="Enter Duration (wks)","",IF($Y83="Enter Hrs/Wk","",IF($E$30&gt;='FORMULA REFS'!Z$1,$Y83,"")))</f>
        <v/>
      </c>
      <c r="AP205" s="1286" t="str">
        <f>IF($E$30="Enter Duration (wks)","",IF($Y83="Enter Hrs/Wk","",IF($E$30&gt;='FORMULA REFS'!AA$1,$Y83,"")))</f>
        <v/>
      </c>
      <c r="AQ205" s="1286" t="str">
        <f>IF($E$30="Enter Duration (wks)","",IF($Y83="Enter Hrs/Wk","",IF($E$30&gt;='FORMULA REFS'!AB$1,$Y83,"")))</f>
        <v/>
      </c>
      <c r="AR205" s="1286" t="str">
        <f>IF($E$30="Enter Duration (wks)","",IF($Y83="Enter Hrs/Wk","",IF($E$30&gt;='FORMULA REFS'!AC$1,$Y83,"")))</f>
        <v/>
      </c>
      <c r="AS205" s="1286" t="str">
        <f>IF($E$30="Enter Duration (wks)","",IF($Y83="Enter Hrs/Wk","",IF($E$30&gt;='FORMULA REFS'!AD$1,$Y83,"")))</f>
        <v/>
      </c>
      <c r="AT205" s="1286" t="str">
        <f>IF($E$30="Enter Duration (wks)","",IF($Y83="Enter Hrs/Wk","",IF($E$30&gt;='FORMULA REFS'!AE$1,$Y83,"")))</f>
        <v/>
      </c>
      <c r="AU205" s="1286" t="str">
        <f>IF($E$30="Enter Duration (wks)","",IF($Y83="Enter Hrs/Wk","",IF($E$30&gt;='FORMULA REFS'!AF$1,$Y83,"")))</f>
        <v/>
      </c>
      <c r="AV205" s="1286" t="str">
        <f>IF($E$30="Enter Duration (wks)","",IF($Y83="Enter Hrs/Wk","",IF($E$30&gt;='FORMULA REFS'!AG$1,$Y83,"")))</f>
        <v/>
      </c>
      <c r="AW205" s="1286" t="str">
        <f>IF($E$30="Enter Duration (wks)","",IF($Y83="Enter Hrs/Wk","",IF($E$30&gt;='FORMULA REFS'!AH$1,$Y83,"")))</f>
        <v/>
      </c>
      <c r="AX205" s="1286" t="str">
        <f>IF($E$30="Enter Duration (wks)","",IF($Y83="Enter Hrs/Wk","",IF($E$30&gt;='FORMULA REFS'!AI$1,$Y83,"")))</f>
        <v/>
      </c>
      <c r="AY205" s="1286" t="str">
        <f>IF($E$30="Enter Duration (wks)","",IF($Y83="Enter Hrs/Wk","",IF($E$30&gt;='FORMULA REFS'!AJ$1,$Y83,"")))</f>
        <v/>
      </c>
      <c r="AZ205" s="1286" t="str">
        <f>IF($E$30="Enter Duration (wks)","",IF($Y83="Enter Hrs/Wk","",IF($E$30&gt;='FORMULA REFS'!AK$1,$Y83,"")))</f>
        <v/>
      </c>
      <c r="BA205" s="1286" t="str">
        <f>IF($E$30="Enter Duration (wks)","",IF($Y83="Enter Hrs/Wk","",IF($E$30&gt;='FORMULA REFS'!AL$1,$Y83,"")))</f>
        <v/>
      </c>
      <c r="BB205" s="1286" t="str">
        <f>IF($E$30="Enter Duration (wks)","",IF($Y83="Enter Hrs/Wk","",IF($E$30&gt;='FORMULA REFS'!AM$1,$Y83,"")))</f>
        <v/>
      </c>
      <c r="BC205" s="1286" t="str">
        <f>IF($E$30="Enter Duration (wks)","",IF($Y83="Enter Hrs/Wk","",IF($E$30&gt;='FORMULA REFS'!AN$1,$Y83,"")))</f>
        <v/>
      </c>
      <c r="BD205" s="1286" t="str">
        <f>IF($E$30="Enter Duration (wks)","",IF($Y83="Enter Hrs/Wk","",IF($E$30&gt;='FORMULA REFS'!AO$1,$Y83,"")))</f>
        <v/>
      </c>
      <c r="BE205" s="1286" t="str">
        <f>IF($E$30="Enter Duration (wks)","",IF($Y83="Enter Hrs/Wk","",IF($E$30&gt;='FORMULA REFS'!AP$1,$Y83,"")))</f>
        <v/>
      </c>
      <c r="BF205" s="1286" t="str">
        <f>IF($E$30="Enter Duration (wks)","",IF($Y83="Enter Hrs/Wk","",IF($E$30&gt;='FORMULA REFS'!AQ$1,$Y83,"")))</f>
        <v/>
      </c>
      <c r="BG205" s="1286" t="str">
        <f>IF($E$30="Enter Duration (wks)","",IF($Y83="Enter Hrs/Wk","",IF($E$30&gt;='FORMULA REFS'!AR$1,$Y83,"")))</f>
        <v/>
      </c>
      <c r="BH205" s="1286" t="str">
        <f>IF($E$30="Enter Duration (wks)","",IF($Y83="Enter Hrs/Wk","",IF($E$30&gt;='FORMULA REFS'!AS$1,$Y83,"")))</f>
        <v/>
      </c>
      <c r="BI205" s="1286" t="str">
        <f>IF($E$30="Enter Duration (wks)","",IF($Y83="Enter Hrs/Wk","",IF($E$30&gt;='FORMULA REFS'!AT$1,$Y83,"")))</f>
        <v/>
      </c>
      <c r="BJ205" s="1286" t="str">
        <f>IF($E$30="Enter Duration (wks)","",IF($Y83="Enter Hrs/Wk","",IF($E$30&gt;='FORMULA REFS'!AU$1,$Y83,"")))</f>
        <v/>
      </c>
      <c r="BK205" s="1286" t="str">
        <f>IF($E$30="Enter Duration (wks)","",IF($Y83="Enter Hrs/Wk","",IF($E$30&gt;='FORMULA REFS'!AV$1,$Y83,"")))</f>
        <v/>
      </c>
      <c r="BL205" s="1286" t="str">
        <f>IF($E$30="Enter Duration (wks)","",IF($Y83="Enter Hrs/Wk","",IF($E$30&gt;='FORMULA REFS'!AW$1,$Y83,"")))</f>
        <v/>
      </c>
      <c r="BM205" s="1286" t="str">
        <f>IF($E$30="Enter Duration (wks)","",IF($Y83="Enter Hrs/Wk","",IF($E$30&gt;='FORMULA REFS'!AX$1,$Y83,"")))</f>
        <v/>
      </c>
      <c r="BN205" s="1286" t="str">
        <f>IF($E$30="Enter Duration (wks)","",IF($Y83="Enter Hrs/Wk","",IF($E$30&gt;='FORMULA REFS'!AY$1,$Y83,"")))</f>
        <v/>
      </c>
      <c r="BO205" s="1286" t="str">
        <f>IF($E$30="Enter Duration (wks)","",IF($Y83="Enter Hrs/Wk","",IF($E$30&gt;='FORMULA REFS'!AZ$1,$Y83,"")))</f>
        <v/>
      </c>
    </row>
    <row r="206" spans="3:95" ht="13.95" hidden="1" customHeight="1" outlineLevel="1" x14ac:dyDescent="0.25">
      <c r="C206" s="1291" t="str">
        <f t="shared" si="82"/>
        <v/>
      </c>
      <c r="D206" s="1318" t="str">
        <f t="shared" si="81"/>
        <v/>
      </c>
      <c r="E206" s="1326"/>
      <c r="F206" s="1327" t="str">
        <f>IF($E$30="Enter Duration (wks)","",IF($Y84="Enter Hrs/Wk","",IF($E$30&gt;='FORMULA REFS'!A$1,$Y84,"")))</f>
        <v/>
      </c>
      <c r="G206" s="1328"/>
      <c r="H206" s="1570"/>
      <c r="I206" s="1329" t="str">
        <f>IF($E$30="Enter Duration (wks)","",IF($Y84="Enter Hrs/Wk","",IF($E$30&gt;='FORMULA REFS'!B$1,$Y84,"")))</f>
        <v/>
      </c>
      <c r="J206" s="1323"/>
      <c r="K206" s="1286" t="str">
        <f>IF($E$30="Enter Duration (wks)","",IF($Y84="Enter Hrs/Wk","",IF($E$30&gt;='FORMULA REFS'!C$1,$Y84,"")))</f>
        <v/>
      </c>
      <c r="L206" s="882" t="str">
        <f>IF($E$30="Enter Duration (wks)","",IF($Y84="Enter Hrs/Wk","",IF($E$30&gt;='FORMULA REFS'!D$1,$Y84,"")))</f>
        <v/>
      </c>
      <c r="M206" s="882" t="str">
        <f>IF($E$30="Enter Duration (wks)","",IF($Y84="Enter Hrs/Wk","",IF($E$30&gt;='FORMULA REFS'!E$1,$Y84,"")))</f>
        <v/>
      </c>
      <c r="N206" s="882" t="str">
        <f>IF($E$30="Enter Duration (wks)","",IF($Y84="Enter Hrs/Wk","",IF($E$30&gt;='FORMULA REFS'!F$1,$Y84,"")))</f>
        <v/>
      </c>
      <c r="O206" s="882" t="str">
        <f>IF($E$30="Enter Duration (wks)","",IF($Y84="Enter Hrs/Wk","",IF($E$30&gt;='FORMULA REFS'!G$1,$Y84,"")))</f>
        <v/>
      </c>
      <c r="P206" s="882" t="str">
        <f>IF($E$30="Enter Duration (wks)","",IF($Y84="Enter Hrs/Wk","",IF($E$30&gt;='FORMULA REFS'!H$1,$Y84,"")))</f>
        <v/>
      </c>
      <c r="Q206" s="882" t="str">
        <f>IF($E$30="Enter Duration (wks)","",IF($Y84="Enter Hrs/Wk","",IF($E$30&gt;='FORMULA REFS'!I$1,$Y84,"")))</f>
        <v/>
      </c>
      <c r="R206" s="882" t="str">
        <f>IF($E$30="Enter Duration (wks)","",IF($Y84="Enter Hrs/Wk","",IF($E$30&gt;='FORMULA REFS'!J$1,$Y84,"")))</f>
        <v/>
      </c>
      <c r="S206" s="882" t="str">
        <f>IF($E$30="Enter Duration (wks)","",IF($Y84="Enter Hrs/Wk","",IF($E$30&gt;='FORMULA REFS'!K$1,$Y84,"")))</f>
        <v/>
      </c>
      <c r="T206" s="1323" t="str">
        <f>IF($E$30="Enter Duration (wks)","",IF($Y84="Enter Hrs/Wk","",IF($E$30&gt;='FORMULA REFS'!L$1,$Y84,"")))</f>
        <v/>
      </c>
      <c r="U206" s="882" t="str">
        <f>IF($E$30="Enter Duration (wks)","",IF($Y84="Enter Hrs/Wk","",IF($E$30&gt;='FORMULA REFS'!M$1,$Y84,"")))</f>
        <v/>
      </c>
      <c r="V206" s="882"/>
      <c r="W206" s="882"/>
      <c r="X206" s="1285"/>
      <c r="Y206" s="1285" t="str">
        <f>IF($E$30="Enter Duration (wks)","",IF($Y84="Enter Hrs/Wk","",IF($E$30&gt;='FORMULA REFS'!N$1,$Y84,"")))</f>
        <v/>
      </c>
      <c r="Z206" s="1343" t="str">
        <f>IF($E$30="Enter Duration (wks)","",IF($Y84="Enter Hrs/Wk","",IF($E$30&gt;='FORMULA REFS'!O$1,$Y84,"")))</f>
        <v/>
      </c>
      <c r="AA206" s="882" t="str">
        <f>IF($E$30="Enter Duration (wks)","",IF($Y84="Enter Hrs/Wk","",IF($E$30&gt;='FORMULA REFS'!P$1,$Y84,"")))</f>
        <v/>
      </c>
      <c r="AB206" s="882" t="str">
        <f>IF($E$30="Enter Duration (wks)","",IF($Y84="Enter Hrs/Wk","",IF($E$30&gt;='FORMULA REFS'!Q$1,$Y84,"")))</f>
        <v/>
      </c>
      <c r="AC206" s="882"/>
      <c r="AD206" s="882"/>
      <c r="AE206" s="882"/>
      <c r="AF206" s="882"/>
      <c r="AG206" s="1286" t="str">
        <f>IF($E$30="Enter Duration (wks)","",IF($Y84="Enter Hrs/Wk","",IF($E$30&gt;='FORMULA REFS'!R$1,$Y84,"")))</f>
        <v/>
      </c>
      <c r="AH206" s="1286" t="str">
        <f>IF($E$30="Enter Duration (wks)","",IF($Y84="Enter Hrs/Wk","",IF($E$30&gt;='FORMULA REFS'!S$1,$Y84,"")))</f>
        <v/>
      </c>
      <c r="AI206" s="1286" t="str">
        <f>IF($E$30="Enter Duration (wks)","",IF($Y84="Enter Hrs/Wk","",IF($E$30&gt;='FORMULA REFS'!T$1,$Y84,"")))</f>
        <v/>
      </c>
      <c r="AJ206" s="1286" t="str">
        <f>IF($E$30="Enter Duration (wks)","",IF($Y84="Enter Hrs/Wk","",IF($E$30&gt;='FORMULA REFS'!U$1,$Y84,"")))</f>
        <v/>
      </c>
      <c r="AK206" s="1286" t="str">
        <f>IF($E$30="Enter Duration (wks)","",IF($Y84="Enter Hrs/Wk","",IF($E$30&gt;='FORMULA REFS'!V$1,$Y84,"")))</f>
        <v/>
      </c>
      <c r="AL206" s="1286" t="str">
        <f>IF($E$30="Enter Duration (wks)","",IF($Y84="Enter Hrs/Wk","",IF($E$30&gt;='FORMULA REFS'!W$1,$Y84,"")))</f>
        <v/>
      </c>
      <c r="AM206" s="1286" t="str">
        <f>IF($E$30="Enter Duration (wks)","",IF($Y84="Enter Hrs/Wk","",IF($E$30&gt;='FORMULA REFS'!X$1,$Y84,"")))</f>
        <v/>
      </c>
      <c r="AN206" s="1286" t="str">
        <f>IF($E$30="Enter Duration (wks)","",IF($Y84="Enter Hrs/Wk","",IF($E$30&gt;='FORMULA REFS'!Y$1,$Y84,"")))</f>
        <v/>
      </c>
      <c r="AO206" s="1286" t="str">
        <f>IF($E$30="Enter Duration (wks)","",IF($Y84="Enter Hrs/Wk","",IF($E$30&gt;='FORMULA REFS'!Z$1,$Y84,"")))</f>
        <v/>
      </c>
      <c r="AP206" s="1286" t="str">
        <f>IF($E$30="Enter Duration (wks)","",IF($Y84="Enter Hrs/Wk","",IF($E$30&gt;='FORMULA REFS'!AA$1,$Y84,"")))</f>
        <v/>
      </c>
      <c r="AQ206" s="1286" t="str">
        <f>IF($E$30="Enter Duration (wks)","",IF($Y84="Enter Hrs/Wk","",IF($E$30&gt;='FORMULA REFS'!AB$1,$Y84,"")))</f>
        <v/>
      </c>
      <c r="AR206" s="1286" t="str">
        <f>IF($E$30="Enter Duration (wks)","",IF($Y84="Enter Hrs/Wk","",IF($E$30&gt;='FORMULA REFS'!AC$1,$Y84,"")))</f>
        <v/>
      </c>
      <c r="AS206" s="1286" t="str">
        <f>IF($E$30="Enter Duration (wks)","",IF($Y84="Enter Hrs/Wk","",IF($E$30&gt;='FORMULA REFS'!AD$1,$Y84,"")))</f>
        <v/>
      </c>
      <c r="AT206" s="1286" t="str">
        <f>IF($E$30="Enter Duration (wks)","",IF($Y84="Enter Hrs/Wk","",IF($E$30&gt;='FORMULA REFS'!AE$1,$Y84,"")))</f>
        <v/>
      </c>
      <c r="AU206" s="1286" t="str">
        <f>IF($E$30="Enter Duration (wks)","",IF($Y84="Enter Hrs/Wk","",IF($E$30&gt;='FORMULA REFS'!AF$1,$Y84,"")))</f>
        <v/>
      </c>
      <c r="AV206" s="1286" t="str">
        <f>IF($E$30="Enter Duration (wks)","",IF($Y84="Enter Hrs/Wk","",IF($E$30&gt;='FORMULA REFS'!AG$1,$Y84,"")))</f>
        <v/>
      </c>
      <c r="AW206" s="1286" t="str">
        <f>IF($E$30="Enter Duration (wks)","",IF($Y84="Enter Hrs/Wk","",IF($E$30&gt;='FORMULA REFS'!AH$1,$Y84,"")))</f>
        <v/>
      </c>
      <c r="AX206" s="1286" t="str">
        <f>IF($E$30="Enter Duration (wks)","",IF($Y84="Enter Hrs/Wk","",IF($E$30&gt;='FORMULA REFS'!AI$1,$Y84,"")))</f>
        <v/>
      </c>
      <c r="AY206" s="1286" t="str">
        <f>IF($E$30="Enter Duration (wks)","",IF($Y84="Enter Hrs/Wk","",IF($E$30&gt;='FORMULA REFS'!AJ$1,$Y84,"")))</f>
        <v/>
      </c>
      <c r="AZ206" s="1286" t="str">
        <f>IF($E$30="Enter Duration (wks)","",IF($Y84="Enter Hrs/Wk","",IF($E$30&gt;='FORMULA REFS'!AK$1,$Y84,"")))</f>
        <v/>
      </c>
      <c r="BA206" s="1286" t="str">
        <f>IF($E$30="Enter Duration (wks)","",IF($Y84="Enter Hrs/Wk","",IF($E$30&gt;='FORMULA REFS'!AL$1,$Y84,"")))</f>
        <v/>
      </c>
      <c r="BB206" s="1286" t="str">
        <f>IF($E$30="Enter Duration (wks)","",IF($Y84="Enter Hrs/Wk","",IF($E$30&gt;='FORMULA REFS'!AM$1,$Y84,"")))</f>
        <v/>
      </c>
      <c r="BC206" s="1286" t="str">
        <f>IF($E$30="Enter Duration (wks)","",IF($Y84="Enter Hrs/Wk","",IF($E$30&gt;='FORMULA REFS'!AN$1,$Y84,"")))</f>
        <v/>
      </c>
      <c r="BD206" s="1286" t="str">
        <f>IF($E$30="Enter Duration (wks)","",IF($Y84="Enter Hrs/Wk","",IF($E$30&gt;='FORMULA REFS'!AO$1,$Y84,"")))</f>
        <v/>
      </c>
      <c r="BE206" s="1286" t="str">
        <f>IF($E$30="Enter Duration (wks)","",IF($Y84="Enter Hrs/Wk","",IF($E$30&gt;='FORMULA REFS'!AP$1,$Y84,"")))</f>
        <v/>
      </c>
      <c r="BF206" s="1286" t="str">
        <f>IF($E$30="Enter Duration (wks)","",IF($Y84="Enter Hrs/Wk","",IF($E$30&gt;='FORMULA REFS'!AQ$1,$Y84,"")))</f>
        <v/>
      </c>
      <c r="BG206" s="1286" t="str">
        <f>IF($E$30="Enter Duration (wks)","",IF($Y84="Enter Hrs/Wk","",IF($E$30&gt;='FORMULA REFS'!AR$1,$Y84,"")))</f>
        <v/>
      </c>
      <c r="BH206" s="1286" t="str">
        <f>IF($E$30="Enter Duration (wks)","",IF($Y84="Enter Hrs/Wk","",IF($E$30&gt;='FORMULA REFS'!AS$1,$Y84,"")))</f>
        <v/>
      </c>
      <c r="BI206" s="1286" t="str">
        <f>IF($E$30="Enter Duration (wks)","",IF($Y84="Enter Hrs/Wk","",IF($E$30&gt;='FORMULA REFS'!AT$1,$Y84,"")))</f>
        <v/>
      </c>
      <c r="BJ206" s="1286" t="str">
        <f>IF($E$30="Enter Duration (wks)","",IF($Y84="Enter Hrs/Wk","",IF($E$30&gt;='FORMULA REFS'!AU$1,$Y84,"")))</f>
        <v/>
      </c>
      <c r="BK206" s="1286" t="str">
        <f>IF($E$30="Enter Duration (wks)","",IF($Y84="Enter Hrs/Wk","",IF($E$30&gt;='FORMULA REFS'!AV$1,$Y84,"")))</f>
        <v/>
      </c>
      <c r="BL206" s="1286" t="str">
        <f>IF($E$30="Enter Duration (wks)","",IF($Y84="Enter Hrs/Wk","",IF($E$30&gt;='FORMULA REFS'!AW$1,$Y84,"")))</f>
        <v/>
      </c>
      <c r="BM206" s="1286" t="str">
        <f>IF($E$30="Enter Duration (wks)","",IF($Y84="Enter Hrs/Wk","",IF($E$30&gt;='FORMULA REFS'!AX$1,$Y84,"")))</f>
        <v/>
      </c>
      <c r="BN206" s="1286" t="str">
        <f>IF($E$30="Enter Duration (wks)","",IF($Y84="Enter Hrs/Wk","",IF($E$30&gt;='FORMULA REFS'!AY$1,$Y84,"")))</f>
        <v/>
      </c>
      <c r="BO206" s="1286" t="str">
        <f>IF($E$30="Enter Duration (wks)","",IF($Y84="Enter Hrs/Wk","",IF($E$30&gt;='FORMULA REFS'!AZ$1,$Y84,"")))</f>
        <v/>
      </c>
    </row>
    <row r="207" spans="3:95" ht="13.95" hidden="1" customHeight="1" outlineLevel="1" x14ac:dyDescent="0.25">
      <c r="C207" s="1291" t="str">
        <f t="shared" si="82"/>
        <v/>
      </c>
      <c r="D207" s="1318" t="str">
        <f t="shared" si="81"/>
        <v/>
      </c>
      <c r="E207" s="1326"/>
      <c r="F207" s="1327" t="str">
        <f>IF($E$30="Enter Duration (wks)","",IF($Y85="Enter Hrs/Wk","",IF($E$30&gt;='FORMULA REFS'!A$1,$Y85,"")))</f>
        <v/>
      </c>
      <c r="G207" s="1328"/>
      <c r="H207" s="1570"/>
      <c r="I207" s="1329" t="str">
        <f>IF($E$30="Enter Duration (wks)","",IF($Y85="Enter Hrs/Wk","",IF($E$30&gt;='FORMULA REFS'!B$1,$Y85,"")))</f>
        <v/>
      </c>
      <c r="J207" s="1323"/>
      <c r="K207" s="1286" t="str">
        <f>IF($E$30="Enter Duration (wks)","",IF($Y85="Enter Hrs/Wk","",IF($E$30&gt;='FORMULA REFS'!C$1,$Y85,"")))</f>
        <v/>
      </c>
      <c r="L207" s="882" t="str">
        <f>IF($E$30="Enter Duration (wks)","",IF($Y85="Enter Hrs/Wk","",IF($E$30&gt;='FORMULA REFS'!D$1,$Y85,"")))</f>
        <v/>
      </c>
      <c r="M207" s="882" t="str">
        <f>IF($E$30="Enter Duration (wks)","",IF($Y85="Enter Hrs/Wk","",IF($E$30&gt;='FORMULA REFS'!E$1,$Y85,"")))</f>
        <v/>
      </c>
      <c r="N207" s="882" t="str">
        <f>IF($E$30="Enter Duration (wks)","",IF($Y85="Enter Hrs/Wk","",IF($E$30&gt;='FORMULA REFS'!F$1,$Y85,"")))</f>
        <v/>
      </c>
      <c r="O207" s="882" t="str">
        <f>IF($E$30="Enter Duration (wks)","",IF($Y85="Enter Hrs/Wk","",IF($E$30&gt;='FORMULA REFS'!G$1,$Y85,"")))</f>
        <v/>
      </c>
      <c r="P207" s="882" t="str">
        <f>IF($E$30="Enter Duration (wks)","",IF($Y85="Enter Hrs/Wk","",IF($E$30&gt;='FORMULA REFS'!H$1,$Y85,"")))</f>
        <v/>
      </c>
      <c r="Q207" s="882" t="str">
        <f>IF($E$30="Enter Duration (wks)","",IF($Y85="Enter Hrs/Wk","",IF($E$30&gt;='FORMULA REFS'!I$1,$Y85,"")))</f>
        <v/>
      </c>
      <c r="R207" s="882" t="str">
        <f>IF($E$30="Enter Duration (wks)","",IF($Y85="Enter Hrs/Wk","",IF($E$30&gt;='FORMULA REFS'!J$1,$Y85,"")))</f>
        <v/>
      </c>
      <c r="S207" s="882" t="str">
        <f>IF($E$30="Enter Duration (wks)","",IF($Y85="Enter Hrs/Wk","",IF($E$30&gt;='FORMULA REFS'!K$1,$Y85,"")))</f>
        <v/>
      </c>
      <c r="T207" s="1323" t="str">
        <f>IF($E$30="Enter Duration (wks)","",IF($Y85="Enter Hrs/Wk","",IF($E$30&gt;='FORMULA REFS'!L$1,$Y85,"")))</f>
        <v/>
      </c>
      <c r="U207" s="882" t="str">
        <f>IF($E$30="Enter Duration (wks)","",IF($Y85="Enter Hrs/Wk","",IF($E$30&gt;='FORMULA REFS'!M$1,$Y85,"")))</f>
        <v/>
      </c>
      <c r="V207" s="882"/>
      <c r="W207" s="882"/>
      <c r="X207" s="1285"/>
      <c r="Y207" s="1285" t="str">
        <f>IF($E$30="Enter Duration (wks)","",IF($Y85="Enter Hrs/Wk","",IF($E$30&gt;='FORMULA REFS'!N$1,$Y85,"")))</f>
        <v/>
      </c>
      <c r="Z207" s="1343" t="str">
        <f>IF($E$30="Enter Duration (wks)","",IF($Y85="Enter Hrs/Wk","",IF($E$30&gt;='FORMULA REFS'!O$1,$Y85,"")))</f>
        <v/>
      </c>
      <c r="AA207" s="882" t="str">
        <f>IF($E$30="Enter Duration (wks)","",IF($Y85="Enter Hrs/Wk","",IF($E$30&gt;='FORMULA REFS'!P$1,$Y85,"")))</f>
        <v/>
      </c>
      <c r="AB207" s="882" t="str">
        <f>IF($E$30="Enter Duration (wks)","",IF($Y85="Enter Hrs/Wk","",IF($E$30&gt;='FORMULA REFS'!Q$1,$Y85,"")))</f>
        <v/>
      </c>
      <c r="AC207" s="882"/>
      <c r="AD207" s="882"/>
      <c r="AE207" s="882"/>
      <c r="AF207" s="882"/>
      <c r="AG207" s="1286" t="str">
        <f>IF($E$30="Enter Duration (wks)","",IF($Y85="Enter Hrs/Wk","",IF($E$30&gt;='FORMULA REFS'!R$1,$Y85,"")))</f>
        <v/>
      </c>
      <c r="AH207" s="1286" t="str">
        <f>IF($E$30="Enter Duration (wks)","",IF($Y85="Enter Hrs/Wk","",IF($E$30&gt;='FORMULA REFS'!S$1,$Y85,"")))</f>
        <v/>
      </c>
      <c r="AI207" s="1286" t="str">
        <f>IF($E$30="Enter Duration (wks)","",IF($Y85="Enter Hrs/Wk","",IF($E$30&gt;='FORMULA REFS'!T$1,$Y85,"")))</f>
        <v/>
      </c>
      <c r="AJ207" s="1286" t="str">
        <f>IF($E$30="Enter Duration (wks)","",IF($Y85="Enter Hrs/Wk","",IF($E$30&gt;='FORMULA REFS'!U$1,$Y85,"")))</f>
        <v/>
      </c>
      <c r="AK207" s="1286" t="str">
        <f>IF($E$30="Enter Duration (wks)","",IF($Y85="Enter Hrs/Wk","",IF($E$30&gt;='FORMULA REFS'!V$1,$Y85,"")))</f>
        <v/>
      </c>
      <c r="AL207" s="1286" t="str">
        <f>IF($E$30="Enter Duration (wks)","",IF($Y85="Enter Hrs/Wk","",IF($E$30&gt;='FORMULA REFS'!W$1,$Y85,"")))</f>
        <v/>
      </c>
      <c r="AM207" s="1286" t="str">
        <f>IF($E$30="Enter Duration (wks)","",IF($Y85="Enter Hrs/Wk","",IF($E$30&gt;='FORMULA REFS'!X$1,$Y85,"")))</f>
        <v/>
      </c>
      <c r="AN207" s="1286" t="str">
        <f>IF($E$30="Enter Duration (wks)","",IF($Y85="Enter Hrs/Wk","",IF($E$30&gt;='FORMULA REFS'!Y$1,$Y85,"")))</f>
        <v/>
      </c>
      <c r="AO207" s="1286" t="str">
        <f>IF($E$30="Enter Duration (wks)","",IF($Y85="Enter Hrs/Wk","",IF($E$30&gt;='FORMULA REFS'!Z$1,$Y85,"")))</f>
        <v/>
      </c>
      <c r="AP207" s="1286" t="str">
        <f>IF($E$30="Enter Duration (wks)","",IF($Y85="Enter Hrs/Wk","",IF($E$30&gt;='FORMULA REFS'!AA$1,$Y85,"")))</f>
        <v/>
      </c>
      <c r="AQ207" s="1286" t="str">
        <f>IF($E$30="Enter Duration (wks)","",IF($Y85="Enter Hrs/Wk","",IF($E$30&gt;='FORMULA REFS'!AB$1,$Y85,"")))</f>
        <v/>
      </c>
      <c r="AR207" s="1286" t="str">
        <f>IF($E$30="Enter Duration (wks)","",IF($Y85="Enter Hrs/Wk","",IF($E$30&gt;='FORMULA REFS'!AC$1,$Y85,"")))</f>
        <v/>
      </c>
      <c r="AS207" s="1286" t="str">
        <f>IF($E$30="Enter Duration (wks)","",IF($Y85="Enter Hrs/Wk","",IF($E$30&gt;='FORMULA REFS'!AD$1,$Y85,"")))</f>
        <v/>
      </c>
      <c r="AT207" s="1286" t="str">
        <f>IF($E$30="Enter Duration (wks)","",IF($Y85="Enter Hrs/Wk","",IF($E$30&gt;='FORMULA REFS'!AE$1,$Y85,"")))</f>
        <v/>
      </c>
      <c r="AU207" s="1286" t="str">
        <f>IF($E$30="Enter Duration (wks)","",IF($Y85="Enter Hrs/Wk","",IF($E$30&gt;='FORMULA REFS'!AF$1,$Y85,"")))</f>
        <v/>
      </c>
      <c r="AV207" s="1286" t="str">
        <f>IF($E$30="Enter Duration (wks)","",IF($Y85="Enter Hrs/Wk","",IF($E$30&gt;='FORMULA REFS'!AG$1,$Y85,"")))</f>
        <v/>
      </c>
      <c r="AW207" s="1286" t="str">
        <f>IF($E$30="Enter Duration (wks)","",IF($Y85="Enter Hrs/Wk","",IF($E$30&gt;='FORMULA REFS'!AH$1,$Y85,"")))</f>
        <v/>
      </c>
      <c r="AX207" s="1286" t="str">
        <f>IF($E$30="Enter Duration (wks)","",IF($Y85="Enter Hrs/Wk","",IF($E$30&gt;='FORMULA REFS'!AI$1,$Y85,"")))</f>
        <v/>
      </c>
      <c r="AY207" s="1286" t="str">
        <f>IF($E$30="Enter Duration (wks)","",IF($Y85="Enter Hrs/Wk","",IF($E$30&gt;='FORMULA REFS'!AJ$1,$Y85,"")))</f>
        <v/>
      </c>
      <c r="AZ207" s="1286" t="str">
        <f>IF($E$30="Enter Duration (wks)","",IF($Y85="Enter Hrs/Wk","",IF($E$30&gt;='FORMULA REFS'!AK$1,$Y85,"")))</f>
        <v/>
      </c>
      <c r="BA207" s="1286" t="str">
        <f>IF($E$30="Enter Duration (wks)","",IF($Y85="Enter Hrs/Wk","",IF($E$30&gt;='FORMULA REFS'!AL$1,$Y85,"")))</f>
        <v/>
      </c>
      <c r="BB207" s="1286" t="str">
        <f>IF($E$30="Enter Duration (wks)","",IF($Y85="Enter Hrs/Wk","",IF($E$30&gt;='FORMULA REFS'!AM$1,$Y85,"")))</f>
        <v/>
      </c>
      <c r="BC207" s="1286" t="str">
        <f>IF($E$30="Enter Duration (wks)","",IF($Y85="Enter Hrs/Wk","",IF($E$30&gt;='FORMULA REFS'!AN$1,$Y85,"")))</f>
        <v/>
      </c>
      <c r="BD207" s="1286" t="str">
        <f>IF($E$30="Enter Duration (wks)","",IF($Y85="Enter Hrs/Wk","",IF($E$30&gt;='FORMULA REFS'!AO$1,$Y85,"")))</f>
        <v/>
      </c>
      <c r="BE207" s="1286" t="str">
        <f>IF($E$30="Enter Duration (wks)","",IF($Y85="Enter Hrs/Wk","",IF($E$30&gt;='FORMULA REFS'!AP$1,$Y85,"")))</f>
        <v/>
      </c>
      <c r="BF207" s="1286" t="str">
        <f>IF($E$30="Enter Duration (wks)","",IF($Y85="Enter Hrs/Wk","",IF($E$30&gt;='FORMULA REFS'!AQ$1,$Y85,"")))</f>
        <v/>
      </c>
      <c r="BG207" s="1286" t="str">
        <f>IF($E$30="Enter Duration (wks)","",IF($Y85="Enter Hrs/Wk","",IF($E$30&gt;='FORMULA REFS'!AR$1,$Y85,"")))</f>
        <v/>
      </c>
      <c r="BH207" s="1286" t="str">
        <f>IF($E$30="Enter Duration (wks)","",IF($Y85="Enter Hrs/Wk","",IF($E$30&gt;='FORMULA REFS'!AS$1,$Y85,"")))</f>
        <v/>
      </c>
      <c r="BI207" s="1286" t="str">
        <f>IF($E$30="Enter Duration (wks)","",IF($Y85="Enter Hrs/Wk","",IF($E$30&gt;='FORMULA REFS'!AT$1,$Y85,"")))</f>
        <v/>
      </c>
      <c r="BJ207" s="1286" t="str">
        <f>IF($E$30="Enter Duration (wks)","",IF($Y85="Enter Hrs/Wk","",IF($E$30&gt;='FORMULA REFS'!AU$1,$Y85,"")))</f>
        <v/>
      </c>
      <c r="BK207" s="1286" t="str">
        <f>IF($E$30="Enter Duration (wks)","",IF($Y85="Enter Hrs/Wk","",IF($E$30&gt;='FORMULA REFS'!AV$1,$Y85,"")))</f>
        <v/>
      </c>
      <c r="BL207" s="1286" t="str">
        <f>IF($E$30="Enter Duration (wks)","",IF($Y85="Enter Hrs/Wk","",IF($E$30&gt;='FORMULA REFS'!AW$1,$Y85,"")))</f>
        <v/>
      </c>
      <c r="BM207" s="1286" t="str">
        <f>IF($E$30="Enter Duration (wks)","",IF($Y85="Enter Hrs/Wk","",IF($E$30&gt;='FORMULA REFS'!AX$1,$Y85,"")))</f>
        <v/>
      </c>
      <c r="BN207" s="1286" t="str">
        <f>IF($E$30="Enter Duration (wks)","",IF($Y85="Enter Hrs/Wk","",IF($E$30&gt;='FORMULA REFS'!AY$1,$Y85,"")))</f>
        <v/>
      </c>
      <c r="BO207" s="1286" t="str">
        <f>IF($E$30="Enter Duration (wks)","",IF($Y85="Enter Hrs/Wk","",IF($E$30&gt;='FORMULA REFS'!AZ$1,$Y85,"")))</f>
        <v/>
      </c>
    </row>
    <row r="208" spans="3:95" ht="13.95" hidden="1" customHeight="1" outlineLevel="1" x14ac:dyDescent="0.25">
      <c r="C208" s="1291" t="str">
        <f t="shared" si="82"/>
        <v/>
      </c>
      <c r="D208" s="1318" t="str">
        <f t="shared" si="81"/>
        <v/>
      </c>
      <c r="E208" s="1326"/>
      <c r="F208" s="1327" t="str">
        <f>IF($E$30="Enter Duration (wks)","",IF($Y86="Enter Hrs/Wk","",IF($E$30&gt;='FORMULA REFS'!A$1,$Y86,"")))</f>
        <v/>
      </c>
      <c r="G208" s="1328"/>
      <c r="H208" s="1570"/>
      <c r="I208" s="1329" t="str">
        <f>IF($E$30="Enter Duration (wks)","",IF($Y86="Enter Hrs/Wk","",IF($E$30&gt;='FORMULA REFS'!B$1,$Y86,"")))</f>
        <v/>
      </c>
      <c r="J208" s="1323"/>
      <c r="K208" s="1286" t="str">
        <f>IF($E$30="Enter Duration (wks)","",IF($Y86="Enter Hrs/Wk","",IF($E$30&gt;='FORMULA REFS'!C$1,$Y86,"")))</f>
        <v/>
      </c>
      <c r="L208" s="882" t="str">
        <f>IF($E$30="Enter Duration (wks)","",IF($Y86="Enter Hrs/Wk","",IF($E$30&gt;='FORMULA REFS'!D$1,$Y86,"")))</f>
        <v/>
      </c>
      <c r="M208" s="882" t="str">
        <f>IF($E$30="Enter Duration (wks)","",IF($Y86="Enter Hrs/Wk","",IF($E$30&gt;='FORMULA REFS'!E$1,$Y86,"")))</f>
        <v/>
      </c>
      <c r="N208" s="882" t="str">
        <f>IF($E$30="Enter Duration (wks)","",IF($Y86="Enter Hrs/Wk","",IF($E$30&gt;='FORMULA REFS'!F$1,$Y86,"")))</f>
        <v/>
      </c>
      <c r="O208" s="882" t="str">
        <f>IF($E$30="Enter Duration (wks)","",IF($Y86="Enter Hrs/Wk","",IF($E$30&gt;='FORMULA REFS'!G$1,$Y86,"")))</f>
        <v/>
      </c>
      <c r="P208" s="882" t="str">
        <f>IF($E$30="Enter Duration (wks)","",IF($Y86="Enter Hrs/Wk","",IF($E$30&gt;='FORMULA REFS'!H$1,$Y86,"")))</f>
        <v/>
      </c>
      <c r="Q208" s="882" t="str">
        <f>IF($E$30="Enter Duration (wks)","",IF($Y86="Enter Hrs/Wk","",IF($E$30&gt;='FORMULA REFS'!I$1,$Y86,"")))</f>
        <v/>
      </c>
      <c r="R208" s="882" t="str">
        <f>IF($E$30="Enter Duration (wks)","",IF($Y86="Enter Hrs/Wk","",IF($E$30&gt;='FORMULA REFS'!J$1,$Y86,"")))</f>
        <v/>
      </c>
      <c r="S208" s="882" t="str">
        <f>IF($E$30="Enter Duration (wks)","",IF($Y86="Enter Hrs/Wk","",IF($E$30&gt;='FORMULA REFS'!K$1,$Y86,"")))</f>
        <v/>
      </c>
      <c r="T208" s="1323" t="str">
        <f>IF($E$30="Enter Duration (wks)","",IF($Y86="Enter Hrs/Wk","",IF($E$30&gt;='FORMULA REFS'!L$1,$Y86,"")))</f>
        <v/>
      </c>
      <c r="U208" s="882" t="str">
        <f>IF($E$30="Enter Duration (wks)","",IF($Y86="Enter Hrs/Wk","",IF($E$30&gt;='FORMULA REFS'!M$1,$Y86,"")))</f>
        <v/>
      </c>
      <c r="V208" s="882"/>
      <c r="W208" s="882"/>
      <c r="X208" s="1285"/>
      <c r="Y208" s="1285" t="str">
        <f>IF($E$30="Enter Duration (wks)","",IF($Y86="Enter Hrs/Wk","",IF($E$30&gt;='FORMULA REFS'!N$1,$Y86,"")))</f>
        <v/>
      </c>
      <c r="Z208" s="1343" t="str">
        <f>IF($E$30="Enter Duration (wks)","",IF($Y86="Enter Hrs/Wk","",IF($E$30&gt;='FORMULA REFS'!O$1,$Y86,"")))</f>
        <v/>
      </c>
      <c r="AA208" s="882" t="str">
        <f>IF($E$30="Enter Duration (wks)","",IF($Y86="Enter Hrs/Wk","",IF($E$30&gt;='FORMULA REFS'!P$1,$Y86,"")))</f>
        <v/>
      </c>
      <c r="AB208" s="882" t="str">
        <f>IF($E$30="Enter Duration (wks)","",IF($Y86="Enter Hrs/Wk","",IF($E$30&gt;='FORMULA REFS'!Q$1,$Y86,"")))</f>
        <v/>
      </c>
      <c r="AC208" s="882"/>
      <c r="AD208" s="882"/>
      <c r="AE208" s="882"/>
      <c r="AF208" s="882"/>
      <c r="AG208" s="1286" t="str">
        <f>IF($E$30="Enter Duration (wks)","",IF($Y86="Enter Hrs/Wk","",IF($E$30&gt;='FORMULA REFS'!R$1,$Y86,"")))</f>
        <v/>
      </c>
      <c r="AH208" s="1286" t="str">
        <f>IF($E$30="Enter Duration (wks)","",IF($Y86="Enter Hrs/Wk","",IF($E$30&gt;='FORMULA REFS'!S$1,$Y86,"")))</f>
        <v/>
      </c>
      <c r="AI208" s="1286" t="str">
        <f>IF($E$30="Enter Duration (wks)","",IF($Y86="Enter Hrs/Wk","",IF($E$30&gt;='FORMULA REFS'!T$1,$Y86,"")))</f>
        <v/>
      </c>
      <c r="AJ208" s="1286" t="str">
        <f>IF($E$30="Enter Duration (wks)","",IF($Y86="Enter Hrs/Wk","",IF($E$30&gt;='FORMULA REFS'!U$1,$Y86,"")))</f>
        <v/>
      </c>
      <c r="AK208" s="1286" t="str">
        <f>IF($E$30="Enter Duration (wks)","",IF($Y86="Enter Hrs/Wk","",IF($E$30&gt;='FORMULA REFS'!V$1,$Y86,"")))</f>
        <v/>
      </c>
      <c r="AL208" s="1286" t="str">
        <f>IF($E$30="Enter Duration (wks)","",IF($Y86="Enter Hrs/Wk","",IF($E$30&gt;='FORMULA REFS'!W$1,$Y86,"")))</f>
        <v/>
      </c>
      <c r="AM208" s="1286" t="str">
        <f>IF($E$30="Enter Duration (wks)","",IF($Y86="Enter Hrs/Wk","",IF($E$30&gt;='FORMULA REFS'!X$1,$Y86,"")))</f>
        <v/>
      </c>
      <c r="AN208" s="1286" t="str">
        <f>IF($E$30="Enter Duration (wks)","",IF($Y86="Enter Hrs/Wk","",IF($E$30&gt;='FORMULA REFS'!Y$1,$Y86,"")))</f>
        <v/>
      </c>
      <c r="AO208" s="1286" t="str">
        <f>IF($E$30="Enter Duration (wks)","",IF($Y86="Enter Hrs/Wk","",IF($E$30&gt;='FORMULA REFS'!Z$1,$Y86,"")))</f>
        <v/>
      </c>
      <c r="AP208" s="1286" t="str">
        <f>IF($E$30="Enter Duration (wks)","",IF($Y86="Enter Hrs/Wk","",IF($E$30&gt;='FORMULA REFS'!AA$1,$Y86,"")))</f>
        <v/>
      </c>
      <c r="AQ208" s="1286" t="str">
        <f>IF($E$30="Enter Duration (wks)","",IF($Y86="Enter Hrs/Wk","",IF($E$30&gt;='FORMULA REFS'!AB$1,$Y86,"")))</f>
        <v/>
      </c>
      <c r="AR208" s="1286" t="str">
        <f>IF($E$30="Enter Duration (wks)","",IF($Y86="Enter Hrs/Wk","",IF($E$30&gt;='FORMULA REFS'!AC$1,$Y86,"")))</f>
        <v/>
      </c>
      <c r="AS208" s="1286" t="str">
        <f>IF($E$30="Enter Duration (wks)","",IF($Y86="Enter Hrs/Wk","",IF($E$30&gt;='FORMULA REFS'!AD$1,$Y86,"")))</f>
        <v/>
      </c>
      <c r="AT208" s="1286" t="str">
        <f>IF($E$30="Enter Duration (wks)","",IF($Y86="Enter Hrs/Wk","",IF($E$30&gt;='FORMULA REFS'!AE$1,$Y86,"")))</f>
        <v/>
      </c>
      <c r="AU208" s="1286" t="str">
        <f>IF($E$30="Enter Duration (wks)","",IF($Y86="Enter Hrs/Wk","",IF($E$30&gt;='FORMULA REFS'!AF$1,$Y86,"")))</f>
        <v/>
      </c>
      <c r="AV208" s="1286" t="str">
        <f>IF($E$30="Enter Duration (wks)","",IF($Y86="Enter Hrs/Wk","",IF($E$30&gt;='FORMULA REFS'!AG$1,$Y86,"")))</f>
        <v/>
      </c>
      <c r="AW208" s="1286" t="str">
        <f>IF($E$30="Enter Duration (wks)","",IF($Y86="Enter Hrs/Wk","",IF($E$30&gt;='FORMULA REFS'!AH$1,$Y86,"")))</f>
        <v/>
      </c>
      <c r="AX208" s="1286" t="str">
        <f>IF($E$30="Enter Duration (wks)","",IF($Y86="Enter Hrs/Wk","",IF($E$30&gt;='FORMULA REFS'!AI$1,$Y86,"")))</f>
        <v/>
      </c>
      <c r="AY208" s="1286" t="str">
        <f>IF($E$30="Enter Duration (wks)","",IF($Y86="Enter Hrs/Wk","",IF($E$30&gt;='FORMULA REFS'!AJ$1,$Y86,"")))</f>
        <v/>
      </c>
      <c r="AZ208" s="1286" t="str">
        <f>IF($E$30="Enter Duration (wks)","",IF($Y86="Enter Hrs/Wk","",IF($E$30&gt;='FORMULA REFS'!AK$1,$Y86,"")))</f>
        <v/>
      </c>
      <c r="BA208" s="1286" t="str">
        <f>IF($E$30="Enter Duration (wks)","",IF($Y86="Enter Hrs/Wk","",IF($E$30&gt;='FORMULA REFS'!AL$1,$Y86,"")))</f>
        <v/>
      </c>
      <c r="BB208" s="1286" t="str">
        <f>IF($E$30="Enter Duration (wks)","",IF($Y86="Enter Hrs/Wk","",IF($E$30&gt;='FORMULA REFS'!AM$1,$Y86,"")))</f>
        <v/>
      </c>
      <c r="BC208" s="1286" t="str">
        <f>IF($E$30="Enter Duration (wks)","",IF($Y86="Enter Hrs/Wk","",IF($E$30&gt;='FORMULA REFS'!AN$1,$Y86,"")))</f>
        <v/>
      </c>
      <c r="BD208" s="1286" t="str">
        <f>IF($E$30="Enter Duration (wks)","",IF($Y86="Enter Hrs/Wk","",IF($E$30&gt;='FORMULA REFS'!AO$1,$Y86,"")))</f>
        <v/>
      </c>
      <c r="BE208" s="1286" t="str">
        <f>IF($E$30="Enter Duration (wks)","",IF($Y86="Enter Hrs/Wk","",IF($E$30&gt;='FORMULA REFS'!AP$1,$Y86,"")))</f>
        <v/>
      </c>
      <c r="BF208" s="1286" t="str">
        <f>IF($E$30="Enter Duration (wks)","",IF($Y86="Enter Hrs/Wk","",IF($E$30&gt;='FORMULA REFS'!AQ$1,$Y86,"")))</f>
        <v/>
      </c>
      <c r="BG208" s="1286" t="str">
        <f>IF($E$30="Enter Duration (wks)","",IF($Y86="Enter Hrs/Wk","",IF($E$30&gt;='FORMULA REFS'!AR$1,$Y86,"")))</f>
        <v/>
      </c>
      <c r="BH208" s="1286" t="str">
        <f>IF($E$30="Enter Duration (wks)","",IF($Y86="Enter Hrs/Wk","",IF($E$30&gt;='FORMULA REFS'!AS$1,$Y86,"")))</f>
        <v/>
      </c>
      <c r="BI208" s="1286" t="str">
        <f>IF($E$30="Enter Duration (wks)","",IF($Y86="Enter Hrs/Wk","",IF($E$30&gt;='FORMULA REFS'!AT$1,$Y86,"")))</f>
        <v/>
      </c>
      <c r="BJ208" s="1286" t="str">
        <f>IF($E$30="Enter Duration (wks)","",IF($Y86="Enter Hrs/Wk","",IF($E$30&gt;='FORMULA REFS'!AU$1,$Y86,"")))</f>
        <v/>
      </c>
      <c r="BK208" s="1286" t="str">
        <f>IF($E$30="Enter Duration (wks)","",IF($Y86="Enter Hrs/Wk","",IF($E$30&gt;='FORMULA REFS'!AV$1,$Y86,"")))</f>
        <v/>
      </c>
      <c r="BL208" s="1286" t="str">
        <f>IF($E$30="Enter Duration (wks)","",IF($Y86="Enter Hrs/Wk","",IF($E$30&gt;='FORMULA REFS'!AW$1,$Y86,"")))</f>
        <v/>
      </c>
      <c r="BM208" s="1286" t="str">
        <f>IF($E$30="Enter Duration (wks)","",IF($Y86="Enter Hrs/Wk","",IF($E$30&gt;='FORMULA REFS'!AX$1,$Y86,"")))</f>
        <v/>
      </c>
      <c r="BN208" s="1286" t="str">
        <f>IF($E$30="Enter Duration (wks)","",IF($Y86="Enter Hrs/Wk","",IF($E$30&gt;='FORMULA REFS'!AY$1,$Y86,"")))</f>
        <v/>
      </c>
      <c r="BO208" s="1286" t="str">
        <f>IF($E$30="Enter Duration (wks)","",IF($Y86="Enter Hrs/Wk","",IF($E$30&gt;='FORMULA REFS'!AZ$1,$Y86,"")))</f>
        <v/>
      </c>
    </row>
    <row r="209" spans="3:67" ht="13.95" hidden="1" customHeight="1" outlineLevel="1" x14ac:dyDescent="0.25">
      <c r="C209" s="1291" t="str">
        <f t="shared" si="82"/>
        <v/>
      </c>
      <c r="D209" s="1318" t="str">
        <f t="shared" si="81"/>
        <v/>
      </c>
      <c r="E209" s="1326"/>
      <c r="F209" s="1327" t="str">
        <f>IF($E$30="Enter Duration (wks)","",IF($Y87="Enter Hrs/Wk","",IF($E$30&gt;='FORMULA REFS'!A$1,$Y87,"")))</f>
        <v/>
      </c>
      <c r="G209" s="1328"/>
      <c r="H209" s="1570"/>
      <c r="I209" s="1329" t="str">
        <f>IF($E$30="Enter Duration (wks)","",IF($Y87="Enter Hrs/Wk","",IF($E$30&gt;='FORMULA REFS'!B$1,$Y87,"")))</f>
        <v/>
      </c>
      <c r="J209" s="1323"/>
      <c r="K209" s="1286" t="str">
        <f>IF($E$30="Enter Duration (wks)","",IF($Y87="Enter Hrs/Wk","",IF($E$30&gt;='FORMULA REFS'!C$1,$Y87,"")))</f>
        <v/>
      </c>
      <c r="L209" s="882" t="str">
        <f>IF($E$30="Enter Duration (wks)","",IF($Y87="Enter Hrs/Wk","",IF($E$30&gt;='FORMULA REFS'!D$1,$Y87,"")))</f>
        <v/>
      </c>
      <c r="M209" s="882" t="str">
        <f>IF($E$30="Enter Duration (wks)","",IF($Y87="Enter Hrs/Wk","",IF($E$30&gt;='FORMULA REFS'!E$1,$Y87,"")))</f>
        <v/>
      </c>
      <c r="N209" s="882" t="str">
        <f>IF($E$30="Enter Duration (wks)","",IF($Y87="Enter Hrs/Wk","",IF($E$30&gt;='FORMULA REFS'!F$1,$Y87,"")))</f>
        <v/>
      </c>
      <c r="O209" s="882" t="str">
        <f>IF($E$30="Enter Duration (wks)","",IF($Y87="Enter Hrs/Wk","",IF($E$30&gt;='FORMULA REFS'!G$1,$Y87,"")))</f>
        <v/>
      </c>
      <c r="P209" s="882" t="str">
        <f>IF($E$30="Enter Duration (wks)","",IF($Y87="Enter Hrs/Wk","",IF($E$30&gt;='FORMULA REFS'!H$1,$Y87,"")))</f>
        <v/>
      </c>
      <c r="Q209" s="882" t="str">
        <f>IF($E$30="Enter Duration (wks)","",IF($Y87="Enter Hrs/Wk","",IF($E$30&gt;='FORMULA REFS'!I$1,$Y87,"")))</f>
        <v/>
      </c>
      <c r="R209" s="882" t="str">
        <f>IF($E$30="Enter Duration (wks)","",IF($Y87="Enter Hrs/Wk","",IF($E$30&gt;='FORMULA REFS'!J$1,$Y87,"")))</f>
        <v/>
      </c>
      <c r="S209" s="882" t="str">
        <f>IF($E$30="Enter Duration (wks)","",IF($Y87="Enter Hrs/Wk","",IF($E$30&gt;='FORMULA REFS'!K$1,$Y87,"")))</f>
        <v/>
      </c>
      <c r="T209" s="1323" t="str">
        <f>IF($E$30="Enter Duration (wks)","",IF($Y87="Enter Hrs/Wk","",IF($E$30&gt;='FORMULA REFS'!L$1,$Y87,"")))</f>
        <v/>
      </c>
      <c r="U209" s="882" t="str">
        <f>IF($E$30="Enter Duration (wks)","",IF($Y87="Enter Hrs/Wk","",IF($E$30&gt;='FORMULA REFS'!M$1,$Y87,"")))</f>
        <v/>
      </c>
      <c r="V209" s="882"/>
      <c r="W209" s="882"/>
      <c r="X209" s="1285"/>
      <c r="Y209" s="1285" t="str">
        <f>IF($E$30="Enter Duration (wks)","",IF($Y87="Enter Hrs/Wk","",IF($E$30&gt;='FORMULA REFS'!N$1,$Y87,"")))</f>
        <v/>
      </c>
      <c r="Z209" s="1343" t="str">
        <f>IF($E$30="Enter Duration (wks)","",IF($Y87="Enter Hrs/Wk","",IF($E$30&gt;='FORMULA REFS'!O$1,$Y87,"")))</f>
        <v/>
      </c>
      <c r="AA209" s="882" t="str">
        <f>IF($E$30="Enter Duration (wks)","",IF($Y87="Enter Hrs/Wk","",IF($E$30&gt;='FORMULA REFS'!P$1,$Y87,"")))</f>
        <v/>
      </c>
      <c r="AB209" s="882" t="str">
        <f>IF($E$30="Enter Duration (wks)","",IF($Y87="Enter Hrs/Wk","",IF($E$30&gt;='FORMULA REFS'!Q$1,$Y87,"")))</f>
        <v/>
      </c>
      <c r="AC209" s="882"/>
      <c r="AD209" s="882"/>
      <c r="AE209" s="882"/>
      <c r="AF209" s="882"/>
      <c r="AG209" s="1286" t="str">
        <f>IF($E$30="Enter Duration (wks)","",IF($Y87="Enter Hrs/Wk","",IF($E$30&gt;='FORMULA REFS'!R$1,$Y87,"")))</f>
        <v/>
      </c>
      <c r="AH209" s="1286" t="str">
        <f>IF($E$30="Enter Duration (wks)","",IF($Y87="Enter Hrs/Wk","",IF($E$30&gt;='FORMULA REFS'!S$1,$Y87,"")))</f>
        <v/>
      </c>
      <c r="AI209" s="1286" t="str">
        <f>IF($E$30="Enter Duration (wks)","",IF($Y87="Enter Hrs/Wk","",IF($E$30&gt;='FORMULA REFS'!T$1,$Y87,"")))</f>
        <v/>
      </c>
      <c r="AJ209" s="1286" t="str">
        <f>IF($E$30="Enter Duration (wks)","",IF($Y87="Enter Hrs/Wk","",IF($E$30&gt;='FORMULA REFS'!U$1,$Y87,"")))</f>
        <v/>
      </c>
      <c r="AK209" s="1286" t="str">
        <f>IF($E$30="Enter Duration (wks)","",IF($Y87="Enter Hrs/Wk","",IF($E$30&gt;='FORMULA REFS'!V$1,$Y87,"")))</f>
        <v/>
      </c>
      <c r="AL209" s="1286" t="str">
        <f>IF($E$30="Enter Duration (wks)","",IF($Y87="Enter Hrs/Wk","",IF($E$30&gt;='FORMULA REFS'!W$1,$Y87,"")))</f>
        <v/>
      </c>
      <c r="AM209" s="1286" t="str">
        <f>IF($E$30="Enter Duration (wks)","",IF($Y87="Enter Hrs/Wk","",IF($E$30&gt;='FORMULA REFS'!X$1,$Y87,"")))</f>
        <v/>
      </c>
      <c r="AN209" s="1286" t="str">
        <f>IF($E$30="Enter Duration (wks)","",IF($Y87="Enter Hrs/Wk","",IF($E$30&gt;='FORMULA REFS'!Y$1,$Y87,"")))</f>
        <v/>
      </c>
      <c r="AO209" s="1286" t="str">
        <f>IF($E$30="Enter Duration (wks)","",IF($Y87="Enter Hrs/Wk","",IF($E$30&gt;='FORMULA REFS'!Z$1,$Y87,"")))</f>
        <v/>
      </c>
      <c r="AP209" s="1286" t="str">
        <f>IF($E$30="Enter Duration (wks)","",IF($Y87="Enter Hrs/Wk","",IF($E$30&gt;='FORMULA REFS'!AA$1,$Y87,"")))</f>
        <v/>
      </c>
      <c r="AQ209" s="1286" t="str">
        <f>IF($E$30="Enter Duration (wks)","",IF($Y87="Enter Hrs/Wk","",IF($E$30&gt;='FORMULA REFS'!AB$1,$Y87,"")))</f>
        <v/>
      </c>
      <c r="AR209" s="1286" t="str">
        <f>IF($E$30="Enter Duration (wks)","",IF($Y87="Enter Hrs/Wk","",IF($E$30&gt;='FORMULA REFS'!AC$1,$Y87,"")))</f>
        <v/>
      </c>
      <c r="AS209" s="1286" t="str">
        <f>IF($E$30="Enter Duration (wks)","",IF($Y87="Enter Hrs/Wk","",IF($E$30&gt;='FORMULA REFS'!AD$1,$Y87,"")))</f>
        <v/>
      </c>
      <c r="AT209" s="1286" t="str">
        <f>IF($E$30="Enter Duration (wks)","",IF($Y87="Enter Hrs/Wk","",IF($E$30&gt;='FORMULA REFS'!AE$1,$Y87,"")))</f>
        <v/>
      </c>
      <c r="AU209" s="1286" t="str">
        <f>IF($E$30="Enter Duration (wks)","",IF($Y87="Enter Hrs/Wk","",IF($E$30&gt;='FORMULA REFS'!AF$1,$Y87,"")))</f>
        <v/>
      </c>
      <c r="AV209" s="1286" t="str">
        <f>IF($E$30="Enter Duration (wks)","",IF($Y87="Enter Hrs/Wk","",IF($E$30&gt;='FORMULA REFS'!AG$1,$Y87,"")))</f>
        <v/>
      </c>
      <c r="AW209" s="1286" t="str">
        <f>IF($E$30="Enter Duration (wks)","",IF($Y87="Enter Hrs/Wk","",IF($E$30&gt;='FORMULA REFS'!AH$1,$Y87,"")))</f>
        <v/>
      </c>
      <c r="AX209" s="1286" t="str">
        <f>IF($E$30="Enter Duration (wks)","",IF($Y87="Enter Hrs/Wk","",IF($E$30&gt;='FORMULA REFS'!AI$1,$Y87,"")))</f>
        <v/>
      </c>
      <c r="AY209" s="1286" t="str">
        <f>IF($E$30="Enter Duration (wks)","",IF($Y87="Enter Hrs/Wk","",IF($E$30&gt;='FORMULA REFS'!AJ$1,$Y87,"")))</f>
        <v/>
      </c>
      <c r="AZ209" s="1286" t="str">
        <f>IF($E$30="Enter Duration (wks)","",IF($Y87="Enter Hrs/Wk","",IF($E$30&gt;='FORMULA REFS'!AK$1,$Y87,"")))</f>
        <v/>
      </c>
      <c r="BA209" s="1286" t="str">
        <f>IF($E$30="Enter Duration (wks)","",IF($Y87="Enter Hrs/Wk","",IF($E$30&gt;='FORMULA REFS'!AL$1,$Y87,"")))</f>
        <v/>
      </c>
      <c r="BB209" s="1286" t="str">
        <f>IF($E$30="Enter Duration (wks)","",IF($Y87="Enter Hrs/Wk","",IF($E$30&gt;='FORMULA REFS'!AM$1,$Y87,"")))</f>
        <v/>
      </c>
      <c r="BC209" s="1286" t="str">
        <f>IF($E$30="Enter Duration (wks)","",IF($Y87="Enter Hrs/Wk","",IF($E$30&gt;='FORMULA REFS'!AN$1,$Y87,"")))</f>
        <v/>
      </c>
      <c r="BD209" s="1286" t="str">
        <f>IF($E$30="Enter Duration (wks)","",IF($Y87="Enter Hrs/Wk","",IF($E$30&gt;='FORMULA REFS'!AO$1,$Y87,"")))</f>
        <v/>
      </c>
      <c r="BE209" s="1286" t="str">
        <f>IF($E$30="Enter Duration (wks)","",IF($Y87="Enter Hrs/Wk","",IF($E$30&gt;='FORMULA REFS'!AP$1,$Y87,"")))</f>
        <v/>
      </c>
      <c r="BF209" s="1286" t="str">
        <f>IF($E$30="Enter Duration (wks)","",IF($Y87="Enter Hrs/Wk","",IF($E$30&gt;='FORMULA REFS'!AQ$1,$Y87,"")))</f>
        <v/>
      </c>
      <c r="BG209" s="1286" t="str">
        <f>IF($E$30="Enter Duration (wks)","",IF($Y87="Enter Hrs/Wk","",IF($E$30&gt;='FORMULA REFS'!AR$1,$Y87,"")))</f>
        <v/>
      </c>
      <c r="BH209" s="1286" t="str">
        <f>IF($E$30="Enter Duration (wks)","",IF($Y87="Enter Hrs/Wk","",IF($E$30&gt;='FORMULA REFS'!AS$1,$Y87,"")))</f>
        <v/>
      </c>
      <c r="BI209" s="1286" t="str">
        <f>IF($E$30="Enter Duration (wks)","",IF($Y87="Enter Hrs/Wk","",IF($E$30&gt;='FORMULA REFS'!AT$1,$Y87,"")))</f>
        <v/>
      </c>
      <c r="BJ209" s="1286" t="str">
        <f>IF($E$30="Enter Duration (wks)","",IF($Y87="Enter Hrs/Wk","",IF($E$30&gt;='FORMULA REFS'!AU$1,$Y87,"")))</f>
        <v/>
      </c>
      <c r="BK209" s="1286" t="str">
        <f>IF($E$30="Enter Duration (wks)","",IF($Y87="Enter Hrs/Wk","",IF($E$30&gt;='FORMULA REFS'!AV$1,$Y87,"")))</f>
        <v/>
      </c>
      <c r="BL209" s="1286" t="str">
        <f>IF($E$30="Enter Duration (wks)","",IF($Y87="Enter Hrs/Wk","",IF($E$30&gt;='FORMULA REFS'!AW$1,$Y87,"")))</f>
        <v/>
      </c>
      <c r="BM209" s="1286" t="str">
        <f>IF($E$30="Enter Duration (wks)","",IF($Y87="Enter Hrs/Wk","",IF($E$30&gt;='FORMULA REFS'!AX$1,$Y87,"")))</f>
        <v/>
      </c>
      <c r="BN209" s="1286" t="str">
        <f>IF($E$30="Enter Duration (wks)","",IF($Y87="Enter Hrs/Wk","",IF($E$30&gt;='FORMULA REFS'!AY$1,$Y87,"")))</f>
        <v/>
      </c>
      <c r="BO209" s="1286" t="str">
        <f>IF($E$30="Enter Duration (wks)","",IF($Y87="Enter Hrs/Wk","",IF($E$30&gt;='FORMULA REFS'!AZ$1,$Y87,"")))</f>
        <v/>
      </c>
    </row>
    <row r="210" spans="3:67" ht="13.95" hidden="1" customHeight="1" outlineLevel="1" x14ac:dyDescent="0.25">
      <c r="C210" s="1291" t="str">
        <f t="shared" si="82"/>
        <v/>
      </c>
      <c r="D210" s="1318" t="str">
        <f t="shared" si="81"/>
        <v/>
      </c>
      <c r="E210" s="1326"/>
      <c r="F210" s="1327" t="str">
        <f>IF($E$30="Enter Duration (wks)","",IF($Y88="Enter Hrs/Wk","",IF($E$30&gt;='FORMULA REFS'!A$1,$Y88,"")))</f>
        <v/>
      </c>
      <c r="G210" s="1328"/>
      <c r="H210" s="1570"/>
      <c r="I210" s="1329" t="str">
        <f>IF($E$30="Enter Duration (wks)","",IF($Y88="Enter Hrs/Wk","",IF($E$30&gt;='FORMULA REFS'!B$1,$Y88,"")))</f>
        <v/>
      </c>
      <c r="J210" s="1323"/>
      <c r="K210" s="1286" t="str">
        <f>IF($E$30="Enter Duration (wks)","",IF($Y88="Enter Hrs/Wk","",IF($E$30&gt;='FORMULA REFS'!C$1,$Y88,"")))</f>
        <v/>
      </c>
      <c r="L210" s="882" t="str">
        <f>IF($E$30="Enter Duration (wks)","",IF($Y88="Enter Hrs/Wk","",IF($E$30&gt;='FORMULA REFS'!D$1,$Y88,"")))</f>
        <v/>
      </c>
      <c r="M210" s="882" t="str">
        <f>IF($E$30="Enter Duration (wks)","",IF($Y88="Enter Hrs/Wk","",IF($E$30&gt;='FORMULA REFS'!E$1,$Y88,"")))</f>
        <v/>
      </c>
      <c r="N210" s="882" t="str">
        <f>IF($E$30="Enter Duration (wks)","",IF($Y88="Enter Hrs/Wk","",IF($E$30&gt;='FORMULA REFS'!F$1,$Y88,"")))</f>
        <v/>
      </c>
      <c r="O210" s="882" t="str">
        <f>IF($E$30="Enter Duration (wks)","",IF($Y88="Enter Hrs/Wk","",IF($E$30&gt;='FORMULA REFS'!G$1,$Y88,"")))</f>
        <v/>
      </c>
      <c r="P210" s="882" t="str">
        <f>IF($E$30="Enter Duration (wks)","",IF($Y88="Enter Hrs/Wk","",IF($E$30&gt;='FORMULA REFS'!H$1,$Y88,"")))</f>
        <v/>
      </c>
      <c r="Q210" s="882" t="str">
        <f>IF($E$30="Enter Duration (wks)","",IF($Y88="Enter Hrs/Wk","",IF($E$30&gt;='FORMULA REFS'!I$1,$Y88,"")))</f>
        <v/>
      </c>
      <c r="R210" s="882" t="str">
        <f>IF($E$30="Enter Duration (wks)","",IF($Y88="Enter Hrs/Wk","",IF($E$30&gt;='FORMULA REFS'!J$1,$Y88,"")))</f>
        <v/>
      </c>
      <c r="S210" s="882" t="str">
        <f>IF($E$30="Enter Duration (wks)","",IF($Y88="Enter Hrs/Wk","",IF($E$30&gt;='FORMULA REFS'!K$1,$Y88,"")))</f>
        <v/>
      </c>
      <c r="T210" s="1323" t="str">
        <f>IF($E$30="Enter Duration (wks)","",IF($Y88="Enter Hrs/Wk","",IF($E$30&gt;='FORMULA REFS'!L$1,$Y88,"")))</f>
        <v/>
      </c>
      <c r="U210" s="882" t="str">
        <f>IF($E$30="Enter Duration (wks)","",IF($Y88="Enter Hrs/Wk","",IF($E$30&gt;='FORMULA REFS'!M$1,$Y88,"")))</f>
        <v/>
      </c>
      <c r="V210" s="882"/>
      <c r="W210" s="882"/>
      <c r="X210" s="1285"/>
      <c r="Y210" s="1285" t="str">
        <f>IF($E$30="Enter Duration (wks)","",IF($Y88="Enter Hrs/Wk","",IF($E$30&gt;='FORMULA REFS'!N$1,$Y88,"")))</f>
        <v/>
      </c>
      <c r="Z210" s="1343" t="str">
        <f>IF($E$30="Enter Duration (wks)","",IF($Y88="Enter Hrs/Wk","",IF($E$30&gt;='FORMULA REFS'!O$1,$Y88,"")))</f>
        <v/>
      </c>
      <c r="AA210" s="882" t="str">
        <f>IF($E$30="Enter Duration (wks)","",IF($Y88="Enter Hrs/Wk","",IF($E$30&gt;='FORMULA REFS'!P$1,$Y88,"")))</f>
        <v/>
      </c>
      <c r="AB210" s="882" t="str">
        <f>IF($E$30="Enter Duration (wks)","",IF($Y88="Enter Hrs/Wk","",IF($E$30&gt;='FORMULA REFS'!Q$1,$Y88,"")))</f>
        <v/>
      </c>
      <c r="AC210" s="882"/>
      <c r="AD210" s="882"/>
      <c r="AE210" s="882"/>
      <c r="AF210" s="882"/>
      <c r="AG210" s="1286" t="str">
        <f>IF($E$30="Enter Duration (wks)","",IF($Y88="Enter Hrs/Wk","",IF($E$30&gt;='FORMULA REFS'!R$1,$Y88,"")))</f>
        <v/>
      </c>
      <c r="AH210" s="1286" t="str">
        <f>IF($E$30="Enter Duration (wks)","",IF($Y88="Enter Hrs/Wk","",IF($E$30&gt;='FORMULA REFS'!S$1,$Y88,"")))</f>
        <v/>
      </c>
      <c r="AI210" s="1286" t="str">
        <f>IF($E$30="Enter Duration (wks)","",IF($Y88="Enter Hrs/Wk","",IF($E$30&gt;='FORMULA REFS'!T$1,$Y88,"")))</f>
        <v/>
      </c>
      <c r="AJ210" s="1286" t="str">
        <f>IF($E$30="Enter Duration (wks)","",IF($Y88="Enter Hrs/Wk","",IF($E$30&gt;='FORMULA REFS'!U$1,$Y88,"")))</f>
        <v/>
      </c>
      <c r="AK210" s="1286" t="str">
        <f>IF($E$30="Enter Duration (wks)","",IF($Y88="Enter Hrs/Wk","",IF($E$30&gt;='FORMULA REFS'!V$1,$Y88,"")))</f>
        <v/>
      </c>
      <c r="AL210" s="1286" t="str">
        <f>IF($E$30="Enter Duration (wks)","",IF($Y88="Enter Hrs/Wk","",IF($E$30&gt;='FORMULA REFS'!W$1,$Y88,"")))</f>
        <v/>
      </c>
      <c r="AM210" s="1286" t="str">
        <f>IF($E$30="Enter Duration (wks)","",IF($Y88="Enter Hrs/Wk","",IF($E$30&gt;='FORMULA REFS'!X$1,$Y88,"")))</f>
        <v/>
      </c>
      <c r="AN210" s="1286" t="str">
        <f>IF($E$30="Enter Duration (wks)","",IF($Y88="Enter Hrs/Wk","",IF($E$30&gt;='FORMULA REFS'!Y$1,$Y88,"")))</f>
        <v/>
      </c>
      <c r="AO210" s="1286" t="str">
        <f>IF($E$30="Enter Duration (wks)","",IF($Y88="Enter Hrs/Wk","",IF($E$30&gt;='FORMULA REFS'!Z$1,$Y88,"")))</f>
        <v/>
      </c>
      <c r="AP210" s="1286" t="str">
        <f>IF($E$30="Enter Duration (wks)","",IF($Y88="Enter Hrs/Wk","",IF($E$30&gt;='FORMULA REFS'!AA$1,$Y88,"")))</f>
        <v/>
      </c>
      <c r="AQ210" s="1286" t="str">
        <f>IF($E$30="Enter Duration (wks)","",IF($Y88="Enter Hrs/Wk","",IF($E$30&gt;='FORMULA REFS'!AB$1,$Y88,"")))</f>
        <v/>
      </c>
      <c r="AR210" s="1286" t="str">
        <f>IF($E$30="Enter Duration (wks)","",IF($Y88="Enter Hrs/Wk","",IF($E$30&gt;='FORMULA REFS'!AC$1,$Y88,"")))</f>
        <v/>
      </c>
      <c r="AS210" s="1286" t="str">
        <f>IF($E$30="Enter Duration (wks)","",IF($Y88="Enter Hrs/Wk","",IF($E$30&gt;='FORMULA REFS'!AD$1,$Y88,"")))</f>
        <v/>
      </c>
      <c r="AT210" s="1286" t="str">
        <f>IF($E$30="Enter Duration (wks)","",IF($Y88="Enter Hrs/Wk","",IF($E$30&gt;='FORMULA REFS'!AE$1,$Y88,"")))</f>
        <v/>
      </c>
      <c r="AU210" s="1286" t="str">
        <f>IF($E$30="Enter Duration (wks)","",IF($Y88="Enter Hrs/Wk","",IF($E$30&gt;='FORMULA REFS'!AF$1,$Y88,"")))</f>
        <v/>
      </c>
      <c r="AV210" s="1286" t="str">
        <f>IF($E$30="Enter Duration (wks)","",IF($Y88="Enter Hrs/Wk","",IF($E$30&gt;='FORMULA REFS'!AG$1,$Y88,"")))</f>
        <v/>
      </c>
      <c r="AW210" s="1286" t="str">
        <f>IF($E$30="Enter Duration (wks)","",IF($Y88="Enter Hrs/Wk","",IF($E$30&gt;='FORMULA REFS'!AH$1,$Y88,"")))</f>
        <v/>
      </c>
      <c r="AX210" s="1286" t="str">
        <f>IF($E$30="Enter Duration (wks)","",IF($Y88="Enter Hrs/Wk","",IF($E$30&gt;='FORMULA REFS'!AI$1,$Y88,"")))</f>
        <v/>
      </c>
      <c r="AY210" s="1286" t="str">
        <f>IF($E$30="Enter Duration (wks)","",IF($Y88="Enter Hrs/Wk","",IF($E$30&gt;='FORMULA REFS'!AJ$1,$Y88,"")))</f>
        <v/>
      </c>
      <c r="AZ210" s="1286" t="str">
        <f>IF($E$30="Enter Duration (wks)","",IF($Y88="Enter Hrs/Wk","",IF($E$30&gt;='FORMULA REFS'!AK$1,$Y88,"")))</f>
        <v/>
      </c>
      <c r="BA210" s="1286" t="str">
        <f>IF($E$30="Enter Duration (wks)","",IF($Y88="Enter Hrs/Wk","",IF($E$30&gt;='FORMULA REFS'!AL$1,$Y88,"")))</f>
        <v/>
      </c>
      <c r="BB210" s="1286" t="str">
        <f>IF($E$30="Enter Duration (wks)","",IF($Y88="Enter Hrs/Wk","",IF($E$30&gt;='FORMULA REFS'!AM$1,$Y88,"")))</f>
        <v/>
      </c>
      <c r="BC210" s="1286" t="str">
        <f>IF($E$30="Enter Duration (wks)","",IF($Y88="Enter Hrs/Wk","",IF($E$30&gt;='FORMULA REFS'!AN$1,$Y88,"")))</f>
        <v/>
      </c>
      <c r="BD210" s="1286" t="str">
        <f>IF($E$30="Enter Duration (wks)","",IF($Y88="Enter Hrs/Wk","",IF($E$30&gt;='FORMULA REFS'!AO$1,$Y88,"")))</f>
        <v/>
      </c>
      <c r="BE210" s="1286" t="str">
        <f>IF($E$30="Enter Duration (wks)","",IF($Y88="Enter Hrs/Wk","",IF($E$30&gt;='FORMULA REFS'!AP$1,$Y88,"")))</f>
        <v/>
      </c>
      <c r="BF210" s="1286" t="str">
        <f>IF($E$30="Enter Duration (wks)","",IF($Y88="Enter Hrs/Wk","",IF($E$30&gt;='FORMULA REFS'!AQ$1,$Y88,"")))</f>
        <v/>
      </c>
      <c r="BG210" s="1286" t="str">
        <f>IF($E$30="Enter Duration (wks)","",IF($Y88="Enter Hrs/Wk","",IF($E$30&gt;='FORMULA REFS'!AR$1,$Y88,"")))</f>
        <v/>
      </c>
      <c r="BH210" s="1286" t="str">
        <f>IF($E$30="Enter Duration (wks)","",IF($Y88="Enter Hrs/Wk","",IF($E$30&gt;='FORMULA REFS'!AS$1,$Y88,"")))</f>
        <v/>
      </c>
      <c r="BI210" s="1286" t="str">
        <f>IF($E$30="Enter Duration (wks)","",IF($Y88="Enter Hrs/Wk","",IF($E$30&gt;='FORMULA REFS'!AT$1,$Y88,"")))</f>
        <v/>
      </c>
      <c r="BJ210" s="1286" t="str">
        <f>IF($E$30="Enter Duration (wks)","",IF($Y88="Enter Hrs/Wk","",IF($E$30&gt;='FORMULA REFS'!AU$1,$Y88,"")))</f>
        <v/>
      </c>
      <c r="BK210" s="1286" t="str">
        <f>IF($E$30="Enter Duration (wks)","",IF($Y88="Enter Hrs/Wk","",IF($E$30&gt;='FORMULA REFS'!AV$1,$Y88,"")))</f>
        <v/>
      </c>
      <c r="BL210" s="1286" t="str">
        <f>IF($E$30="Enter Duration (wks)","",IF($Y88="Enter Hrs/Wk","",IF($E$30&gt;='FORMULA REFS'!AW$1,$Y88,"")))</f>
        <v/>
      </c>
      <c r="BM210" s="1286" t="str">
        <f>IF($E$30="Enter Duration (wks)","",IF($Y88="Enter Hrs/Wk","",IF($E$30&gt;='FORMULA REFS'!AX$1,$Y88,"")))</f>
        <v/>
      </c>
      <c r="BN210" s="1286" t="str">
        <f>IF($E$30="Enter Duration (wks)","",IF($Y88="Enter Hrs/Wk","",IF($E$30&gt;='FORMULA REFS'!AY$1,$Y88,"")))</f>
        <v/>
      </c>
      <c r="BO210" s="1286" t="str">
        <f>IF($E$30="Enter Duration (wks)","",IF($Y88="Enter Hrs/Wk","",IF($E$30&gt;='FORMULA REFS'!AZ$1,$Y88,"")))</f>
        <v/>
      </c>
    </row>
    <row r="211" spans="3:67" ht="13.95" hidden="1" customHeight="1" outlineLevel="1" x14ac:dyDescent="0.25">
      <c r="C211" s="1291" t="str">
        <f t="shared" si="82"/>
        <v/>
      </c>
      <c r="D211" s="1318" t="str">
        <f t="shared" si="81"/>
        <v/>
      </c>
      <c r="E211" s="1326"/>
      <c r="F211" s="1327" t="str">
        <f>IF($E$30="Enter Duration (wks)","",IF($Y89="Enter Hrs/Wk","",IF($E$30&gt;='FORMULA REFS'!A$1,$Y89,"")))</f>
        <v/>
      </c>
      <c r="G211" s="1328"/>
      <c r="H211" s="1570"/>
      <c r="I211" s="1329" t="str">
        <f>IF($E$30="Enter Duration (wks)","",IF($Y89="Enter Hrs/Wk","",IF($E$30&gt;='FORMULA REFS'!B$1,$Y89,"")))</f>
        <v/>
      </c>
      <c r="J211" s="1323"/>
      <c r="K211" s="1286" t="str">
        <f>IF($E$30="Enter Duration (wks)","",IF($Y89="Enter Hrs/Wk","",IF($E$30&gt;='FORMULA REFS'!C$1,$Y89,"")))</f>
        <v/>
      </c>
      <c r="L211" s="882" t="str">
        <f>IF($E$30="Enter Duration (wks)","",IF($Y89="Enter Hrs/Wk","",IF($E$30&gt;='FORMULA REFS'!D$1,$Y89,"")))</f>
        <v/>
      </c>
      <c r="M211" s="882" t="str">
        <f>IF($E$30="Enter Duration (wks)","",IF($Y89="Enter Hrs/Wk","",IF($E$30&gt;='FORMULA REFS'!E$1,$Y89,"")))</f>
        <v/>
      </c>
      <c r="N211" s="882" t="str">
        <f>IF($E$30="Enter Duration (wks)","",IF($Y89="Enter Hrs/Wk","",IF($E$30&gt;='FORMULA REFS'!F$1,$Y89,"")))</f>
        <v/>
      </c>
      <c r="O211" s="882" t="str">
        <f>IF($E$30="Enter Duration (wks)","",IF($Y89="Enter Hrs/Wk","",IF($E$30&gt;='FORMULA REFS'!G$1,$Y89,"")))</f>
        <v/>
      </c>
      <c r="P211" s="882" t="str">
        <f>IF($E$30="Enter Duration (wks)","",IF($Y89="Enter Hrs/Wk","",IF($E$30&gt;='FORMULA REFS'!H$1,$Y89,"")))</f>
        <v/>
      </c>
      <c r="Q211" s="882" t="str">
        <f>IF($E$30="Enter Duration (wks)","",IF($Y89="Enter Hrs/Wk","",IF($E$30&gt;='FORMULA REFS'!I$1,$Y89,"")))</f>
        <v/>
      </c>
      <c r="R211" s="882" t="str">
        <f>IF($E$30="Enter Duration (wks)","",IF($Y89="Enter Hrs/Wk","",IF($E$30&gt;='FORMULA REFS'!J$1,$Y89,"")))</f>
        <v/>
      </c>
      <c r="S211" s="882" t="str">
        <f>IF($E$30="Enter Duration (wks)","",IF($Y89="Enter Hrs/Wk","",IF($E$30&gt;='FORMULA REFS'!K$1,$Y89,"")))</f>
        <v/>
      </c>
      <c r="T211" s="1323" t="str">
        <f>IF($E$30="Enter Duration (wks)","",IF($Y89="Enter Hrs/Wk","",IF($E$30&gt;='FORMULA REFS'!L$1,$Y89,"")))</f>
        <v/>
      </c>
      <c r="U211" s="882" t="str">
        <f>IF($E$30="Enter Duration (wks)","",IF($Y89="Enter Hrs/Wk","",IF($E$30&gt;='FORMULA REFS'!M$1,$Y89,"")))</f>
        <v/>
      </c>
      <c r="V211" s="882"/>
      <c r="W211" s="882"/>
      <c r="X211" s="1285"/>
      <c r="Y211" s="1285" t="str">
        <f>IF($E$30="Enter Duration (wks)","",IF($Y89="Enter Hrs/Wk","",IF($E$30&gt;='FORMULA REFS'!N$1,$Y89,"")))</f>
        <v/>
      </c>
      <c r="Z211" s="1343" t="str">
        <f>IF($E$30="Enter Duration (wks)","",IF($Y89="Enter Hrs/Wk","",IF($E$30&gt;='FORMULA REFS'!O$1,$Y89,"")))</f>
        <v/>
      </c>
      <c r="AA211" s="882" t="str">
        <f>IF($E$30="Enter Duration (wks)","",IF($Y89="Enter Hrs/Wk","",IF($E$30&gt;='FORMULA REFS'!P$1,$Y89,"")))</f>
        <v/>
      </c>
      <c r="AB211" s="882" t="str">
        <f>IF($E$30="Enter Duration (wks)","",IF($Y89="Enter Hrs/Wk","",IF($E$30&gt;='FORMULA REFS'!Q$1,$Y89,"")))</f>
        <v/>
      </c>
      <c r="AC211" s="882"/>
      <c r="AD211" s="882"/>
      <c r="AE211" s="882"/>
      <c r="AF211" s="882"/>
      <c r="AG211" s="1286" t="str">
        <f>IF($E$30="Enter Duration (wks)","",IF($Y89="Enter Hrs/Wk","",IF($E$30&gt;='FORMULA REFS'!R$1,$Y89,"")))</f>
        <v/>
      </c>
      <c r="AH211" s="1286" t="str">
        <f>IF($E$30="Enter Duration (wks)","",IF($Y89="Enter Hrs/Wk","",IF($E$30&gt;='FORMULA REFS'!S$1,$Y89,"")))</f>
        <v/>
      </c>
      <c r="AI211" s="1286" t="str">
        <f>IF($E$30="Enter Duration (wks)","",IF($Y89="Enter Hrs/Wk","",IF($E$30&gt;='FORMULA REFS'!T$1,$Y89,"")))</f>
        <v/>
      </c>
      <c r="AJ211" s="1286" t="str">
        <f>IF($E$30="Enter Duration (wks)","",IF($Y89="Enter Hrs/Wk","",IF($E$30&gt;='FORMULA REFS'!U$1,$Y89,"")))</f>
        <v/>
      </c>
      <c r="AK211" s="1286" t="str">
        <f>IF($E$30="Enter Duration (wks)","",IF($Y89="Enter Hrs/Wk","",IF($E$30&gt;='FORMULA REFS'!V$1,$Y89,"")))</f>
        <v/>
      </c>
      <c r="AL211" s="1286" t="str">
        <f>IF($E$30="Enter Duration (wks)","",IF($Y89="Enter Hrs/Wk","",IF($E$30&gt;='FORMULA REFS'!W$1,$Y89,"")))</f>
        <v/>
      </c>
      <c r="AM211" s="1286" t="str">
        <f>IF($E$30="Enter Duration (wks)","",IF($Y89="Enter Hrs/Wk","",IF($E$30&gt;='FORMULA REFS'!X$1,$Y89,"")))</f>
        <v/>
      </c>
      <c r="AN211" s="1286" t="str">
        <f>IF($E$30="Enter Duration (wks)","",IF($Y89="Enter Hrs/Wk","",IF($E$30&gt;='FORMULA REFS'!Y$1,$Y89,"")))</f>
        <v/>
      </c>
      <c r="AO211" s="1286" t="str">
        <f>IF($E$30="Enter Duration (wks)","",IF($Y89="Enter Hrs/Wk","",IF($E$30&gt;='FORMULA REFS'!Z$1,$Y89,"")))</f>
        <v/>
      </c>
      <c r="AP211" s="1286" t="str">
        <f>IF($E$30="Enter Duration (wks)","",IF($Y89="Enter Hrs/Wk","",IF($E$30&gt;='FORMULA REFS'!AA$1,$Y89,"")))</f>
        <v/>
      </c>
      <c r="AQ211" s="1286" t="str">
        <f>IF($E$30="Enter Duration (wks)","",IF($Y89="Enter Hrs/Wk","",IF($E$30&gt;='FORMULA REFS'!AB$1,$Y89,"")))</f>
        <v/>
      </c>
      <c r="AR211" s="1286" t="str">
        <f>IF($E$30="Enter Duration (wks)","",IF($Y89="Enter Hrs/Wk","",IF($E$30&gt;='FORMULA REFS'!AC$1,$Y89,"")))</f>
        <v/>
      </c>
      <c r="AS211" s="1286" t="str">
        <f>IF($E$30="Enter Duration (wks)","",IF($Y89="Enter Hrs/Wk","",IF($E$30&gt;='FORMULA REFS'!AD$1,$Y89,"")))</f>
        <v/>
      </c>
      <c r="AT211" s="1286" t="str">
        <f>IF($E$30="Enter Duration (wks)","",IF($Y89="Enter Hrs/Wk","",IF($E$30&gt;='FORMULA REFS'!AE$1,$Y89,"")))</f>
        <v/>
      </c>
      <c r="AU211" s="1286" t="str">
        <f>IF($E$30="Enter Duration (wks)","",IF($Y89="Enter Hrs/Wk","",IF($E$30&gt;='FORMULA REFS'!AF$1,$Y89,"")))</f>
        <v/>
      </c>
      <c r="AV211" s="1286" t="str">
        <f>IF($E$30="Enter Duration (wks)","",IF($Y89="Enter Hrs/Wk","",IF($E$30&gt;='FORMULA REFS'!AG$1,$Y89,"")))</f>
        <v/>
      </c>
      <c r="AW211" s="1286" t="str">
        <f>IF($E$30="Enter Duration (wks)","",IF($Y89="Enter Hrs/Wk","",IF($E$30&gt;='FORMULA REFS'!AH$1,$Y89,"")))</f>
        <v/>
      </c>
      <c r="AX211" s="1286" t="str">
        <f>IF($E$30="Enter Duration (wks)","",IF($Y89="Enter Hrs/Wk","",IF($E$30&gt;='FORMULA REFS'!AI$1,$Y89,"")))</f>
        <v/>
      </c>
      <c r="AY211" s="1286" t="str">
        <f>IF($E$30="Enter Duration (wks)","",IF($Y89="Enter Hrs/Wk","",IF($E$30&gt;='FORMULA REFS'!AJ$1,$Y89,"")))</f>
        <v/>
      </c>
      <c r="AZ211" s="1286" t="str">
        <f>IF($E$30="Enter Duration (wks)","",IF($Y89="Enter Hrs/Wk","",IF($E$30&gt;='FORMULA REFS'!AK$1,$Y89,"")))</f>
        <v/>
      </c>
      <c r="BA211" s="1286" t="str">
        <f>IF($E$30="Enter Duration (wks)","",IF($Y89="Enter Hrs/Wk","",IF($E$30&gt;='FORMULA REFS'!AL$1,$Y89,"")))</f>
        <v/>
      </c>
      <c r="BB211" s="1286" t="str">
        <f>IF($E$30="Enter Duration (wks)","",IF($Y89="Enter Hrs/Wk","",IF($E$30&gt;='FORMULA REFS'!AM$1,$Y89,"")))</f>
        <v/>
      </c>
      <c r="BC211" s="1286" t="str">
        <f>IF($E$30="Enter Duration (wks)","",IF($Y89="Enter Hrs/Wk","",IF($E$30&gt;='FORMULA REFS'!AN$1,$Y89,"")))</f>
        <v/>
      </c>
      <c r="BD211" s="1286" t="str">
        <f>IF($E$30="Enter Duration (wks)","",IF($Y89="Enter Hrs/Wk","",IF($E$30&gt;='FORMULA REFS'!AO$1,$Y89,"")))</f>
        <v/>
      </c>
      <c r="BE211" s="1286" t="str">
        <f>IF($E$30="Enter Duration (wks)","",IF($Y89="Enter Hrs/Wk","",IF($E$30&gt;='FORMULA REFS'!AP$1,$Y89,"")))</f>
        <v/>
      </c>
      <c r="BF211" s="1286" t="str">
        <f>IF($E$30="Enter Duration (wks)","",IF($Y89="Enter Hrs/Wk","",IF($E$30&gt;='FORMULA REFS'!AQ$1,$Y89,"")))</f>
        <v/>
      </c>
      <c r="BG211" s="1286" t="str">
        <f>IF($E$30="Enter Duration (wks)","",IF($Y89="Enter Hrs/Wk","",IF($E$30&gt;='FORMULA REFS'!AR$1,$Y89,"")))</f>
        <v/>
      </c>
      <c r="BH211" s="1286" t="str">
        <f>IF($E$30="Enter Duration (wks)","",IF($Y89="Enter Hrs/Wk","",IF($E$30&gt;='FORMULA REFS'!AS$1,$Y89,"")))</f>
        <v/>
      </c>
      <c r="BI211" s="1286" t="str">
        <f>IF($E$30="Enter Duration (wks)","",IF($Y89="Enter Hrs/Wk","",IF($E$30&gt;='FORMULA REFS'!AT$1,$Y89,"")))</f>
        <v/>
      </c>
      <c r="BJ211" s="1286" t="str">
        <f>IF($E$30="Enter Duration (wks)","",IF($Y89="Enter Hrs/Wk","",IF($E$30&gt;='FORMULA REFS'!AU$1,$Y89,"")))</f>
        <v/>
      </c>
      <c r="BK211" s="1286" t="str">
        <f>IF($E$30="Enter Duration (wks)","",IF($Y89="Enter Hrs/Wk","",IF($E$30&gt;='FORMULA REFS'!AV$1,$Y89,"")))</f>
        <v/>
      </c>
      <c r="BL211" s="1286" t="str">
        <f>IF($E$30="Enter Duration (wks)","",IF($Y89="Enter Hrs/Wk","",IF($E$30&gt;='FORMULA REFS'!AW$1,$Y89,"")))</f>
        <v/>
      </c>
      <c r="BM211" s="1286" t="str">
        <f>IF($E$30="Enter Duration (wks)","",IF($Y89="Enter Hrs/Wk","",IF($E$30&gt;='FORMULA REFS'!AX$1,$Y89,"")))</f>
        <v/>
      </c>
      <c r="BN211" s="1286" t="str">
        <f>IF($E$30="Enter Duration (wks)","",IF($Y89="Enter Hrs/Wk","",IF($E$30&gt;='FORMULA REFS'!AY$1,$Y89,"")))</f>
        <v/>
      </c>
      <c r="BO211" s="1286" t="str">
        <f>IF($E$30="Enter Duration (wks)","",IF($Y89="Enter Hrs/Wk","",IF($E$30&gt;='FORMULA REFS'!AZ$1,$Y89,"")))</f>
        <v/>
      </c>
    </row>
    <row r="212" spans="3:67" ht="13.95" hidden="1" customHeight="1" outlineLevel="1" x14ac:dyDescent="0.25">
      <c r="C212" s="1291" t="str">
        <f t="shared" si="82"/>
        <v/>
      </c>
      <c r="D212" s="1318" t="str">
        <f t="shared" si="81"/>
        <v/>
      </c>
      <c r="E212" s="1326"/>
      <c r="F212" s="1327" t="str">
        <f>IF($E$30="Enter Duration (wks)","",IF($Y90="Enter Hrs/Wk","",IF($E$30&gt;='FORMULA REFS'!A$1,$Y90,"")))</f>
        <v/>
      </c>
      <c r="G212" s="1328"/>
      <c r="H212" s="1570"/>
      <c r="I212" s="1329" t="str">
        <f>IF($E$30="Enter Duration (wks)","",IF($Y90="Enter Hrs/Wk","",IF($E$30&gt;='FORMULA REFS'!B$1,$Y90,"")))</f>
        <v/>
      </c>
      <c r="J212" s="1323"/>
      <c r="K212" s="1286" t="str">
        <f>IF($E$30="Enter Duration (wks)","",IF($Y90="Enter Hrs/Wk","",IF($E$30&gt;='FORMULA REFS'!C$1,$Y90,"")))</f>
        <v/>
      </c>
      <c r="L212" s="882" t="str">
        <f>IF($E$30="Enter Duration (wks)","",IF($Y90="Enter Hrs/Wk","",IF($E$30&gt;='FORMULA REFS'!D$1,$Y90,"")))</f>
        <v/>
      </c>
      <c r="M212" s="882" t="str">
        <f>IF($E$30="Enter Duration (wks)","",IF($Y90="Enter Hrs/Wk","",IF($E$30&gt;='FORMULA REFS'!E$1,$Y90,"")))</f>
        <v/>
      </c>
      <c r="N212" s="882" t="str">
        <f>IF($E$30="Enter Duration (wks)","",IF($Y90="Enter Hrs/Wk","",IF($E$30&gt;='FORMULA REFS'!F$1,$Y90,"")))</f>
        <v/>
      </c>
      <c r="O212" s="882" t="str">
        <f>IF($E$30="Enter Duration (wks)","",IF($Y90="Enter Hrs/Wk","",IF($E$30&gt;='FORMULA REFS'!G$1,$Y90,"")))</f>
        <v/>
      </c>
      <c r="P212" s="882" t="str">
        <f>IF($E$30="Enter Duration (wks)","",IF($Y90="Enter Hrs/Wk","",IF($E$30&gt;='FORMULA REFS'!H$1,$Y90,"")))</f>
        <v/>
      </c>
      <c r="Q212" s="882" t="str">
        <f>IF($E$30="Enter Duration (wks)","",IF($Y90="Enter Hrs/Wk","",IF($E$30&gt;='FORMULA REFS'!I$1,$Y90,"")))</f>
        <v/>
      </c>
      <c r="R212" s="882" t="str">
        <f>IF($E$30="Enter Duration (wks)","",IF($Y90="Enter Hrs/Wk","",IF($E$30&gt;='FORMULA REFS'!J$1,$Y90,"")))</f>
        <v/>
      </c>
      <c r="S212" s="882" t="str">
        <f>IF($E$30="Enter Duration (wks)","",IF($Y90="Enter Hrs/Wk","",IF($E$30&gt;='FORMULA REFS'!K$1,$Y90,"")))</f>
        <v/>
      </c>
      <c r="T212" s="1323" t="str">
        <f>IF($E$30="Enter Duration (wks)","",IF($Y90="Enter Hrs/Wk","",IF($E$30&gt;='FORMULA REFS'!L$1,$Y90,"")))</f>
        <v/>
      </c>
      <c r="U212" s="882" t="str">
        <f>IF($E$30="Enter Duration (wks)","",IF($Y90="Enter Hrs/Wk","",IF($E$30&gt;='FORMULA REFS'!M$1,$Y90,"")))</f>
        <v/>
      </c>
      <c r="V212" s="882"/>
      <c r="W212" s="882"/>
      <c r="X212" s="1285"/>
      <c r="Y212" s="1285" t="str">
        <f>IF($E$30="Enter Duration (wks)","",IF($Y90="Enter Hrs/Wk","",IF($E$30&gt;='FORMULA REFS'!N$1,$Y90,"")))</f>
        <v/>
      </c>
      <c r="Z212" s="1343" t="str">
        <f>IF($E$30="Enter Duration (wks)","",IF($Y90="Enter Hrs/Wk","",IF($E$30&gt;='FORMULA REFS'!O$1,$Y90,"")))</f>
        <v/>
      </c>
      <c r="AA212" s="882" t="str">
        <f>IF($E$30="Enter Duration (wks)","",IF($Y90="Enter Hrs/Wk","",IF($E$30&gt;='FORMULA REFS'!P$1,$Y90,"")))</f>
        <v/>
      </c>
      <c r="AB212" s="882" t="str">
        <f>IF($E$30="Enter Duration (wks)","",IF($Y90="Enter Hrs/Wk","",IF($E$30&gt;='FORMULA REFS'!Q$1,$Y90,"")))</f>
        <v/>
      </c>
      <c r="AC212" s="882"/>
      <c r="AD212" s="882"/>
      <c r="AE212" s="882"/>
      <c r="AF212" s="882"/>
      <c r="AG212" s="1286" t="str">
        <f>IF($E$30="Enter Duration (wks)","",IF($Y90="Enter Hrs/Wk","",IF($E$30&gt;='FORMULA REFS'!R$1,$Y90,"")))</f>
        <v/>
      </c>
      <c r="AH212" s="1286" t="str">
        <f>IF($E$30="Enter Duration (wks)","",IF($Y90="Enter Hrs/Wk","",IF($E$30&gt;='FORMULA REFS'!S$1,$Y90,"")))</f>
        <v/>
      </c>
      <c r="AI212" s="1286" t="str">
        <f>IF($E$30="Enter Duration (wks)","",IF($Y90="Enter Hrs/Wk","",IF($E$30&gt;='FORMULA REFS'!T$1,$Y90,"")))</f>
        <v/>
      </c>
      <c r="AJ212" s="1286" t="str">
        <f>IF($E$30="Enter Duration (wks)","",IF($Y90="Enter Hrs/Wk","",IF($E$30&gt;='FORMULA REFS'!U$1,$Y90,"")))</f>
        <v/>
      </c>
      <c r="AK212" s="1286" t="str">
        <f>IF($E$30="Enter Duration (wks)","",IF($Y90="Enter Hrs/Wk","",IF($E$30&gt;='FORMULA REFS'!V$1,$Y90,"")))</f>
        <v/>
      </c>
      <c r="AL212" s="1286" t="str">
        <f>IF($E$30="Enter Duration (wks)","",IF($Y90="Enter Hrs/Wk","",IF($E$30&gt;='FORMULA REFS'!W$1,$Y90,"")))</f>
        <v/>
      </c>
      <c r="AM212" s="1286" t="str">
        <f>IF($E$30="Enter Duration (wks)","",IF($Y90="Enter Hrs/Wk","",IF($E$30&gt;='FORMULA REFS'!X$1,$Y90,"")))</f>
        <v/>
      </c>
      <c r="AN212" s="1286" t="str">
        <f>IF($E$30="Enter Duration (wks)","",IF($Y90="Enter Hrs/Wk","",IF($E$30&gt;='FORMULA REFS'!Y$1,$Y90,"")))</f>
        <v/>
      </c>
      <c r="AO212" s="1286" t="str">
        <f>IF($E$30="Enter Duration (wks)","",IF($Y90="Enter Hrs/Wk","",IF($E$30&gt;='FORMULA REFS'!Z$1,$Y90,"")))</f>
        <v/>
      </c>
      <c r="AP212" s="1286" t="str">
        <f>IF($E$30="Enter Duration (wks)","",IF($Y90="Enter Hrs/Wk","",IF($E$30&gt;='FORMULA REFS'!AA$1,$Y90,"")))</f>
        <v/>
      </c>
      <c r="AQ212" s="1286" t="str">
        <f>IF($E$30="Enter Duration (wks)","",IF($Y90="Enter Hrs/Wk","",IF($E$30&gt;='FORMULA REFS'!AB$1,$Y90,"")))</f>
        <v/>
      </c>
      <c r="AR212" s="1286" t="str">
        <f>IF($E$30="Enter Duration (wks)","",IF($Y90="Enter Hrs/Wk","",IF($E$30&gt;='FORMULA REFS'!AC$1,$Y90,"")))</f>
        <v/>
      </c>
      <c r="AS212" s="1286" t="str">
        <f>IF($E$30="Enter Duration (wks)","",IF($Y90="Enter Hrs/Wk","",IF($E$30&gt;='FORMULA REFS'!AD$1,$Y90,"")))</f>
        <v/>
      </c>
      <c r="AT212" s="1286" t="str">
        <f>IF($E$30="Enter Duration (wks)","",IF($Y90="Enter Hrs/Wk","",IF($E$30&gt;='FORMULA REFS'!AE$1,$Y90,"")))</f>
        <v/>
      </c>
      <c r="AU212" s="1286" t="str">
        <f>IF($E$30="Enter Duration (wks)","",IF($Y90="Enter Hrs/Wk","",IF($E$30&gt;='FORMULA REFS'!AF$1,$Y90,"")))</f>
        <v/>
      </c>
      <c r="AV212" s="1286" t="str">
        <f>IF($E$30="Enter Duration (wks)","",IF($Y90="Enter Hrs/Wk","",IF($E$30&gt;='FORMULA REFS'!AG$1,$Y90,"")))</f>
        <v/>
      </c>
      <c r="AW212" s="1286" t="str">
        <f>IF($E$30="Enter Duration (wks)","",IF($Y90="Enter Hrs/Wk","",IF($E$30&gt;='FORMULA REFS'!AH$1,$Y90,"")))</f>
        <v/>
      </c>
      <c r="AX212" s="1286" t="str">
        <f>IF($E$30="Enter Duration (wks)","",IF($Y90="Enter Hrs/Wk","",IF($E$30&gt;='FORMULA REFS'!AI$1,$Y90,"")))</f>
        <v/>
      </c>
      <c r="AY212" s="1286" t="str">
        <f>IF($E$30="Enter Duration (wks)","",IF($Y90="Enter Hrs/Wk","",IF($E$30&gt;='FORMULA REFS'!AJ$1,$Y90,"")))</f>
        <v/>
      </c>
      <c r="AZ212" s="1286" t="str">
        <f>IF($E$30="Enter Duration (wks)","",IF($Y90="Enter Hrs/Wk","",IF($E$30&gt;='FORMULA REFS'!AK$1,$Y90,"")))</f>
        <v/>
      </c>
      <c r="BA212" s="1286" t="str">
        <f>IF($E$30="Enter Duration (wks)","",IF($Y90="Enter Hrs/Wk","",IF($E$30&gt;='FORMULA REFS'!AL$1,$Y90,"")))</f>
        <v/>
      </c>
      <c r="BB212" s="1286" t="str">
        <f>IF($E$30="Enter Duration (wks)","",IF($Y90="Enter Hrs/Wk","",IF($E$30&gt;='FORMULA REFS'!AM$1,$Y90,"")))</f>
        <v/>
      </c>
      <c r="BC212" s="1286" t="str">
        <f>IF($E$30="Enter Duration (wks)","",IF($Y90="Enter Hrs/Wk","",IF($E$30&gt;='FORMULA REFS'!AN$1,$Y90,"")))</f>
        <v/>
      </c>
      <c r="BD212" s="1286" t="str">
        <f>IF($E$30="Enter Duration (wks)","",IF($Y90="Enter Hrs/Wk","",IF($E$30&gt;='FORMULA REFS'!AO$1,$Y90,"")))</f>
        <v/>
      </c>
      <c r="BE212" s="1286" t="str">
        <f>IF($E$30="Enter Duration (wks)","",IF($Y90="Enter Hrs/Wk","",IF($E$30&gt;='FORMULA REFS'!AP$1,$Y90,"")))</f>
        <v/>
      </c>
      <c r="BF212" s="1286" t="str">
        <f>IF($E$30="Enter Duration (wks)","",IF($Y90="Enter Hrs/Wk","",IF($E$30&gt;='FORMULA REFS'!AQ$1,$Y90,"")))</f>
        <v/>
      </c>
      <c r="BG212" s="1286" t="str">
        <f>IF($E$30="Enter Duration (wks)","",IF($Y90="Enter Hrs/Wk","",IF($E$30&gt;='FORMULA REFS'!AR$1,$Y90,"")))</f>
        <v/>
      </c>
      <c r="BH212" s="1286" t="str">
        <f>IF($E$30="Enter Duration (wks)","",IF($Y90="Enter Hrs/Wk","",IF($E$30&gt;='FORMULA REFS'!AS$1,$Y90,"")))</f>
        <v/>
      </c>
      <c r="BI212" s="1286" t="str">
        <f>IF($E$30="Enter Duration (wks)","",IF($Y90="Enter Hrs/Wk","",IF($E$30&gt;='FORMULA REFS'!AT$1,$Y90,"")))</f>
        <v/>
      </c>
      <c r="BJ212" s="1286" t="str">
        <f>IF($E$30="Enter Duration (wks)","",IF($Y90="Enter Hrs/Wk","",IF($E$30&gt;='FORMULA REFS'!AU$1,$Y90,"")))</f>
        <v/>
      </c>
      <c r="BK212" s="1286" t="str">
        <f>IF($E$30="Enter Duration (wks)","",IF($Y90="Enter Hrs/Wk","",IF($E$30&gt;='FORMULA REFS'!AV$1,$Y90,"")))</f>
        <v/>
      </c>
      <c r="BL212" s="1286" t="str">
        <f>IF($E$30="Enter Duration (wks)","",IF($Y90="Enter Hrs/Wk","",IF($E$30&gt;='FORMULA REFS'!AW$1,$Y90,"")))</f>
        <v/>
      </c>
      <c r="BM212" s="1286" t="str">
        <f>IF($E$30="Enter Duration (wks)","",IF($Y90="Enter Hrs/Wk","",IF($E$30&gt;='FORMULA REFS'!AX$1,$Y90,"")))</f>
        <v/>
      </c>
      <c r="BN212" s="1286" t="str">
        <f>IF($E$30="Enter Duration (wks)","",IF($Y90="Enter Hrs/Wk","",IF($E$30&gt;='FORMULA REFS'!AY$1,$Y90,"")))</f>
        <v/>
      </c>
      <c r="BO212" s="1286" t="str">
        <f>IF($E$30="Enter Duration (wks)","",IF($Y90="Enter Hrs/Wk","",IF($E$30&gt;='FORMULA REFS'!AZ$1,$Y90,"")))</f>
        <v/>
      </c>
    </row>
    <row r="213" spans="3:67" ht="13.95" hidden="1" customHeight="1" outlineLevel="1" x14ac:dyDescent="0.25">
      <c r="C213" s="1291" t="str">
        <f t="shared" si="82"/>
        <v/>
      </c>
      <c r="D213" s="1318" t="str">
        <f t="shared" si="81"/>
        <v/>
      </c>
      <c r="E213" s="1326"/>
      <c r="F213" s="1327" t="str">
        <f>IF($E$30="Enter Duration (wks)","",IF($Y91="Enter Hrs/Wk","",IF($E$30&gt;='FORMULA REFS'!A$1,$Y91,"")))</f>
        <v/>
      </c>
      <c r="G213" s="1328"/>
      <c r="H213" s="1570"/>
      <c r="I213" s="1329" t="str">
        <f>IF($E$30="Enter Duration (wks)","",IF($Y91="Enter Hrs/Wk","",IF($E$30&gt;='FORMULA REFS'!B$1,$Y91,"")))</f>
        <v/>
      </c>
      <c r="J213" s="1323"/>
      <c r="K213" s="1286" t="str">
        <f>IF($E$30="Enter Duration (wks)","",IF($Y91="Enter Hrs/Wk","",IF($E$30&gt;='FORMULA REFS'!C$1,$Y91,"")))</f>
        <v/>
      </c>
      <c r="L213" s="882" t="str">
        <f>IF($E$30="Enter Duration (wks)","",IF($Y91="Enter Hrs/Wk","",IF($E$30&gt;='FORMULA REFS'!D$1,$Y91,"")))</f>
        <v/>
      </c>
      <c r="M213" s="882" t="str">
        <f>IF($E$30="Enter Duration (wks)","",IF($Y91="Enter Hrs/Wk","",IF($E$30&gt;='FORMULA REFS'!E$1,$Y91,"")))</f>
        <v/>
      </c>
      <c r="N213" s="882" t="str">
        <f>IF($E$30="Enter Duration (wks)","",IF($Y91="Enter Hrs/Wk","",IF($E$30&gt;='FORMULA REFS'!F$1,$Y91,"")))</f>
        <v/>
      </c>
      <c r="O213" s="882" t="str">
        <f>IF($E$30="Enter Duration (wks)","",IF($Y91="Enter Hrs/Wk","",IF($E$30&gt;='FORMULA REFS'!G$1,$Y91,"")))</f>
        <v/>
      </c>
      <c r="P213" s="882" t="str">
        <f>IF($E$30="Enter Duration (wks)","",IF($Y91="Enter Hrs/Wk","",IF($E$30&gt;='FORMULA REFS'!H$1,$Y91,"")))</f>
        <v/>
      </c>
      <c r="Q213" s="882" t="str">
        <f>IF($E$30="Enter Duration (wks)","",IF($Y91="Enter Hrs/Wk","",IF($E$30&gt;='FORMULA REFS'!I$1,$Y91,"")))</f>
        <v/>
      </c>
      <c r="R213" s="882" t="str">
        <f>IF($E$30="Enter Duration (wks)","",IF($Y91="Enter Hrs/Wk","",IF($E$30&gt;='FORMULA REFS'!J$1,$Y91,"")))</f>
        <v/>
      </c>
      <c r="S213" s="882" t="str">
        <f>IF($E$30="Enter Duration (wks)","",IF($Y91="Enter Hrs/Wk","",IF($E$30&gt;='FORMULA REFS'!K$1,$Y91,"")))</f>
        <v/>
      </c>
      <c r="T213" s="1323" t="str">
        <f>IF($E$30="Enter Duration (wks)","",IF($Y91="Enter Hrs/Wk","",IF($E$30&gt;='FORMULA REFS'!L$1,$Y91,"")))</f>
        <v/>
      </c>
      <c r="U213" s="882" t="str">
        <f>IF($E$30="Enter Duration (wks)","",IF($Y91="Enter Hrs/Wk","",IF($E$30&gt;='FORMULA REFS'!M$1,$Y91,"")))</f>
        <v/>
      </c>
      <c r="V213" s="882"/>
      <c r="W213" s="882"/>
      <c r="X213" s="1285"/>
      <c r="Y213" s="1285" t="str">
        <f>IF($E$30="Enter Duration (wks)","",IF($Y91="Enter Hrs/Wk","",IF($E$30&gt;='FORMULA REFS'!N$1,$Y91,"")))</f>
        <v/>
      </c>
      <c r="Z213" s="1343" t="str">
        <f>IF($E$30="Enter Duration (wks)","",IF($Y91="Enter Hrs/Wk","",IF($E$30&gt;='FORMULA REFS'!O$1,$Y91,"")))</f>
        <v/>
      </c>
      <c r="AA213" s="882" t="str">
        <f>IF($E$30="Enter Duration (wks)","",IF($Y91="Enter Hrs/Wk","",IF($E$30&gt;='FORMULA REFS'!P$1,$Y91,"")))</f>
        <v/>
      </c>
      <c r="AB213" s="882" t="str">
        <f>IF($E$30="Enter Duration (wks)","",IF($Y91="Enter Hrs/Wk","",IF($E$30&gt;='FORMULA REFS'!Q$1,$Y91,"")))</f>
        <v/>
      </c>
      <c r="AC213" s="882"/>
      <c r="AD213" s="882"/>
      <c r="AE213" s="882"/>
      <c r="AF213" s="882"/>
      <c r="AG213" s="1286" t="str">
        <f>IF($E$30="Enter Duration (wks)","",IF($Y91="Enter Hrs/Wk","",IF($E$30&gt;='FORMULA REFS'!R$1,$Y91,"")))</f>
        <v/>
      </c>
      <c r="AH213" s="1286" t="str">
        <f>IF($E$30="Enter Duration (wks)","",IF($Y91="Enter Hrs/Wk","",IF($E$30&gt;='FORMULA REFS'!S$1,$Y91,"")))</f>
        <v/>
      </c>
      <c r="AI213" s="1286" t="str">
        <f>IF($E$30="Enter Duration (wks)","",IF($Y91="Enter Hrs/Wk","",IF($E$30&gt;='FORMULA REFS'!T$1,$Y91,"")))</f>
        <v/>
      </c>
      <c r="AJ213" s="1286" t="str">
        <f>IF($E$30="Enter Duration (wks)","",IF($Y91="Enter Hrs/Wk","",IF($E$30&gt;='FORMULA REFS'!U$1,$Y91,"")))</f>
        <v/>
      </c>
      <c r="AK213" s="1286" t="str">
        <f>IF($E$30="Enter Duration (wks)","",IF($Y91="Enter Hrs/Wk","",IF($E$30&gt;='FORMULA REFS'!V$1,$Y91,"")))</f>
        <v/>
      </c>
      <c r="AL213" s="1286" t="str">
        <f>IF($E$30="Enter Duration (wks)","",IF($Y91="Enter Hrs/Wk","",IF($E$30&gt;='FORMULA REFS'!W$1,$Y91,"")))</f>
        <v/>
      </c>
      <c r="AM213" s="1286" t="str">
        <f>IF($E$30="Enter Duration (wks)","",IF($Y91="Enter Hrs/Wk","",IF($E$30&gt;='FORMULA REFS'!X$1,$Y91,"")))</f>
        <v/>
      </c>
      <c r="AN213" s="1286" t="str">
        <f>IF($E$30="Enter Duration (wks)","",IF($Y91="Enter Hrs/Wk","",IF($E$30&gt;='FORMULA REFS'!Y$1,$Y91,"")))</f>
        <v/>
      </c>
      <c r="AO213" s="1286" t="str">
        <f>IF($E$30="Enter Duration (wks)","",IF($Y91="Enter Hrs/Wk","",IF($E$30&gt;='FORMULA REFS'!Z$1,$Y91,"")))</f>
        <v/>
      </c>
      <c r="AP213" s="1286" t="str">
        <f>IF($E$30="Enter Duration (wks)","",IF($Y91="Enter Hrs/Wk","",IF($E$30&gt;='FORMULA REFS'!AA$1,$Y91,"")))</f>
        <v/>
      </c>
      <c r="AQ213" s="1286" t="str">
        <f>IF($E$30="Enter Duration (wks)","",IF($Y91="Enter Hrs/Wk","",IF($E$30&gt;='FORMULA REFS'!AB$1,$Y91,"")))</f>
        <v/>
      </c>
      <c r="AR213" s="1286" t="str">
        <f>IF($E$30="Enter Duration (wks)","",IF($Y91="Enter Hrs/Wk","",IF($E$30&gt;='FORMULA REFS'!AC$1,$Y91,"")))</f>
        <v/>
      </c>
      <c r="AS213" s="1286" t="str">
        <f>IF($E$30="Enter Duration (wks)","",IF($Y91="Enter Hrs/Wk","",IF($E$30&gt;='FORMULA REFS'!AD$1,$Y91,"")))</f>
        <v/>
      </c>
      <c r="AT213" s="1286" t="str">
        <f>IF($E$30="Enter Duration (wks)","",IF($Y91="Enter Hrs/Wk","",IF($E$30&gt;='FORMULA REFS'!AE$1,$Y91,"")))</f>
        <v/>
      </c>
      <c r="AU213" s="1286" t="str">
        <f>IF($E$30="Enter Duration (wks)","",IF($Y91="Enter Hrs/Wk","",IF($E$30&gt;='FORMULA REFS'!AF$1,$Y91,"")))</f>
        <v/>
      </c>
      <c r="AV213" s="1286" t="str">
        <f>IF($E$30="Enter Duration (wks)","",IF($Y91="Enter Hrs/Wk","",IF($E$30&gt;='FORMULA REFS'!AG$1,$Y91,"")))</f>
        <v/>
      </c>
      <c r="AW213" s="1286" t="str">
        <f>IF($E$30="Enter Duration (wks)","",IF($Y91="Enter Hrs/Wk","",IF($E$30&gt;='FORMULA REFS'!AH$1,$Y91,"")))</f>
        <v/>
      </c>
      <c r="AX213" s="1286" t="str">
        <f>IF($E$30="Enter Duration (wks)","",IF($Y91="Enter Hrs/Wk","",IF($E$30&gt;='FORMULA REFS'!AI$1,$Y91,"")))</f>
        <v/>
      </c>
      <c r="AY213" s="1286" t="str">
        <f>IF($E$30="Enter Duration (wks)","",IF($Y91="Enter Hrs/Wk","",IF($E$30&gt;='FORMULA REFS'!AJ$1,$Y91,"")))</f>
        <v/>
      </c>
      <c r="AZ213" s="1286" t="str">
        <f>IF($E$30="Enter Duration (wks)","",IF($Y91="Enter Hrs/Wk","",IF($E$30&gt;='FORMULA REFS'!AK$1,$Y91,"")))</f>
        <v/>
      </c>
      <c r="BA213" s="1286" t="str">
        <f>IF($E$30="Enter Duration (wks)","",IF($Y91="Enter Hrs/Wk","",IF($E$30&gt;='FORMULA REFS'!AL$1,$Y91,"")))</f>
        <v/>
      </c>
      <c r="BB213" s="1286" t="str">
        <f>IF($E$30="Enter Duration (wks)","",IF($Y91="Enter Hrs/Wk","",IF($E$30&gt;='FORMULA REFS'!AM$1,$Y91,"")))</f>
        <v/>
      </c>
      <c r="BC213" s="1286" t="str">
        <f>IF($E$30="Enter Duration (wks)","",IF($Y91="Enter Hrs/Wk","",IF($E$30&gt;='FORMULA REFS'!AN$1,$Y91,"")))</f>
        <v/>
      </c>
      <c r="BD213" s="1286" t="str">
        <f>IF($E$30="Enter Duration (wks)","",IF($Y91="Enter Hrs/Wk","",IF($E$30&gt;='FORMULA REFS'!AO$1,$Y91,"")))</f>
        <v/>
      </c>
      <c r="BE213" s="1286" t="str">
        <f>IF($E$30="Enter Duration (wks)","",IF($Y91="Enter Hrs/Wk","",IF($E$30&gt;='FORMULA REFS'!AP$1,$Y91,"")))</f>
        <v/>
      </c>
      <c r="BF213" s="1286" t="str">
        <f>IF($E$30="Enter Duration (wks)","",IF($Y91="Enter Hrs/Wk","",IF($E$30&gt;='FORMULA REFS'!AQ$1,$Y91,"")))</f>
        <v/>
      </c>
      <c r="BG213" s="1286" t="str">
        <f>IF($E$30="Enter Duration (wks)","",IF($Y91="Enter Hrs/Wk","",IF($E$30&gt;='FORMULA REFS'!AR$1,$Y91,"")))</f>
        <v/>
      </c>
      <c r="BH213" s="1286" t="str">
        <f>IF($E$30="Enter Duration (wks)","",IF($Y91="Enter Hrs/Wk","",IF($E$30&gt;='FORMULA REFS'!AS$1,$Y91,"")))</f>
        <v/>
      </c>
      <c r="BI213" s="1286" t="str">
        <f>IF($E$30="Enter Duration (wks)","",IF($Y91="Enter Hrs/Wk","",IF($E$30&gt;='FORMULA REFS'!AT$1,$Y91,"")))</f>
        <v/>
      </c>
      <c r="BJ213" s="1286" t="str">
        <f>IF($E$30="Enter Duration (wks)","",IF($Y91="Enter Hrs/Wk","",IF($E$30&gt;='FORMULA REFS'!AU$1,$Y91,"")))</f>
        <v/>
      </c>
      <c r="BK213" s="1286" t="str">
        <f>IF($E$30="Enter Duration (wks)","",IF($Y91="Enter Hrs/Wk","",IF($E$30&gt;='FORMULA REFS'!AV$1,$Y91,"")))</f>
        <v/>
      </c>
      <c r="BL213" s="1286" t="str">
        <f>IF($E$30="Enter Duration (wks)","",IF($Y91="Enter Hrs/Wk","",IF($E$30&gt;='FORMULA REFS'!AW$1,$Y91,"")))</f>
        <v/>
      </c>
      <c r="BM213" s="1286" t="str">
        <f>IF($E$30="Enter Duration (wks)","",IF($Y91="Enter Hrs/Wk","",IF($E$30&gt;='FORMULA REFS'!AX$1,$Y91,"")))</f>
        <v/>
      </c>
      <c r="BN213" s="1286" t="str">
        <f>IF($E$30="Enter Duration (wks)","",IF($Y91="Enter Hrs/Wk","",IF($E$30&gt;='FORMULA REFS'!AY$1,$Y91,"")))</f>
        <v/>
      </c>
      <c r="BO213" s="1286" t="str">
        <f>IF($E$30="Enter Duration (wks)","",IF($Y91="Enter Hrs/Wk","",IF($E$30&gt;='FORMULA REFS'!AZ$1,$Y91,"")))</f>
        <v/>
      </c>
    </row>
    <row r="214" spans="3:67" ht="13.95" hidden="1" customHeight="1" outlineLevel="1" x14ac:dyDescent="0.25">
      <c r="C214" s="1291" t="str">
        <f t="shared" si="82"/>
        <v/>
      </c>
      <c r="D214" s="1318" t="str">
        <f t="shared" si="81"/>
        <v/>
      </c>
      <c r="E214" s="1326"/>
      <c r="F214" s="1327" t="str">
        <f>IF($E$30="Enter Duration (wks)","",IF($Y92="Enter Hrs/Wk","",IF($E$30&gt;='FORMULA REFS'!A$1,$Y92,"")))</f>
        <v/>
      </c>
      <c r="G214" s="1328"/>
      <c r="H214" s="1570"/>
      <c r="I214" s="1329" t="str">
        <f>IF($E$30="Enter Duration (wks)","",IF($Y92="Enter Hrs/Wk","",IF($E$30&gt;='FORMULA REFS'!B$1,$Y92,"")))</f>
        <v/>
      </c>
      <c r="J214" s="1323"/>
      <c r="K214" s="1286" t="str">
        <f>IF($E$30="Enter Duration (wks)","",IF($Y92="Enter Hrs/Wk","",IF($E$30&gt;='FORMULA REFS'!C$1,$Y92,"")))</f>
        <v/>
      </c>
      <c r="L214" s="882" t="str">
        <f>IF($E$30="Enter Duration (wks)","",IF($Y92="Enter Hrs/Wk","",IF($E$30&gt;='FORMULA REFS'!D$1,$Y92,"")))</f>
        <v/>
      </c>
      <c r="M214" s="882" t="str">
        <f>IF($E$30="Enter Duration (wks)","",IF($Y92="Enter Hrs/Wk","",IF($E$30&gt;='FORMULA REFS'!E$1,$Y92,"")))</f>
        <v/>
      </c>
      <c r="N214" s="882" t="str">
        <f>IF($E$30="Enter Duration (wks)","",IF($Y92="Enter Hrs/Wk","",IF($E$30&gt;='FORMULA REFS'!F$1,$Y92,"")))</f>
        <v/>
      </c>
      <c r="O214" s="882" t="str">
        <f>IF($E$30="Enter Duration (wks)","",IF($Y92="Enter Hrs/Wk","",IF($E$30&gt;='FORMULA REFS'!G$1,$Y92,"")))</f>
        <v/>
      </c>
      <c r="P214" s="882" t="str">
        <f>IF($E$30="Enter Duration (wks)","",IF($Y92="Enter Hrs/Wk","",IF($E$30&gt;='FORMULA REFS'!H$1,$Y92,"")))</f>
        <v/>
      </c>
      <c r="Q214" s="882" t="str">
        <f>IF($E$30="Enter Duration (wks)","",IF($Y92="Enter Hrs/Wk","",IF($E$30&gt;='FORMULA REFS'!I$1,$Y92,"")))</f>
        <v/>
      </c>
      <c r="R214" s="882" t="str">
        <f>IF($E$30="Enter Duration (wks)","",IF($Y92="Enter Hrs/Wk","",IF($E$30&gt;='FORMULA REFS'!J$1,$Y92,"")))</f>
        <v/>
      </c>
      <c r="S214" s="882" t="str">
        <f>IF($E$30="Enter Duration (wks)","",IF($Y92="Enter Hrs/Wk","",IF($E$30&gt;='FORMULA REFS'!K$1,$Y92,"")))</f>
        <v/>
      </c>
      <c r="T214" s="1323" t="str">
        <f>IF($E$30="Enter Duration (wks)","",IF($Y92="Enter Hrs/Wk","",IF($E$30&gt;='FORMULA REFS'!L$1,$Y92,"")))</f>
        <v/>
      </c>
      <c r="U214" s="882" t="str">
        <f>IF($E$30="Enter Duration (wks)","",IF($Y92="Enter Hrs/Wk","",IF($E$30&gt;='FORMULA REFS'!M$1,$Y92,"")))</f>
        <v/>
      </c>
      <c r="V214" s="882"/>
      <c r="W214" s="882"/>
      <c r="X214" s="1285"/>
      <c r="Y214" s="1285" t="str">
        <f>IF($E$30="Enter Duration (wks)","",IF($Y92="Enter Hrs/Wk","",IF($E$30&gt;='FORMULA REFS'!N$1,$Y92,"")))</f>
        <v/>
      </c>
      <c r="Z214" s="1343" t="str">
        <f>IF($E$30="Enter Duration (wks)","",IF($Y92="Enter Hrs/Wk","",IF($E$30&gt;='FORMULA REFS'!O$1,$Y92,"")))</f>
        <v/>
      </c>
      <c r="AA214" s="882" t="str">
        <f>IF($E$30="Enter Duration (wks)","",IF($Y92="Enter Hrs/Wk","",IF($E$30&gt;='FORMULA REFS'!P$1,$Y92,"")))</f>
        <v/>
      </c>
      <c r="AB214" s="882" t="str">
        <f>IF($E$30="Enter Duration (wks)","",IF($Y92="Enter Hrs/Wk","",IF($E$30&gt;='FORMULA REFS'!Q$1,$Y92,"")))</f>
        <v/>
      </c>
      <c r="AC214" s="882"/>
      <c r="AD214" s="882"/>
      <c r="AE214" s="882"/>
      <c r="AF214" s="882"/>
      <c r="AG214" s="1286" t="str">
        <f>IF($E$30="Enter Duration (wks)","",IF($Y92="Enter Hrs/Wk","",IF($E$30&gt;='FORMULA REFS'!R$1,$Y92,"")))</f>
        <v/>
      </c>
      <c r="AH214" s="1286" t="str">
        <f>IF($E$30="Enter Duration (wks)","",IF($Y92="Enter Hrs/Wk","",IF($E$30&gt;='FORMULA REFS'!S$1,$Y92,"")))</f>
        <v/>
      </c>
      <c r="AI214" s="1286" t="str">
        <f>IF($E$30="Enter Duration (wks)","",IF($Y92="Enter Hrs/Wk","",IF($E$30&gt;='FORMULA REFS'!T$1,$Y92,"")))</f>
        <v/>
      </c>
      <c r="AJ214" s="1286" t="str">
        <f>IF($E$30="Enter Duration (wks)","",IF($Y92="Enter Hrs/Wk","",IF($E$30&gt;='FORMULA REFS'!U$1,$Y92,"")))</f>
        <v/>
      </c>
      <c r="AK214" s="1286" t="str">
        <f>IF($E$30="Enter Duration (wks)","",IF($Y92="Enter Hrs/Wk","",IF($E$30&gt;='FORMULA REFS'!V$1,$Y92,"")))</f>
        <v/>
      </c>
      <c r="AL214" s="1286" t="str">
        <f>IF($E$30="Enter Duration (wks)","",IF($Y92="Enter Hrs/Wk","",IF($E$30&gt;='FORMULA REFS'!W$1,$Y92,"")))</f>
        <v/>
      </c>
      <c r="AM214" s="1286" t="str">
        <f>IF($E$30="Enter Duration (wks)","",IF($Y92="Enter Hrs/Wk","",IF($E$30&gt;='FORMULA REFS'!X$1,$Y92,"")))</f>
        <v/>
      </c>
      <c r="AN214" s="1286" t="str">
        <f>IF($E$30="Enter Duration (wks)","",IF($Y92="Enter Hrs/Wk","",IF($E$30&gt;='FORMULA REFS'!Y$1,$Y92,"")))</f>
        <v/>
      </c>
      <c r="AO214" s="1286" t="str">
        <f>IF($E$30="Enter Duration (wks)","",IF($Y92="Enter Hrs/Wk","",IF($E$30&gt;='FORMULA REFS'!Z$1,$Y92,"")))</f>
        <v/>
      </c>
      <c r="AP214" s="1286" t="str">
        <f>IF($E$30="Enter Duration (wks)","",IF($Y92="Enter Hrs/Wk","",IF($E$30&gt;='FORMULA REFS'!AA$1,$Y92,"")))</f>
        <v/>
      </c>
      <c r="AQ214" s="1286" t="str">
        <f>IF($E$30="Enter Duration (wks)","",IF($Y92="Enter Hrs/Wk","",IF($E$30&gt;='FORMULA REFS'!AB$1,$Y92,"")))</f>
        <v/>
      </c>
      <c r="AR214" s="1286" t="str">
        <f>IF($E$30="Enter Duration (wks)","",IF($Y92="Enter Hrs/Wk","",IF($E$30&gt;='FORMULA REFS'!AC$1,$Y92,"")))</f>
        <v/>
      </c>
      <c r="AS214" s="1286" t="str">
        <f>IF($E$30="Enter Duration (wks)","",IF($Y92="Enter Hrs/Wk","",IF($E$30&gt;='FORMULA REFS'!AD$1,$Y92,"")))</f>
        <v/>
      </c>
      <c r="AT214" s="1286" t="str">
        <f>IF($E$30="Enter Duration (wks)","",IF($Y92="Enter Hrs/Wk","",IF($E$30&gt;='FORMULA REFS'!AE$1,$Y92,"")))</f>
        <v/>
      </c>
      <c r="AU214" s="1286" t="str">
        <f>IF($E$30="Enter Duration (wks)","",IF($Y92="Enter Hrs/Wk","",IF($E$30&gt;='FORMULA REFS'!AF$1,$Y92,"")))</f>
        <v/>
      </c>
      <c r="AV214" s="1286" t="str">
        <f>IF($E$30="Enter Duration (wks)","",IF($Y92="Enter Hrs/Wk","",IF($E$30&gt;='FORMULA REFS'!AG$1,$Y92,"")))</f>
        <v/>
      </c>
      <c r="AW214" s="1286" t="str">
        <f>IF($E$30="Enter Duration (wks)","",IF($Y92="Enter Hrs/Wk","",IF($E$30&gt;='FORMULA REFS'!AH$1,$Y92,"")))</f>
        <v/>
      </c>
      <c r="AX214" s="1286" t="str">
        <f>IF($E$30="Enter Duration (wks)","",IF($Y92="Enter Hrs/Wk","",IF($E$30&gt;='FORMULA REFS'!AI$1,$Y92,"")))</f>
        <v/>
      </c>
      <c r="AY214" s="1286" t="str">
        <f>IF($E$30="Enter Duration (wks)","",IF($Y92="Enter Hrs/Wk","",IF($E$30&gt;='FORMULA REFS'!AJ$1,$Y92,"")))</f>
        <v/>
      </c>
      <c r="AZ214" s="1286" t="str">
        <f>IF($E$30="Enter Duration (wks)","",IF($Y92="Enter Hrs/Wk","",IF($E$30&gt;='FORMULA REFS'!AK$1,$Y92,"")))</f>
        <v/>
      </c>
      <c r="BA214" s="1286" t="str">
        <f>IF($E$30="Enter Duration (wks)","",IF($Y92="Enter Hrs/Wk","",IF($E$30&gt;='FORMULA REFS'!AL$1,$Y92,"")))</f>
        <v/>
      </c>
      <c r="BB214" s="1286" t="str">
        <f>IF($E$30="Enter Duration (wks)","",IF($Y92="Enter Hrs/Wk","",IF($E$30&gt;='FORMULA REFS'!AM$1,$Y92,"")))</f>
        <v/>
      </c>
      <c r="BC214" s="1286" t="str">
        <f>IF($E$30="Enter Duration (wks)","",IF($Y92="Enter Hrs/Wk","",IF($E$30&gt;='FORMULA REFS'!AN$1,$Y92,"")))</f>
        <v/>
      </c>
      <c r="BD214" s="1286" t="str">
        <f>IF($E$30="Enter Duration (wks)","",IF($Y92="Enter Hrs/Wk","",IF($E$30&gt;='FORMULA REFS'!AO$1,$Y92,"")))</f>
        <v/>
      </c>
      <c r="BE214" s="1286" t="str">
        <f>IF($E$30="Enter Duration (wks)","",IF($Y92="Enter Hrs/Wk","",IF($E$30&gt;='FORMULA REFS'!AP$1,$Y92,"")))</f>
        <v/>
      </c>
      <c r="BF214" s="1286" t="str">
        <f>IF($E$30="Enter Duration (wks)","",IF($Y92="Enter Hrs/Wk","",IF($E$30&gt;='FORMULA REFS'!AQ$1,$Y92,"")))</f>
        <v/>
      </c>
      <c r="BG214" s="1286" t="str">
        <f>IF($E$30="Enter Duration (wks)","",IF($Y92="Enter Hrs/Wk","",IF($E$30&gt;='FORMULA REFS'!AR$1,$Y92,"")))</f>
        <v/>
      </c>
      <c r="BH214" s="1286" t="str">
        <f>IF($E$30="Enter Duration (wks)","",IF($Y92="Enter Hrs/Wk","",IF($E$30&gt;='FORMULA REFS'!AS$1,$Y92,"")))</f>
        <v/>
      </c>
      <c r="BI214" s="1286" t="str">
        <f>IF($E$30="Enter Duration (wks)","",IF($Y92="Enter Hrs/Wk","",IF($E$30&gt;='FORMULA REFS'!AT$1,$Y92,"")))</f>
        <v/>
      </c>
      <c r="BJ214" s="1286" t="str">
        <f>IF($E$30="Enter Duration (wks)","",IF($Y92="Enter Hrs/Wk","",IF($E$30&gt;='FORMULA REFS'!AU$1,$Y92,"")))</f>
        <v/>
      </c>
      <c r="BK214" s="1286" t="str">
        <f>IF($E$30="Enter Duration (wks)","",IF($Y92="Enter Hrs/Wk","",IF($E$30&gt;='FORMULA REFS'!AV$1,$Y92,"")))</f>
        <v/>
      </c>
      <c r="BL214" s="1286" t="str">
        <f>IF($E$30="Enter Duration (wks)","",IF($Y92="Enter Hrs/Wk","",IF($E$30&gt;='FORMULA REFS'!AW$1,$Y92,"")))</f>
        <v/>
      </c>
      <c r="BM214" s="1286" t="str">
        <f>IF($E$30="Enter Duration (wks)","",IF($Y92="Enter Hrs/Wk","",IF($E$30&gt;='FORMULA REFS'!AX$1,$Y92,"")))</f>
        <v/>
      </c>
      <c r="BN214" s="1286" t="str">
        <f>IF($E$30="Enter Duration (wks)","",IF($Y92="Enter Hrs/Wk","",IF($E$30&gt;='FORMULA REFS'!AY$1,$Y92,"")))</f>
        <v/>
      </c>
      <c r="BO214" s="1286" t="str">
        <f>IF($E$30="Enter Duration (wks)","",IF($Y92="Enter Hrs/Wk","",IF($E$30&gt;='FORMULA REFS'!AZ$1,$Y92,"")))</f>
        <v/>
      </c>
    </row>
    <row r="215" spans="3:67" ht="13.95" hidden="1" customHeight="1" outlineLevel="1" x14ac:dyDescent="0.25">
      <c r="C215" s="1291" t="str">
        <f t="shared" si="82"/>
        <v/>
      </c>
      <c r="D215" s="1318" t="str">
        <f t="shared" si="81"/>
        <v/>
      </c>
      <c r="E215" s="1326"/>
      <c r="F215" s="1327" t="str">
        <f>IF($E$30="Enter Duration (wks)","",IF($Y93="Enter Hrs/Wk","",IF($E$30&gt;='FORMULA REFS'!A$1,$Y93,"")))</f>
        <v/>
      </c>
      <c r="G215" s="1328"/>
      <c r="H215" s="1570"/>
      <c r="I215" s="1329" t="str">
        <f>IF($E$30="Enter Duration (wks)","",IF($Y93="Enter Hrs/Wk","",IF($E$30&gt;='FORMULA REFS'!B$1,$Y93,"")))</f>
        <v/>
      </c>
      <c r="J215" s="1323"/>
      <c r="K215" s="1286" t="str">
        <f>IF($E$30="Enter Duration (wks)","",IF($Y93="Enter Hrs/Wk","",IF($E$30&gt;='FORMULA REFS'!C$1,$Y93,"")))</f>
        <v/>
      </c>
      <c r="L215" s="882" t="str">
        <f>IF($E$30="Enter Duration (wks)","",IF($Y93="Enter Hrs/Wk","",IF($E$30&gt;='FORMULA REFS'!D$1,$Y93,"")))</f>
        <v/>
      </c>
      <c r="M215" s="882" t="str">
        <f>IF($E$30="Enter Duration (wks)","",IF($Y93="Enter Hrs/Wk","",IF($E$30&gt;='FORMULA REFS'!E$1,$Y93,"")))</f>
        <v/>
      </c>
      <c r="N215" s="882" t="str">
        <f>IF($E$30="Enter Duration (wks)","",IF($Y93="Enter Hrs/Wk","",IF($E$30&gt;='FORMULA REFS'!F$1,$Y93,"")))</f>
        <v/>
      </c>
      <c r="O215" s="882" t="str">
        <f>IF($E$30="Enter Duration (wks)","",IF($Y93="Enter Hrs/Wk","",IF($E$30&gt;='FORMULA REFS'!G$1,$Y93,"")))</f>
        <v/>
      </c>
      <c r="P215" s="882" t="str">
        <f>IF($E$30="Enter Duration (wks)","",IF($Y93="Enter Hrs/Wk","",IF($E$30&gt;='FORMULA REFS'!H$1,$Y93,"")))</f>
        <v/>
      </c>
      <c r="Q215" s="882" t="str">
        <f>IF($E$30="Enter Duration (wks)","",IF($Y93="Enter Hrs/Wk","",IF($E$30&gt;='FORMULA REFS'!I$1,$Y93,"")))</f>
        <v/>
      </c>
      <c r="R215" s="882" t="str">
        <f>IF($E$30="Enter Duration (wks)","",IF($Y93="Enter Hrs/Wk","",IF($E$30&gt;='FORMULA REFS'!J$1,$Y93,"")))</f>
        <v/>
      </c>
      <c r="S215" s="882" t="str">
        <f>IF($E$30="Enter Duration (wks)","",IF($Y93="Enter Hrs/Wk","",IF($E$30&gt;='FORMULA REFS'!K$1,$Y93,"")))</f>
        <v/>
      </c>
      <c r="T215" s="1323" t="str">
        <f>IF($E$30="Enter Duration (wks)","",IF($Y93="Enter Hrs/Wk","",IF($E$30&gt;='FORMULA REFS'!L$1,$Y93,"")))</f>
        <v/>
      </c>
      <c r="U215" s="882" t="str">
        <f>IF($E$30="Enter Duration (wks)","",IF($Y93="Enter Hrs/Wk","",IF($E$30&gt;='FORMULA REFS'!M$1,$Y93,"")))</f>
        <v/>
      </c>
      <c r="V215" s="882"/>
      <c r="W215" s="882"/>
      <c r="X215" s="1285"/>
      <c r="Y215" s="1285" t="str">
        <f>IF($E$30="Enter Duration (wks)","",IF($Y93="Enter Hrs/Wk","",IF($E$30&gt;='FORMULA REFS'!N$1,$Y93,"")))</f>
        <v/>
      </c>
      <c r="Z215" s="1343" t="str">
        <f>IF($E$30="Enter Duration (wks)","",IF($Y93="Enter Hrs/Wk","",IF($E$30&gt;='FORMULA REFS'!O$1,$Y93,"")))</f>
        <v/>
      </c>
      <c r="AA215" s="882" t="str">
        <f>IF($E$30="Enter Duration (wks)","",IF($Y93="Enter Hrs/Wk","",IF($E$30&gt;='FORMULA REFS'!P$1,$Y93,"")))</f>
        <v/>
      </c>
      <c r="AB215" s="882" t="str">
        <f>IF($E$30="Enter Duration (wks)","",IF($Y93="Enter Hrs/Wk","",IF($E$30&gt;='FORMULA REFS'!Q$1,$Y93,"")))</f>
        <v/>
      </c>
      <c r="AC215" s="882"/>
      <c r="AD215" s="882"/>
      <c r="AE215" s="882"/>
      <c r="AF215" s="882"/>
      <c r="AG215" s="1286" t="str">
        <f>IF($E$30="Enter Duration (wks)","",IF($Y93="Enter Hrs/Wk","",IF($E$30&gt;='FORMULA REFS'!R$1,$Y93,"")))</f>
        <v/>
      </c>
      <c r="AH215" s="1286" t="str">
        <f>IF($E$30="Enter Duration (wks)","",IF($Y93="Enter Hrs/Wk","",IF($E$30&gt;='FORMULA REFS'!S$1,$Y93,"")))</f>
        <v/>
      </c>
      <c r="AI215" s="1286" t="str">
        <f>IF($E$30="Enter Duration (wks)","",IF($Y93="Enter Hrs/Wk","",IF($E$30&gt;='FORMULA REFS'!T$1,$Y93,"")))</f>
        <v/>
      </c>
      <c r="AJ215" s="1286" t="str">
        <f>IF($E$30="Enter Duration (wks)","",IF($Y93="Enter Hrs/Wk","",IF($E$30&gt;='FORMULA REFS'!U$1,$Y93,"")))</f>
        <v/>
      </c>
      <c r="AK215" s="1286" t="str">
        <f>IF($E$30="Enter Duration (wks)","",IF($Y93="Enter Hrs/Wk","",IF($E$30&gt;='FORMULA REFS'!V$1,$Y93,"")))</f>
        <v/>
      </c>
      <c r="AL215" s="1286" t="str">
        <f>IF($E$30="Enter Duration (wks)","",IF($Y93="Enter Hrs/Wk","",IF($E$30&gt;='FORMULA REFS'!W$1,$Y93,"")))</f>
        <v/>
      </c>
      <c r="AM215" s="1286" t="str">
        <f>IF($E$30="Enter Duration (wks)","",IF($Y93="Enter Hrs/Wk","",IF($E$30&gt;='FORMULA REFS'!X$1,$Y93,"")))</f>
        <v/>
      </c>
      <c r="AN215" s="1286" t="str">
        <f>IF($E$30="Enter Duration (wks)","",IF($Y93="Enter Hrs/Wk","",IF($E$30&gt;='FORMULA REFS'!Y$1,$Y93,"")))</f>
        <v/>
      </c>
      <c r="AO215" s="1286" t="str">
        <f>IF($E$30="Enter Duration (wks)","",IF($Y93="Enter Hrs/Wk","",IF($E$30&gt;='FORMULA REFS'!Z$1,$Y93,"")))</f>
        <v/>
      </c>
      <c r="AP215" s="1286" t="str">
        <f>IF($E$30="Enter Duration (wks)","",IF($Y93="Enter Hrs/Wk","",IF($E$30&gt;='FORMULA REFS'!AA$1,$Y93,"")))</f>
        <v/>
      </c>
      <c r="AQ215" s="1286" t="str">
        <f>IF($E$30="Enter Duration (wks)","",IF($Y93="Enter Hrs/Wk","",IF($E$30&gt;='FORMULA REFS'!AB$1,$Y93,"")))</f>
        <v/>
      </c>
      <c r="AR215" s="1286" t="str">
        <f>IF($E$30="Enter Duration (wks)","",IF($Y93="Enter Hrs/Wk","",IF($E$30&gt;='FORMULA REFS'!AC$1,$Y93,"")))</f>
        <v/>
      </c>
      <c r="AS215" s="1286" t="str">
        <f>IF($E$30="Enter Duration (wks)","",IF($Y93="Enter Hrs/Wk","",IF($E$30&gt;='FORMULA REFS'!AD$1,$Y93,"")))</f>
        <v/>
      </c>
      <c r="AT215" s="1286" t="str">
        <f>IF($E$30="Enter Duration (wks)","",IF($Y93="Enter Hrs/Wk","",IF($E$30&gt;='FORMULA REFS'!AE$1,$Y93,"")))</f>
        <v/>
      </c>
      <c r="AU215" s="1286" t="str">
        <f>IF($E$30="Enter Duration (wks)","",IF($Y93="Enter Hrs/Wk","",IF($E$30&gt;='FORMULA REFS'!AF$1,$Y93,"")))</f>
        <v/>
      </c>
      <c r="AV215" s="1286" t="str">
        <f>IF($E$30="Enter Duration (wks)","",IF($Y93="Enter Hrs/Wk","",IF($E$30&gt;='FORMULA REFS'!AG$1,$Y93,"")))</f>
        <v/>
      </c>
      <c r="AW215" s="1286" t="str">
        <f>IF($E$30="Enter Duration (wks)","",IF($Y93="Enter Hrs/Wk","",IF($E$30&gt;='FORMULA REFS'!AH$1,$Y93,"")))</f>
        <v/>
      </c>
      <c r="AX215" s="1286" t="str">
        <f>IF($E$30="Enter Duration (wks)","",IF($Y93="Enter Hrs/Wk","",IF($E$30&gt;='FORMULA REFS'!AI$1,$Y93,"")))</f>
        <v/>
      </c>
      <c r="AY215" s="1286" t="str">
        <f>IF($E$30="Enter Duration (wks)","",IF($Y93="Enter Hrs/Wk","",IF($E$30&gt;='FORMULA REFS'!AJ$1,$Y93,"")))</f>
        <v/>
      </c>
      <c r="AZ215" s="1286" t="str">
        <f>IF($E$30="Enter Duration (wks)","",IF($Y93="Enter Hrs/Wk","",IF($E$30&gt;='FORMULA REFS'!AK$1,$Y93,"")))</f>
        <v/>
      </c>
      <c r="BA215" s="1286" t="str">
        <f>IF($E$30="Enter Duration (wks)","",IF($Y93="Enter Hrs/Wk","",IF($E$30&gt;='FORMULA REFS'!AL$1,$Y93,"")))</f>
        <v/>
      </c>
      <c r="BB215" s="1286" t="str">
        <f>IF($E$30="Enter Duration (wks)","",IF($Y93="Enter Hrs/Wk","",IF($E$30&gt;='FORMULA REFS'!AM$1,$Y93,"")))</f>
        <v/>
      </c>
      <c r="BC215" s="1286" t="str">
        <f>IF($E$30="Enter Duration (wks)","",IF($Y93="Enter Hrs/Wk","",IF($E$30&gt;='FORMULA REFS'!AN$1,$Y93,"")))</f>
        <v/>
      </c>
      <c r="BD215" s="1286" t="str">
        <f>IF($E$30="Enter Duration (wks)","",IF($Y93="Enter Hrs/Wk","",IF($E$30&gt;='FORMULA REFS'!AO$1,$Y93,"")))</f>
        <v/>
      </c>
      <c r="BE215" s="1286" t="str">
        <f>IF($E$30="Enter Duration (wks)","",IF($Y93="Enter Hrs/Wk","",IF($E$30&gt;='FORMULA REFS'!AP$1,$Y93,"")))</f>
        <v/>
      </c>
      <c r="BF215" s="1286" t="str">
        <f>IF($E$30="Enter Duration (wks)","",IF($Y93="Enter Hrs/Wk","",IF($E$30&gt;='FORMULA REFS'!AQ$1,$Y93,"")))</f>
        <v/>
      </c>
      <c r="BG215" s="1286" t="str">
        <f>IF($E$30="Enter Duration (wks)","",IF($Y93="Enter Hrs/Wk","",IF($E$30&gt;='FORMULA REFS'!AR$1,$Y93,"")))</f>
        <v/>
      </c>
      <c r="BH215" s="1286" t="str">
        <f>IF($E$30="Enter Duration (wks)","",IF($Y93="Enter Hrs/Wk","",IF($E$30&gt;='FORMULA REFS'!AS$1,$Y93,"")))</f>
        <v/>
      </c>
      <c r="BI215" s="1286" t="str">
        <f>IF($E$30="Enter Duration (wks)","",IF($Y93="Enter Hrs/Wk","",IF($E$30&gt;='FORMULA REFS'!AT$1,$Y93,"")))</f>
        <v/>
      </c>
      <c r="BJ215" s="1286" t="str">
        <f>IF($E$30="Enter Duration (wks)","",IF($Y93="Enter Hrs/Wk","",IF($E$30&gt;='FORMULA REFS'!AU$1,$Y93,"")))</f>
        <v/>
      </c>
      <c r="BK215" s="1286" t="str">
        <f>IF($E$30="Enter Duration (wks)","",IF($Y93="Enter Hrs/Wk","",IF($E$30&gt;='FORMULA REFS'!AV$1,$Y93,"")))</f>
        <v/>
      </c>
      <c r="BL215" s="1286" t="str">
        <f>IF($E$30="Enter Duration (wks)","",IF($Y93="Enter Hrs/Wk","",IF($E$30&gt;='FORMULA REFS'!AW$1,$Y93,"")))</f>
        <v/>
      </c>
      <c r="BM215" s="1286" t="str">
        <f>IF($E$30="Enter Duration (wks)","",IF($Y93="Enter Hrs/Wk","",IF($E$30&gt;='FORMULA REFS'!AX$1,$Y93,"")))</f>
        <v/>
      </c>
      <c r="BN215" s="1286" t="str">
        <f>IF($E$30="Enter Duration (wks)","",IF($Y93="Enter Hrs/Wk","",IF($E$30&gt;='FORMULA REFS'!AY$1,$Y93,"")))</f>
        <v/>
      </c>
      <c r="BO215" s="1286" t="str">
        <f>IF($E$30="Enter Duration (wks)","",IF($Y93="Enter Hrs/Wk","",IF($E$30&gt;='FORMULA REFS'!AZ$1,$Y93,"")))</f>
        <v/>
      </c>
    </row>
    <row r="216" spans="3:67" ht="13.95" hidden="1" customHeight="1" outlineLevel="1" x14ac:dyDescent="0.25">
      <c r="C216" s="1291" t="str">
        <f t="shared" si="82"/>
        <v/>
      </c>
      <c r="D216" s="1318" t="str">
        <f t="shared" si="81"/>
        <v/>
      </c>
      <c r="E216" s="1326"/>
      <c r="F216" s="1327" t="str">
        <f>IF($E$30="Enter Duration (wks)","",IF($Y94="Enter Hrs/Wk","",IF($E$30&gt;='FORMULA REFS'!A$1,$Y94,"")))</f>
        <v/>
      </c>
      <c r="G216" s="1328"/>
      <c r="H216" s="1570"/>
      <c r="I216" s="1329" t="str">
        <f>IF($E$30="Enter Duration (wks)","",IF($Y94="Enter Hrs/Wk","",IF($E$30&gt;='FORMULA REFS'!B$1,$Y94,"")))</f>
        <v/>
      </c>
      <c r="J216" s="1323"/>
      <c r="K216" s="1286" t="str">
        <f>IF($E$30="Enter Duration (wks)","",IF($Y94="Enter Hrs/Wk","",IF($E$30&gt;='FORMULA REFS'!C$1,$Y94,"")))</f>
        <v/>
      </c>
      <c r="L216" s="882" t="str">
        <f>IF($E$30="Enter Duration (wks)","",IF($Y94="Enter Hrs/Wk","",IF($E$30&gt;='FORMULA REFS'!D$1,$Y94,"")))</f>
        <v/>
      </c>
      <c r="M216" s="882" t="str">
        <f>IF($E$30="Enter Duration (wks)","",IF($Y94="Enter Hrs/Wk","",IF($E$30&gt;='FORMULA REFS'!E$1,$Y94,"")))</f>
        <v/>
      </c>
      <c r="N216" s="882" t="str">
        <f>IF($E$30="Enter Duration (wks)","",IF($Y94="Enter Hrs/Wk","",IF($E$30&gt;='FORMULA REFS'!F$1,$Y94,"")))</f>
        <v/>
      </c>
      <c r="O216" s="882" t="str">
        <f>IF($E$30="Enter Duration (wks)","",IF($Y94="Enter Hrs/Wk","",IF($E$30&gt;='FORMULA REFS'!G$1,$Y94,"")))</f>
        <v/>
      </c>
      <c r="P216" s="882" t="str">
        <f>IF($E$30="Enter Duration (wks)","",IF($Y94="Enter Hrs/Wk","",IF($E$30&gt;='FORMULA REFS'!H$1,$Y94,"")))</f>
        <v/>
      </c>
      <c r="Q216" s="882" t="str">
        <f>IF($E$30="Enter Duration (wks)","",IF($Y94="Enter Hrs/Wk","",IF($E$30&gt;='FORMULA REFS'!I$1,$Y94,"")))</f>
        <v/>
      </c>
      <c r="R216" s="882" t="str">
        <f>IF($E$30="Enter Duration (wks)","",IF($Y94="Enter Hrs/Wk","",IF($E$30&gt;='FORMULA REFS'!J$1,$Y94,"")))</f>
        <v/>
      </c>
      <c r="S216" s="882" t="str">
        <f>IF($E$30="Enter Duration (wks)","",IF($Y94="Enter Hrs/Wk","",IF($E$30&gt;='FORMULA REFS'!K$1,$Y94,"")))</f>
        <v/>
      </c>
      <c r="T216" s="1323" t="str">
        <f>IF($E$30="Enter Duration (wks)","",IF($Y94="Enter Hrs/Wk","",IF($E$30&gt;='FORMULA REFS'!L$1,$Y94,"")))</f>
        <v/>
      </c>
      <c r="U216" s="882" t="str">
        <f>IF($E$30="Enter Duration (wks)","",IF($Y94="Enter Hrs/Wk","",IF($E$30&gt;='FORMULA REFS'!M$1,$Y94,"")))</f>
        <v/>
      </c>
      <c r="V216" s="882"/>
      <c r="W216" s="882"/>
      <c r="X216" s="1285"/>
      <c r="Y216" s="1285" t="str">
        <f>IF($E$30="Enter Duration (wks)","",IF($Y94="Enter Hrs/Wk","",IF($E$30&gt;='FORMULA REFS'!N$1,$Y94,"")))</f>
        <v/>
      </c>
      <c r="Z216" s="1343" t="str">
        <f>IF($E$30="Enter Duration (wks)","",IF($Y94="Enter Hrs/Wk","",IF($E$30&gt;='FORMULA REFS'!O$1,$Y94,"")))</f>
        <v/>
      </c>
      <c r="AA216" s="882" t="str">
        <f>IF($E$30="Enter Duration (wks)","",IF($Y94="Enter Hrs/Wk","",IF($E$30&gt;='FORMULA REFS'!P$1,$Y94,"")))</f>
        <v/>
      </c>
      <c r="AB216" s="882" t="str">
        <f>IF($E$30="Enter Duration (wks)","",IF($Y94="Enter Hrs/Wk","",IF($E$30&gt;='FORMULA REFS'!Q$1,$Y94,"")))</f>
        <v/>
      </c>
      <c r="AC216" s="882"/>
      <c r="AD216" s="882"/>
      <c r="AE216" s="882"/>
      <c r="AF216" s="882"/>
      <c r="AG216" s="1286" t="str">
        <f>IF($E$30="Enter Duration (wks)","",IF($Y94="Enter Hrs/Wk","",IF($E$30&gt;='FORMULA REFS'!R$1,$Y94,"")))</f>
        <v/>
      </c>
      <c r="AH216" s="1286" t="str">
        <f>IF($E$30="Enter Duration (wks)","",IF($Y94="Enter Hrs/Wk","",IF($E$30&gt;='FORMULA REFS'!S$1,$Y94,"")))</f>
        <v/>
      </c>
      <c r="AI216" s="1286" t="str">
        <f>IF($E$30="Enter Duration (wks)","",IF($Y94="Enter Hrs/Wk","",IF($E$30&gt;='FORMULA REFS'!T$1,$Y94,"")))</f>
        <v/>
      </c>
      <c r="AJ216" s="1286" t="str">
        <f>IF($E$30="Enter Duration (wks)","",IF($Y94="Enter Hrs/Wk","",IF($E$30&gt;='FORMULA REFS'!U$1,$Y94,"")))</f>
        <v/>
      </c>
      <c r="AK216" s="1286" t="str">
        <f>IF($E$30="Enter Duration (wks)","",IF($Y94="Enter Hrs/Wk","",IF($E$30&gt;='FORMULA REFS'!V$1,$Y94,"")))</f>
        <v/>
      </c>
      <c r="AL216" s="1286" t="str">
        <f>IF($E$30="Enter Duration (wks)","",IF($Y94="Enter Hrs/Wk","",IF($E$30&gt;='FORMULA REFS'!W$1,$Y94,"")))</f>
        <v/>
      </c>
      <c r="AM216" s="1286" t="str">
        <f>IF($E$30="Enter Duration (wks)","",IF($Y94="Enter Hrs/Wk","",IF($E$30&gt;='FORMULA REFS'!X$1,$Y94,"")))</f>
        <v/>
      </c>
      <c r="AN216" s="1286" t="str">
        <f>IF($E$30="Enter Duration (wks)","",IF($Y94="Enter Hrs/Wk","",IF($E$30&gt;='FORMULA REFS'!Y$1,$Y94,"")))</f>
        <v/>
      </c>
      <c r="AO216" s="1286" t="str">
        <f>IF($E$30="Enter Duration (wks)","",IF($Y94="Enter Hrs/Wk","",IF($E$30&gt;='FORMULA REFS'!Z$1,$Y94,"")))</f>
        <v/>
      </c>
      <c r="AP216" s="1286" t="str">
        <f>IF($E$30="Enter Duration (wks)","",IF($Y94="Enter Hrs/Wk","",IF($E$30&gt;='FORMULA REFS'!AA$1,$Y94,"")))</f>
        <v/>
      </c>
      <c r="AQ216" s="1286" t="str">
        <f>IF($E$30="Enter Duration (wks)","",IF($Y94="Enter Hrs/Wk","",IF($E$30&gt;='FORMULA REFS'!AB$1,$Y94,"")))</f>
        <v/>
      </c>
      <c r="AR216" s="1286" t="str">
        <f>IF($E$30="Enter Duration (wks)","",IF($Y94="Enter Hrs/Wk","",IF($E$30&gt;='FORMULA REFS'!AC$1,$Y94,"")))</f>
        <v/>
      </c>
      <c r="AS216" s="1286" t="str">
        <f>IF($E$30="Enter Duration (wks)","",IF($Y94="Enter Hrs/Wk","",IF($E$30&gt;='FORMULA REFS'!AD$1,$Y94,"")))</f>
        <v/>
      </c>
      <c r="AT216" s="1286" t="str">
        <f>IF($E$30="Enter Duration (wks)","",IF($Y94="Enter Hrs/Wk","",IF($E$30&gt;='FORMULA REFS'!AE$1,$Y94,"")))</f>
        <v/>
      </c>
      <c r="AU216" s="1286" t="str">
        <f>IF($E$30="Enter Duration (wks)","",IF($Y94="Enter Hrs/Wk","",IF($E$30&gt;='FORMULA REFS'!AF$1,$Y94,"")))</f>
        <v/>
      </c>
      <c r="AV216" s="1286" t="str">
        <f>IF($E$30="Enter Duration (wks)","",IF($Y94="Enter Hrs/Wk","",IF($E$30&gt;='FORMULA REFS'!AG$1,$Y94,"")))</f>
        <v/>
      </c>
      <c r="AW216" s="1286" t="str">
        <f>IF($E$30="Enter Duration (wks)","",IF($Y94="Enter Hrs/Wk","",IF($E$30&gt;='FORMULA REFS'!AH$1,$Y94,"")))</f>
        <v/>
      </c>
      <c r="AX216" s="1286" t="str">
        <f>IF($E$30="Enter Duration (wks)","",IF($Y94="Enter Hrs/Wk","",IF($E$30&gt;='FORMULA REFS'!AI$1,$Y94,"")))</f>
        <v/>
      </c>
      <c r="AY216" s="1286" t="str">
        <f>IF($E$30="Enter Duration (wks)","",IF($Y94="Enter Hrs/Wk","",IF($E$30&gt;='FORMULA REFS'!AJ$1,$Y94,"")))</f>
        <v/>
      </c>
      <c r="AZ216" s="1286" t="str">
        <f>IF($E$30="Enter Duration (wks)","",IF($Y94="Enter Hrs/Wk","",IF($E$30&gt;='FORMULA REFS'!AK$1,$Y94,"")))</f>
        <v/>
      </c>
      <c r="BA216" s="1286" t="str">
        <f>IF($E$30="Enter Duration (wks)","",IF($Y94="Enter Hrs/Wk","",IF($E$30&gt;='FORMULA REFS'!AL$1,$Y94,"")))</f>
        <v/>
      </c>
      <c r="BB216" s="1286" t="str">
        <f>IF($E$30="Enter Duration (wks)","",IF($Y94="Enter Hrs/Wk","",IF($E$30&gt;='FORMULA REFS'!AM$1,$Y94,"")))</f>
        <v/>
      </c>
      <c r="BC216" s="1286" t="str">
        <f>IF($E$30="Enter Duration (wks)","",IF($Y94="Enter Hrs/Wk","",IF($E$30&gt;='FORMULA REFS'!AN$1,$Y94,"")))</f>
        <v/>
      </c>
      <c r="BD216" s="1286" t="str">
        <f>IF($E$30="Enter Duration (wks)","",IF($Y94="Enter Hrs/Wk","",IF($E$30&gt;='FORMULA REFS'!AO$1,$Y94,"")))</f>
        <v/>
      </c>
      <c r="BE216" s="1286" t="str">
        <f>IF($E$30="Enter Duration (wks)","",IF($Y94="Enter Hrs/Wk","",IF($E$30&gt;='FORMULA REFS'!AP$1,$Y94,"")))</f>
        <v/>
      </c>
      <c r="BF216" s="1286" t="str">
        <f>IF($E$30="Enter Duration (wks)","",IF($Y94="Enter Hrs/Wk","",IF($E$30&gt;='FORMULA REFS'!AQ$1,$Y94,"")))</f>
        <v/>
      </c>
      <c r="BG216" s="1286" t="str">
        <f>IF($E$30="Enter Duration (wks)","",IF($Y94="Enter Hrs/Wk","",IF($E$30&gt;='FORMULA REFS'!AR$1,$Y94,"")))</f>
        <v/>
      </c>
      <c r="BH216" s="1286" t="str">
        <f>IF($E$30="Enter Duration (wks)","",IF($Y94="Enter Hrs/Wk","",IF($E$30&gt;='FORMULA REFS'!AS$1,$Y94,"")))</f>
        <v/>
      </c>
      <c r="BI216" s="1286" t="str">
        <f>IF($E$30="Enter Duration (wks)","",IF($Y94="Enter Hrs/Wk","",IF($E$30&gt;='FORMULA REFS'!AT$1,$Y94,"")))</f>
        <v/>
      </c>
      <c r="BJ216" s="1286" t="str">
        <f>IF($E$30="Enter Duration (wks)","",IF($Y94="Enter Hrs/Wk","",IF($E$30&gt;='FORMULA REFS'!AU$1,$Y94,"")))</f>
        <v/>
      </c>
      <c r="BK216" s="1286" t="str">
        <f>IF($E$30="Enter Duration (wks)","",IF($Y94="Enter Hrs/Wk","",IF($E$30&gt;='FORMULA REFS'!AV$1,$Y94,"")))</f>
        <v/>
      </c>
      <c r="BL216" s="1286" t="str">
        <f>IF($E$30="Enter Duration (wks)","",IF($Y94="Enter Hrs/Wk","",IF($E$30&gt;='FORMULA REFS'!AW$1,$Y94,"")))</f>
        <v/>
      </c>
      <c r="BM216" s="1286" t="str">
        <f>IF($E$30="Enter Duration (wks)","",IF($Y94="Enter Hrs/Wk","",IF($E$30&gt;='FORMULA REFS'!AX$1,$Y94,"")))</f>
        <v/>
      </c>
      <c r="BN216" s="1286" t="str">
        <f>IF($E$30="Enter Duration (wks)","",IF($Y94="Enter Hrs/Wk","",IF($E$30&gt;='FORMULA REFS'!AY$1,$Y94,"")))</f>
        <v/>
      </c>
      <c r="BO216" s="1286" t="str">
        <f>IF($E$30="Enter Duration (wks)","",IF($Y94="Enter Hrs/Wk","",IF($E$30&gt;='FORMULA REFS'!AZ$1,$Y94,"")))</f>
        <v/>
      </c>
    </row>
    <row r="217" spans="3:67" ht="13.95" hidden="1" customHeight="1" outlineLevel="1" x14ac:dyDescent="0.25">
      <c r="C217" s="1291" t="str">
        <f t="shared" si="82"/>
        <v/>
      </c>
      <c r="D217" s="1318" t="str">
        <f t="shared" si="81"/>
        <v/>
      </c>
      <c r="E217" s="1326"/>
      <c r="F217" s="1327" t="str">
        <f>IF($E$30="Enter Duration (wks)","",IF($Y95="Enter Hrs/Wk","",IF($E$30&gt;='FORMULA REFS'!A$1,$Y95,"")))</f>
        <v/>
      </c>
      <c r="G217" s="1328"/>
      <c r="H217" s="1570"/>
      <c r="I217" s="1329" t="str">
        <f>IF($E$30="Enter Duration (wks)","",IF($Y95="Enter Hrs/Wk","",IF($E$30&gt;='FORMULA REFS'!B$1,$Y95,"")))</f>
        <v/>
      </c>
      <c r="J217" s="1323"/>
      <c r="K217" s="1286" t="str">
        <f>IF($E$30="Enter Duration (wks)","",IF($Y95="Enter Hrs/Wk","",IF($E$30&gt;='FORMULA REFS'!C$1,$Y95,"")))</f>
        <v/>
      </c>
      <c r="L217" s="882" t="str">
        <f>IF($E$30="Enter Duration (wks)","",IF($Y95="Enter Hrs/Wk","",IF($E$30&gt;='FORMULA REFS'!D$1,$Y95,"")))</f>
        <v/>
      </c>
      <c r="M217" s="882" t="str">
        <f>IF($E$30="Enter Duration (wks)","",IF($Y95="Enter Hrs/Wk","",IF($E$30&gt;='FORMULA REFS'!E$1,$Y95,"")))</f>
        <v/>
      </c>
      <c r="N217" s="882" t="str">
        <f>IF($E$30="Enter Duration (wks)","",IF($Y95="Enter Hrs/Wk","",IF($E$30&gt;='FORMULA REFS'!F$1,$Y95,"")))</f>
        <v/>
      </c>
      <c r="O217" s="882" t="str">
        <f>IF($E$30="Enter Duration (wks)","",IF($Y95="Enter Hrs/Wk","",IF($E$30&gt;='FORMULA REFS'!G$1,$Y95,"")))</f>
        <v/>
      </c>
      <c r="P217" s="882" t="str">
        <f>IF($E$30="Enter Duration (wks)","",IF($Y95="Enter Hrs/Wk","",IF($E$30&gt;='FORMULA REFS'!H$1,$Y95,"")))</f>
        <v/>
      </c>
      <c r="Q217" s="882" t="str">
        <f>IF($E$30="Enter Duration (wks)","",IF($Y95="Enter Hrs/Wk","",IF($E$30&gt;='FORMULA REFS'!I$1,$Y95,"")))</f>
        <v/>
      </c>
      <c r="R217" s="882" t="str">
        <f>IF($E$30="Enter Duration (wks)","",IF($Y95="Enter Hrs/Wk","",IF($E$30&gt;='FORMULA REFS'!J$1,$Y95,"")))</f>
        <v/>
      </c>
      <c r="S217" s="882" t="str">
        <f>IF($E$30="Enter Duration (wks)","",IF($Y95="Enter Hrs/Wk","",IF($E$30&gt;='FORMULA REFS'!K$1,$Y95,"")))</f>
        <v/>
      </c>
      <c r="T217" s="1323" t="str">
        <f>IF($E$30="Enter Duration (wks)","",IF($Y95="Enter Hrs/Wk","",IF($E$30&gt;='FORMULA REFS'!L$1,$Y95,"")))</f>
        <v/>
      </c>
      <c r="U217" s="882" t="str">
        <f>IF($E$30="Enter Duration (wks)","",IF($Y95="Enter Hrs/Wk","",IF($E$30&gt;='FORMULA REFS'!M$1,$Y95,"")))</f>
        <v/>
      </c>
      <c r="V217" s="882"/>
      <c r="W217" s="882"/>
      <c r="X217" s="1285"/>
      <c r="Y217" s="1285" t="str">
        <f>IF($E$30="Enter Duration (wks)","",IF($Y95="Enter Hrs/Wk","",IF($E$30&gt;='FORMULA REFS'!N$1,$Y95,"")))</f>
        <v/>
      </c>
      <c r="Z217" s="1343" t="str">
        <f>IF($E$30="Enter Duration (wks)","",IF($Y95="Enter Hrs/Wk","",IF($E$30&gt;='FORMULA REFS'!O$1,$Y95,"")))</f>
        <v/>
      </c>
      <c r="AA217" s="882" t="str">
        <f>IF($E$30="Enter Duration (wks)","",IF($Y95="Enter Hrs/Wk","",IF($E$30&gt;='FORMULA REFS'!P$1,$Y95,"")))</f>
        <v/>
      </c>
      <c r="AB217" s="882" t="str">
        <f>IF($E$30="Enter Duration (wks)","",IF($Y95="Enter Hrs/Wk","",IF($E$30&gt;='FORMULA REFS'!Q$1,$Y95,"")))</f>
        <v/>
      </c>
      <c r="AC217" s="882"/>
      <c r="AD217" s="882"/>
      <c r="AE217" s="882"/>
      <c r="AF217" s="882"/>
      <c r="AG217" s="1286" t="str">
        <f>IF($E$30="Enter Duration (wks)","",IF($Y95="Enter Hrs/Wk","",IF($E$30&gt;='FORMULA REFS'!R$1,$Y95,"")))</f>
        <v/>
      </c>
      <c r="AH217" s="1286" t="str">
        <f>IF($E$30="Enter Duration (wks)","",IF($Y95="Enter Hrs/Wk","",IF($E$30&gt;='FORMULA REFS'!S$1,$Y95,"")))</f>
        <v/>
      </c>
      <c r="AI217" s="1286" t="str">
        <f>IF($E$30="Enter Duration (wks)","",IF($Y95="Enter Hrs/Wk","",IF($E$30&gt;='FORMULA REFS'!T$1,$Y95,"")))</f>
        <v/>
      </c>
      <c r="AJ217" s="1286" t="str">
        <f>IF($E$30="Enter Duration (wks)","",IF($Y95="Enter Hrs/Wk","",IF($E$30&gt;='FORMULA REFS'!U$1,$Y95,"")))</f>
        <v/>
      </c>
      <c r="AK217" s="1286" t="str">
        <f>IF($E$30="Enter Duration (wks)","",IF($Y95="Enter Hrs/Wk","",IF($E$30&gt;='FORMULA REFS'!V$1,$Y95,"")))</f>
        <v/>
      </c>
      <c r="AL217" s="1286" t="str">
        <f>IF($E$30="Enter Duration (wks)","",IF($Y95="Enter Hrs/Wk","",IF($E$30&gt;='FORMULA REFS'!W$1,$Y95,"")))</f>
        <v/>
      </c>
      <c r="AM217" s="1286" t="str">
        <f>IF($E$30="Enter Duration (wks)","",IF($Y95="Enter Hrs/Wk","",IF($E$30&gt;='FORMULA REFS'!X$1,$Y95,"")))</f>
        <v/>
      </c>
      <c r="AN217" s="1286" t="str">
        <f>IF($E$30="Enter Duration (wks)","",IF($Y95="Enter Hrs/Wk","",IF($E$30&gt;='FORMULA REFS'!Y$1,$Y95,"")))</f>
        <v/>
      </c>
      <c r="AO217" s="1286" t="str">
        <f>IF($E$30="Enter Duration (wks)","",IF($Y95="Enter Hrs/Wk","",IF($E$30&gt;='FORMULA REFS'!Z$1,$Y95,"")))</f>
        <v/>
      </c>
      <c r="AP217" s="1286" t="str">
        <f>IF($E$30="Enter Duration (wks)","",IF($Y95="Enter Hrs/Wk","",IF($E$30&gt;='FORMULA REFS'!AA$1,$Y95,"")))</f>
        <v/>
      </c>
      <c r="AQ217" s="1286" t="str">
        <f>IF($E$30="Enter Duration (wks)","",IF($Y95="Enter Hrs/Wk","",IF($E$30&gt;='FORMULA REFS'!AB$1,$Y95,"")))</f>
        <v/>
      </c>
      <c r="AR217" s="1286" t="str">
        <f>IF($E$30="Enter Duration (wks)","",IF($Y95="Enter Hrs/Wk","",IF($E$30&gt;='FORMULA REFS'!AC$1,$Y95,"")))</f>
        <v/>
      </c>
      <c r="AS217" s="1286" t="str">
        <f>IF($E$30="Enter Duration (wks)","",IF($Y95="Enter Hrs/Wk","",IF($E$30&gt;='FORMULA REFS'!AD$1,$Y95,"")))</f>
        <v/>
      </c>
      <c r="AT217" s="1286" t="str">
        <f>IF($E$30="Enter Duration (wks)","",IF($Y95="Enter Hrs/Wk","",IF($E$30&gt;='FORMULA REFS'!AE$1,$Y95,"")))</f>
        <v/>
      </c>
      <c r="AU217" s="1286" t="str">
        <f>IF($E$30="Enter Duration (wks)","",IF($Y95="Enter Hrs/Wk","",IF($E$30&gt;='FORMULA REFS'!AF$1,$Y95,"")))</f>
        <v/>
      </c>
      <c r="AV217" s="1286" t="str">
        <f>IF($E$30="Enter Duration (wks)","",IF($Y95="Enter Hrs/Wk","",IF($E$30&gt;='FORMULA REFS'!AG$1,$Y95,"")))</f>
        <v/>
      </c>
      <c r="AW217" s="1286" t="str">
        <f>IF($E$30="Enter Duration (wks)","",IF($Y95="Enter Hrs/Wk","",IF($E$30&gt;='FORMULA REFS'!AH$1,$Y95,"")))</f>
        <v/>
      </c>
      <c r="AX217" s="1286" t="str">
        <f>IF($E$30="Enter Duration (wks)","",IF($Y95="Enter Hrs/Wk","",IF($E$30&gt;='FORMULA REFS'!AI$1,$Y95,"")))</f>
        <v/>
      </c>
      <c r="AY217" s="1286" t="str">
        <f>IF($E$30="Enter Duration (wks)","",IF($Y95="Enter Hrs/Wk","",IF($E$30&gt;='FORMULA REFS'!AJ$1,$Y95,"")))</f>
        <v/>
      </c>
      <c r="AZ217" s="1286" t="str">
        <f>IF($E$30="Enter Duration (wks)","",IF($Y95="Enter Hrs/Wk","",IF($E$30&gt;='FORMULA REFS'!AK$1,$Y95,"")))</f>
        <v/>
      </c>
      <c r="BA217" s="1286" t="str">
        <f>IF($E$30="Enter Duration (wks)","",IF($Y95="Enter Hrs/Wk","",IF($E$30&gt;='FORMULA REFS'!AL$1,$Y95,"")))</f>
        <v/>
      </c>
      <c r="BB217" s="1286" t="str">
        <f>IF($E$30="Enter Duration (wks)","",IF($Y95="Enter Hrs/Wk","",IF($E$30&gt;='FORMULA REFS'!AM$1,$Y95,"")))</f>
        <v/>
      </c>
      <c r="BC217" s="1286" t="str">
        <f>IF($E$30="Enter Duration (wks)","",IF($Y95="Enter Hrs/Wk","",IF($E$30&gt;='FORMULA REFS'!AN$1,$Y95,"")))</f>
        <v/>
      </c>
      <c r="BD217" s="1286" t="str">
        <f>IF($E$30="Enter Duration (wks)","",IF($Y95="Enter Hrs/Wk","",IF($E$30&gt;='FORMULA REFS'!AO$1,$Y95,"")))</f>
        <v/>
      </c>
      <c r="BE217" s="1286" t="str">
        <f>IF($E$30="Enter Duration (wks)","",IF($Y95="Enter Hrs/Wk","",IF($E$30&gt;='FORMULA REFS'!AP$1,$Y95,"")))</f>
        <v/>
      </c>
      <c r="BF217" s="1286" t="str">
        <f>IF($E$30="Enter Duration (wks)","",IF($Y95="Enter Hrs/Wk","",IF($E$30&gt;='FORMULA REFS'!AQ$1,$Y95,"")))</f>
        <v/>
      </c>
      <c r="BG217" s="1286" t="str">
        <f>IF($E$30="Enter Duration (wks)","",IF($Y95="Enter Hrs/Wk","",IF($E$30&gt;='FORMULA REFS'!AR$1,$Y95,"")))</f>
        <v/>
      </c>
      <c r="BH217" s="1286" t="str">
        <f>IF($E$30="Enter Duration (wks)","",IF($Y95="Enter Hrs/Wk","",IF($E$30&gt;='FORMULA REFS'!AS$1,$Y95,"")))</f>
        <v/>
      </c>
      <c r="BI217" s="1286" t="str">
        <f>IF($E$30="Enter Duration (wks)","",IF($Y95="Enter Hrs/Wk","",IF($E$30&gt;='FORMULA REFS'!AT$1,$Y95,"")))</f>
        <v/>
      </c>
      <c r="BJ217" s="1286" t="str">
        <f>IF($E$30="Enter Duration (wks)","",IF($Y95="Enter Hrs/Wk","",IF($E$30&gt;='FORMULA REFS'!AU$1,$Y95,"")))</f>
        <v/>
      </c>
      <c r="BK217" s="1286" t="str">
        <f>IF($E$30="Enter Duration (wks)","",IF($Y95="Enter Hrs/Wk","",IF($E$30&gt;='FORMULA REFS'!AV$1,$Y95,"")))</f>
        <v/>
      </c>
      <c r="BL217" s="1286" t="str">
        <f>IF($E$30="Enter Duration (wks)","",IF($Y95="Enter Hrs/Wk","",IF($E$30&gt;='FORMULA REFS'!AW$1,$Y95,"")))</f>
        <v/>
      </c>
      <c r="BM217" s="1286" t="str">
        <f>IF($E$30="Enter Duration (wks)","",IF($Y95="Enter Hrs/Wk","",IF($E$30&gt;='FORMULA REFS'!AX$1,$Y95,"")))</f>
        <v/>
      </c>
      <c r="BN217" s="1286" t="str">
        <f>IF($E$30="Enter Duration (wks)","",IF($Y95="Enter Hrs/Wk","",IF($E$30&gt;='FORMULA REFS'!AY$1,$Y95,"")))</f>
        <v/>
      </c>
      <c r="BO217" s="1286" t="str">
        <f>IF($E$30="Enter Duration (wks)","",IF($Y95="Enter Hrs/Wk","",IF($E$30&gt;='FORMULA REFS'!AZ$1,$Y95,"")))</f>
        <v/>
      </c>
    </row>
    <row r="218" spans="3:67" ht="13.95" hidden="1" customHeight="1" outlineLevel="1" x14ac:dyDescent="0.25">
      <c r="C218" s="1291" t="str">
        <f t="shared" si="82"/>
        <v/>
      </c>
      <c r="D218" s="1318" t="str">
        <f t="shared" si="81"/>
        <v/>
      </c>
      <c r="E218" s="1326"/>
      <c r="F218" s="1327" t="str">
        <f>IF($E$30="Enter Duration (wks)","",IF($Y96="Enter Hrs/Wk","",IF($E$30&gt;='FORMULA REFS'!A$1,$Y96,"")))</f>
        <v/>
      </c>
      <c r="G218" s="1328"/>
      <c r="H218" s="1570"/>
      <c r="I218" s="1329" t="str">
        <f>IF($E$30="Enter Duration (wks)","",IF($Y96="Enter Hrs/Wk","",IF($E$30&gt;='FORMULA REFS'!B$1,$Y96,"")))</f>
        <v/>
      </c>
      <c r="J218" s="1323"/>
      <c r="K218" s="1286" t="str">
        <f>IF($E$30="Enter Duration (wks)","",IF($Y96="Enter Hrs/Wk","",IF($E$30&gt;='FORMULA REFS'!C$1,$Y96,"")))</f>
        <v/>
      </c>
      <c r="L218" s="882" t="str">
        <f>IF($E$30="Enter Duration (wks)","",IF($Y96="Enter Hrs/Wk","",IF($E$30&gt;='FORMULA REFS'!D$1,$Y96,"")))</f>
        <v/>
      </c>
      <c r="M218" s="882" t="str">
        <f>IF($E$30="Enter Duration (wks)","",IF($Y96="Enter Hrs/Wk","",IF($E$30&gt;='FORMULA REFS'!E$1,$Y96,"")))</f>
        <v/>
      </c>
      <c r="N218" s="882" t="str">
        <f>IF($E$30="Enter Duration (wks)","",IF($Y96="Enter Hrs/Wk","",IF($E$30&gt;='FORMULA REFS'!F$1,$Y96,"")))</f>
        <v/>
      </c>
      <c r="O218" s="882" t="str">
        <f>IF($E$30="Enter Duration (wks)","",IF($Y96="Enter Hrs/Wk","",IF($E$30&gt;='FORMULA REFS'!G$1,$Y96,"")))</f>
        <v/>
      </c>
      <c r="P218" s="882" t="str">
        <f>IF($E$30="Enter Duration (wks)","",IF($Y96="Enter Hrs/Wk","",IF($E$30&gt;='FORMULA REFS'!H$1,$Y96,"")))</f>
        <v/>
      </c>
      <c r="Q218" s="882" t="str">
        <f>IF($E$30="Enter Duration (wks)","",IF($Y96="Enter Hrs/Wk","",IF($E$30&gt;='FORMULA REFS'!I$1,$Y96,"")))</f>
        <v/>
      </c>
      <c r="R218" s="882" t="str">
        <f>IF($E$30="Enter Duration (wks)","",IF($Y96="Enter Hrs/Wk","",IF($E$30&gt;='FORMULA REFS'!J$1,$Y96,"")))</f>
        <v/>
      </c>
      <c r="S218" s="882" t="str">
        <f>IF($E$30="Enter Duration (wks)","",IF($Y96="Enter Hrs/Wk","",IF($E$30&gt;='FORMULA REFS'!K$1,$Y96,"")))</f>
        <v/>
      </c>
      <c r="T218" s="1323" t="str">
        <f>IF($E$30="Enter Duration (wks)","",IF($Y96="Enter Hrs/Wk","",IF($E$30&gt;='FORMULA REFS'!L$1,$Y96,"")))</f>
        <v/>
      </c>
      <c r="U218" s="882" t="str">
        <f>IF($E$30="Enter Duration (wks)","",IF($Y96="Enter Hrs/Wk","",IF($E$30&gt;='FORMULA REFS'!M$1,$Y96,"")))</f>
        <v/>
      </c>
      <c r="V218" s="882"/>
      <c r="W218" s="882"/>
      <c r="X218" s="1285"/>
      <c r="Y218" s="1285" t="str">
        <f>IF($E$30="Enter Duration (wks)","",IF($Y96="Enter Hrs/Wk","",IF($E$30&gt;='FORMULA REFS'!N$1,$Y96,"")))</f>
        <v/>
      </c>
      <c r="Z218" s="1343" t="str">
        <f>IF($E$30="Enter Duration (wks)","",IF($Y96="Enter Hrs/Wk","",IF($E$30&gt;='FORMULA REFS'!O$1,$Y96,"")))</f>
        <v/>
      </c>
      <c r="AA218" s="882" t="str">
        <f>IF($E$30="Enter Duration (wks)","",IF($Y96="Enter Hrs/Wk","",IF($E$30&gt;='FORMULA REFS'!P$1,$Y96,"")))</f>
        <v/>
      </c>
      <c r="AB218" s="882" t="str">
        <f>IF($E$30="Enter Duration (wks)","",IF($Y96="Enter Hrs/Wk","",IF($E$30&gt;='FORMULA REFS'!Q$1,$Y96,"")))</f>
        <v/>
      </c>
      <c r="AC218" s="882"/>
      <c r="AD218" s="882"/>
      <c r="AE218" s="882"/>
      <c r="AF218" s="882"/>
      <c r="AG218" s="1286" t="str">
        <f>IF($E$30="Enter Duration (wks)","",IF($Y96="Enter Hrs/Wk","",IF($E$30&gt;='FORMULA REFS'!R$1,$Y96,"")))</f>
        <v/>
      </c>
      <c r="AH218" s="1286" t="str">
        <f>IF($E$30="Enter Duration (wks)","",IF($Y96="Enter Hrs/Wk","",IF($E$30&gt;='FORMULA REFS'!S$1,$Y96,"")))</f>
        <v/>
      </c>
      <c r="AI218" s="1286" t="str">
        <f>IF($E$30="Enter Duration (wks)","",IF($Y96="Enter Hrs/Wk","",IF($E$30&gt;='FORMULA REFS'!T$1,$Y96,"")))</f>
        <v/>
      </c>
      <c r="AJ218" s="1286" t="str">
        <f>IF($E$30="Enter Duration (wks)","",IF($Y96="Enter Hrs/Wk","",IF($E$30&gt;='FORMULA REFS'!U$1,$Y96,"")))</f>
        <v/>
      </c>
      <c r="AK218" s="1286" t="str">
        <f>IF($E$30="Enter Duration (wks)","",IF($Y96="Enter Hrs/Wk","",IF($E$30&gt;='FORMULA REFS'!V$1,$Y96,"")))</f>
        <v/>
      </c>
      <c r="AL218" s="1286" t="str">
        <f>IF($E$30="Enter Duration (wks)","",IF($Y96="Enter Hrs/Wk","",IF($E$30&gt;='FORMULA REFS'!W$1,$Y96,"")))</f>
        <v/>
      </c>
      <c r="AM218" s="1286" t="str">
        <f>IF($E$30="Enter Duration (wks)","",IF($Y96="Enter Hrs/Wk","",IF($E$30&gt;='FORMULA REFS'!X$1,$Y96,"")))</f>
        <v/>
      </c>
      <c r="AN218" s="1286" t="str">
        <f>IF($E$30="Enter Duration (wks)","",IF($Y96="Enter Hrs/Wk","",IF($E$30&gt;='FORMULA REFS'!Y$1,$Y96,"")))</f>
        <v/>
      </c>
      <c r="AO218" s="1286" t="str">
        <f>IF($E$30="Enter Duration (wks)","",IF($Y96="Enter Hrs/Wk","",IF($E$30&gt;='FORMULA REFS'!Z$1,$Y96,"")))</f>
        <v/>
      </c>
      <c r="AP218" s="1286" t="str">
        <f>IF($E$30="Enter Duration (wks)","",IF($Y96="Enter Hrs/Wk","",IF($E$30&gt;='FORMULA REFS'!AA$1,$Y96,"")))</f>
        <v/>
      </c>
      <c r="AQ218" s="1286" t="str">
        <f>IF($E$30="Enter Duration (wks)","",IF($Y96="Enter Hrs/Wk","",IF($E$30&gt;='FORMULA REFS'!AB$1,$Y96,"")))</f>
        <v/>
      </c>
      <c r="AR218" s="1286" t="str">
        <f>IF($E$30="Enter Duration (wks)","",IF($Y96="Enter Hrs/Wk","",IF($E$30&gt;='FORMULA REFS'!AC$1,$Y96,"")))</f>
        <v/>
      </c>
      <c r="AS218" s="1286" t="str">
        <f>IF($E$30="Enter Duration (wks)","",IF($Y96="Enter Hrs/Wk","",IF($E$30&gt;='FORMULA REFS'!AD$1,$Y96,"")))</f>
        <v/>
      </c>
      <c r="AT218" s="1286" t="str">
        <f>IF($E$30="Enter Duration (wks)","",IF($Y96="Enter Hrs/Wk","",IF($E$30&gt;='FORMULA REFS'!AE$1,$Y96,"")))</f>
        <v/>
      </c>
      <c r="AU218" s="1286" t="str">
        <f>IF($E$30="Enter Duration (wks)","",IF($Y96="Enter Hrs/Wk","",IF($E$30&gt;='FORMULA REFS'!AF$1,$Y96,"")))</f>
        <v/>
      </c>
      <c r="AV218" s="1286" t="str">
        <f>IF($E$30="Enter Duration (wks)","",IF($Y96="Enter Hrs/Wk","",IF($E$30&gt;='FORMULA REFS'!AG$1,$Y96,"")))</f>
        <v/>
      </c>
      <c r="AW218" s="1286" t="str">
        <f>IF($E$30="Enter Duration (wks)","",IF($Y96="Enter Hrs/Wk","",IF($E$30&gt;='FORMULA REFS'!AH$1,$Y96,"")))</f>
        <v/>
      </c>
      <c r="AX218" s="1286" t="str">
        <f>IF($E$30="Enter Duration (wks)","",IF($Y96="Enter Hrs/Wk","",IF($E$30&gt;='FORMULA REFS'!AI$1,$Y96,"")))</f>
        <v/>
      </c>
      <c r="AY218" s="1286" t="str">
        <f>IF($E$30="Enter Duration (wks)","",IF($Y96="Enter Hrs/Wk","",IF($E$30&gt;='FORMULA REFS'!AJ$1,$Y96,"")))</f>
        <v/>
      </c>
      <c r="AZ218" s="1286" t="str">
        <f>IF($E$30="Enter Duration (wks)","",IF($Y96="Enter Hrs/Wk","",IF($E$30&gt;='FORMULA REFS'!AK$1,$Y96,"")))</f>
        <v/>
      </c>
      <c r="BA218" s="1286" t="str">
        <f>IF($E$30="Enter Duration (wks)","",IF($Y96="Enter Hrs/Wk","",IF($E$30&gt;='FORMULA REFS'!AL$1,$Y96,"")))</f>
        <v/>
      </c>
      <c r="BB218" s="1286" t="str">
        <f>IF($E$30="Enter Duration (wks)","",IF($Y96="Enter Hrs/Wk","",IF($E$30&gt;='FORMULA REFS'!AM$1,$Y96,"")))</f>
        <v/>
      </c>
      <c r="BC218" s="1286" t="str">
        <f>IF($E$30="Enter Duration (wks)","",IF($Y96="Enter Hrs/Wk","",IF($E$30&gt;='FORMULA REFS'!AN$1,$Y96,"")))</f>
        <v/>
      </c>
      <c r="BD218" s="1286" t="str">
        <f>IF($E$30="Enter Duration (wks)","",IF($Y96="Enter Hrs/Wk","",IF($E$30&gt;='FORMULA REFS'!AO$1,$Y96,"")))</f>
        <v/>
      </c>
      <c r="BE218" s="1286" t="str">
        <f>IF($E$30="Enter Duration (wks)","",IF($Y96="Enter Hrs/Wk","",IF($E$30&gt;='FORMULA REFS'!AP$1,$Y96,"")))</f>
        <v/>
      </c>
      <c r="BF218" s="1286" t="str">
        <f>IF($E$30="Enter Duration (wks)","",IF($Y96="Enter Hrs/Wk","",IF($E$30&gt;='FORMULA REFS'!AQ$1,$Y96,"")))</f>
        <v/>
      </c>
      <c r="BG218" s="1286" t="str">
        <f>IF($E$30="Enter Duration (wks)","",IF($Y96="Enter Hrs/Wk","",IF($E$30&gt;='FORMULA REFS'!AR$1,$Y96,"")))</f>
        <v/>
      </c>
      <c r="BH218" s="1286" t="str">
        <f>IF($E$30="Enter Duration (wks)","",IF($Y96="Enter Hrs/Wk","",IF($E$30&gt;='FORMULA REFS'!AS$1,$Y96,"")))</f>
        <v/>
      </c>
      <c r="BI218" s="1286" t="str">
        <f>IF($E$30="Enter Duration (wks)","",IF($Y96="Enter Hrs/Wk","",IF($E$30&gt;='FORMULA REFS'!AT$1,$Y96,"")))</f>
        <v/>
      </c>
      <c r="BJ218" s="1286" t="str">
        <f>IF($E$30="Enter Duration (wks)","",IF($Y96="Enter Hrs/Wk","",IF($E$30&gt;='FORMULA REFS'!AU$1,$Y96,"")))</f>
        <v/>
      </c>
      <c r="BK218" s="1286" t="str">
        <f>IF($E$30="Enter Duration (wks)","",IF($Y96="Enter Hrs/Wk","",IF($E$30&gt;='FORMULA REFS'!AV$1,$Y96,"")))</f>
        <v/>
      </c>
      <c r="BL218" s="1286" t="str">
        <f>IF($E$30="Enter Duration (wks)","",IF($Y96="Enter Hrs/Wk","",IF($E$30&gt;='FORMULA REFS'!AW$1,$Y96,"")))</f>
        <v/>
      </c>
      <c r="BM218" s="1286" t="str">
        <f>IF($E$30="Enter Duration (wks)","",IF($Y96="Enter Hrs/Wk","",IF($E$30&gt;='FORMULA REFS'!AX$1,$Y96,"")))</f>
        <v/>
      </c>
      <c r="BN218" s="1286" t="str">
        <f>IF($E$30="Enter Duration (wks)","",IF($Y96="Enter Hrs/Wk","",IF($E$30&gt;='FORMULA REFS'!AY$1,$Y96,"")))</f>
        <v/>
      </c>
      <c r="BO218" s="1286" t="str">
        <f>IF($E$30="Enter Duration (wks)","",IF($Y96="Enter Hrs/Wk","",IF($E$30&gt;='FORMULA REFS'!AZ$1,$Y96,"")))</f>
        <v/>
      </c>
    </row>
    <row r="219" spans="3:67" ht="13.95" hidden="1" customHeight="1" outlineLevel="1" x14ac:dyDescent="0.25">
      <c r="C219" s="1291" t="str">
        <f t="shared" si="82"/>
        <v/>
      </c>
      <c r="D219" s="1318" t="str">
        <f t="shared" si="81"/>
        <v/>
      </c>
      <c r="E219" s="1326"/>
      <c r="F219" s="1327" t="str">
        <f>IF($E$30="Enter Duration (wks)","",IF($Y97="Enter Hrs/Wk","",IF($E$30&gt;='FORMULA REFS'!A$1,$Y97,"")))</f>
        <v/>
      </c>
      <c r="G219" s="1328"/>
      <c r="H219" s="1570"/>
      <c r="I219" s="1329" t="str">
        <f>IF($E$30="Enter Duration (wks)","",IF($Y97="Enter Hrs/Wk","",IF($E$30&gt;='FORMULA REFS'!B$1,$Y97,"")))</f>
        <v/>
      </c>
      <c r="J219" s="1323"/>
      <c r="K219" s="1286" t="str">
        <f>IF($E$30="Enter Duration (wks)","",IF($Y97="Enter Hrs/Wk","",IF($E$30&gt;='FORMULA REFS'!C$1,$Y97,"")))</f>
        <v/>
      </c>
      <c r="L219" s="882" t="str">
        <f>IF($E$30="Enter Duration (wks)","",IF($Y97="Enter Hrs/Wk","",IF($E$30&gt;='FORMULA REFS'!D$1,$Y97,"")))</f>
        <v/>
      </c>
      <c r="M219" s="882" t="str">
        <f>IF($E$30="Enter Duration (wks)","",IF($Y97="Enter Hrs/Wk","",IF($E$30&gt;='FORMULA REFS'!E$1,$Y97,"")))</f>
        <v/>
      </c>
      <c r="N219" s="882" t="str">
        <f>IF($E$30="Enter Duration (wks)","",IF($Y97="Enter Hrs/Wk","",IF($E$30&gt;='FORMULA REFS'!F$1,$Y97,"")))</f>
        <v/>
      </c>
      <c r="O219" s="882" t="str">
        <f>IF($E$30="Enter Duration (wks)","",IF($Y97="Enter Hrs/Wk","",IF($E$30&gt;='FORMULA REFS'!G$1,$Y97,"")))</f>
        <v/>
      </c>
      <c r="P219" s="882" t="str">
        <f>IF($E$30="Enter Duration (wks)","",IF($Y97="Enter Hrs/Wk","",IF($E$30&gt;='FORMULA REFS'!H$1,$Y97,"")))</f>
        <v/>
      </c>
      <c r="Q219" s="882" t="str">
        <f>IF($E$30="Enter Duration (wks)","",IF($Y97="Enter Hrs/Wk","",IF($E$30&gt;='FORMULA REFS'!I$1,$Y97,"")))</f>
        <v/>
      </c>
      <c r="R219" s="882" t="str">
        <f>IF($E$30="Enter Duration (wks)","",IF($Y97="Enter Hrs/Wk","",IF($E$30&gt;='FORMULA REFS'!J$1,$Y97,"")))</f>
        <v/>
      </c>
      <c r="S219" s="882" t="str">
        <f>IF($E$30="Enter Duration (wks)","",IF($Y97="Enter Hrs/Wk","",IF($E$30&gt;='FORMULA REFS'!K$1,$Y97,"")))</f>
        <v/>
      </c>
      <c r="T219" s="1323" t="str">
        <f>IF($E$30="Enter Duration (wks)","",IF($Y97="Enter Hrs/Wk","",IF($E$30&gt;='FORMULA REFS'!L$1,$Y97,"")))</f>
        <v/>
      </c>
      <c r="U219" s="882" t="str">
        <f>IF($E$30="Enter Duration (wks)","",IF($Y97="Enter Hrs/Wk","",IF($E$30&gt;='FORMULA REFS'!M$1,$Y97,"")))</f>
        <v/>
      </c>
      <c r="V219" s="882"/>
      <c r="W219" s="882"/>
      <c r="X219" s="1285"/>
      <c r="Y219" s="1285" t="str">
        <f>IF($E$30="Enter Duration (wks)","",IF($Y97="Enter Hrs/Wk","",IF($E$30&gt;='FORMULA REFS'!N$1,$Y97,"")))</f>
        <v/>
      </c>
      <c r="Z219" s="1343" t="str">
        <f>IF($E$30="Enter Duration (wks)","",IF($Y97="Enter Hrs/Wk","",IF($E$30&gt;='FORMULA REFS'!O$1,$Y97,"")))</f>
        <v/>
      </c>
      <c r="AA219" s="882" t="str">
        <f>IF($E$30="Enter Duration (wks)","",IF($Y97="Enter Hrs/Wk","",IF($E$30&gt;='FORMULA REFS'!P$1,$Y97,"")))</f>
        <v/>
      </c>
      <c r="AB219" s="882" t="str">
        <f>IF($E$30="Enter Duration (wks)","",IF($Y97="Enter Hrs/Wk","",IF($E$30&gt;='FORMULA REFS'!Q$1,$Y97,"")))</f>
        <v/>
      </c>
      <c r="AC219" s="882"/>
      <c r="AD219" s="882"/>
      <c r="AE219" s="882"/>
      <c r="AF219" s="882"/>
      <c r="AG219" s="1286" t="str">
        <f>IF($E$30="Enter Duration (wks)","",IF($Y97="Enter Hrs/Wk","",IF($E$30&gt;='FORMULA REFS'!R$1,$Y97,"")))</f>
        <v/>
      </c>
      <c r="AH219" s="1286" t="str">
        <f>IF($E$30="Enter Duration (wks)","",IF($Y97="Enter Hrs/Wk","",IF($E$30&gt;='FORMULA REFS'!S$1,$Y97,"")))</f>
        <v/>
      </c>
      <c r="AI219" s="1286" t="str">
        <f>IF($E$30="Enter Duration (wks)","",IF($Y97="Enter Hrs/Wk","",IF($E$30&gt;='FORMULA REFS'!T$1,$Y97,"")))</f>
        <v/>
      </c>
      <c r="AJ219" s="1286" t="str">
        <f>IF($E$30="Enter Duration (wks)","",IF($Y97="Enter Hrs/Wk","",IF($E$30&gt;='FORMULA REFS'!U$1,$Y97,"")))</f>
        <v/>
      </c>
      <c r="AK219" s="1286" t="str">
        <f>IF($E$30="Enter Duration (wks)","",IF($Y97="Enter Hrs/Wk","",IF($E$30&gt;='FORMULA REFS'!V$1,$Y97,"")))</f>
        <v/>
      </c>
      <c r="AL219" s="1286" t="str">
        <f>IF($E$30="Enter Duration (wks)","",IF($Y97="Enter Hrs/Wk","",IF($E$30&gt;='FORMULA REFS'!W$1,$Y97,"")))</f>
        <v/>
      </c>
      <c r="AM219" s="1286" t="str">
        <f>IF($E$30="Enter Duration (wks)","",IF($Y97="Enter Hrs/Wk","",IF($E$30&gt;='FORMULA REFS'!X$1,$Y97,"")))</f>
        <v/>
      </c>
      <c r="AN219" s="1286" t="str">
        <f>IF($E$30="Enter Duration (wks)","",IF($Y97="Enter Hrs/Wk","",IF($E$30&gt;='FORMULA REFS'!Y$1,$Y97,"")))</f>
        <v/>
      </c>
      <c r="AO219" s="1286" t="str">
        <f>IF($E$30="Enter Duration (wks)","",IF($Y97="Enter Hrs/Wk","",IF($E$30&gt;='FORMULA REFS'!Z$1,$Y97,"")))</f>
        <v/>
      </c>
      <c r="AP219" s="1286" t="str">
        <f>IF($E$30="Enter Duration (wks)","",IF($Y97="Enter Hrs/Wk","",IF($E$30&gt;='FORMULA REFS'!AA$1,$Y97,"")))</f>
        <v/>
      </c>
      <c r="AQ219" s="1286" t="str">
        <f>IF($E$30="Enter Duration (wks)","",IF($Y97="Enter Hrs/Wk","",IF($E$30&gt;='FORMULA REFS'!AB$1,$Y97,"")))</f>
        <v/>
      </c>
      <c r="AR219" s="1286" t="str">
        <f>IF($E$30="Enter Duration (wks)","",IF($Y97="Enter Hrs/Wk","",IF($E$30&gt;='FORMULA REFS'!AC$1,$Y97,"")))</f>
        <v/>
      </c>
      <c r="AS219" s="1286" t="str">
        <f>IF($E$30="Enter Duration (wks)","",IF($Y97="Enter Hrs/Wk","",IF($E$30&gt;='FORMULA REFS'!AD$1,$Y97,"")))</f>
        <v/>
      </c>
      <c r="AT219" s="1286" t="str">
        <f>IF($E$30="Enter Duration (wks)","",IF($Y97="Enter Hrs/Wk","",IF($E$30&gt;='FORMULA REFS'!AE$1,$Y97,"")))</f>
        <v/>
      </c>
      <c r="AU219" s="1286" t="str">
        <f>IF($E$30="Enter Duration (wks)","",IF($Y97="Enter Hrs/Wk","",IF($E$30&gt;='FORMULA REFS'!AF$1,$Y97,"")))</f>
        <v/>
      </c>
      <c r="AV219" s="1286" t="str">
        <f>IF($E$30="Enter Duration (wks)","",IF($Y97="Enter Hrs/Wk","",IF($E$30&gt;='FORMULA REFS'!AG$1,$Y97,"")))</f>
        <v/>
      </c>
      <c r="AW219" s="1286" t="str">
        <f>IF($E$30="Enter Duration (wks)","",IF($Y97="Enter Hrs/Wk","",IF($E$30&gt;='FORMULA REFS'!AH$1,$Y97,"")))</f>
        <v/>
      </c>
      <c r="AX219" s="1286" t="str">
        <f>IF($E$30="Enter Duration (wks)","",IF($Y97="Enter Hrs/Wk","",IF($E$30&gt;='FORMULA REFS'!AI$1,$Y97,"")))</f>
        <v/>
      </c>
      <c r="AY219" s="1286" t="str">
        <f>IF($E$30="Enter Duration (wks)","",IF($Y97="Enter Hrs/Wk","",IF($E$30&gt;='FORMULA REFS'!AJ$1,$Y97,"")))</f>
        <v/>
      </c>
      <c r="AZ219" s="1286" t="str">
        <f>IF($E$30="Enter Duration (wks)","",IF($Y97="Enter Hrs/Wk","",IF($E$30&gt;='FORMULA REFS'!AK$1,$Y97,"")))</f>
        <v/>
      </c>
      <c r="BA219" s="1286" t="str">
        <f>IF($E$30="Enter Duration (wks)","",IF($Y97="Enter Hrs/Wk","",IF($E$30&gt;='FORMULA REFS'!AL$1,$Y97,"")))</f>
        <v/>
      </c>
      <c r="BB219" s="1286" t="str">
        <f>IF($E$30="Enter Duration (wks)","",IF($Y97="Enter Hrs/Wk","",IF($E$30&gt;='FORMULA REFS'!AM$1,$Y97,"")))</f>
        <v/>
      </c>
      <c r="BC219" s="1286" t="str">
        <f>IF($E$30="Enter Duration (wks)","",IF($Y97="Enter Hrs/Wk","",IF($E$30&gt;='FORMULA REFS'!AN$1,$Y97,"")))</f>
        <v/>
      </c>
      <c r="BD219" s="1286" t="str">
        <f>IF($E$30="Enter Duration (wks)","",IF($Y97="Enter Hrs/Wk","",IF($E$30&gt;='FORMULA REFS'!AO$1,$Y97,"")))</f>
        <v/>
      </c>
      <c r="BE219" s="1286" t="str">
        <f>IF($E$30="Enter Duration (wks)","",IF($Y97="Enter Hrs/Wk","",IF($E$30&gt;='FORMULA REFS'!AP$1,$Y97,"")))</f>
        <v/>
      </c>
      <c r="BF219" s="1286" t="str">
        <f>IF($E$30="Enter Duration (wks)","",IF($Y97="Enter Hrs/Wk","",IF($E$30&gt;='FORMULA REFS'!AQ$1,$Y97,"")))</f>
        <v/>
      </c>
      <c r="BG219" s="1286" t="str">
        <f>IF($E$30="Enter Duration (wks)","",IF($Y97="Enter Hrs/Wk","",IF($E$30&gt;='FORMULA REFS'!AR$1,$Y97,"")))</f>
        <v/>
      </c>
      <c r="BH219" s="1286" t="str">
        <f>IF($E$30="Enter Duration (wks)","",IF($Y97="Enter Hrs/Wk","",IF($E$30&gt;='FORMULA REFS'!AS$1,$Y97,"")))</f>
        <v/>
      </c>
      <c r="BI219" s="1286" t="str">
        <f>IF($E$30="Enter Duration (wks)","",IF($Y97="Enter Hrs/Wk","",IF($E$30&gt;='FORMULA REFS'!AT$1,$Y97,"")))</f>
        <v/>
      </c>
      <c r="BJ219" s="1286" t="str">
        <f>IF($E$30="Enter Duration (wks)","",IF($Y97="Enter Hrs/Wk","",IF($E$30&gt;='FORMULA REFS'!AU$1,$Y97,"")))</f>
        <v/>
      </c>
      <c r="BK219" s="1286" t="str">
        <f>IF($E$30="Enter Duration (wks)","",IF($Y97="Enter Hrs/Wk","",IF($E$30&gt;='FORMULA REFS'!AV$1,$Y97,"")))</f>
        <v/>
      </c>
      <c r="BL219" s="1286" t="str">
        <f>IF($E$30="Enter Duration (wks)","",IF($Y97="Enter Hrs/Wk","",IF($E$30&gt;='FORMULA REFS'!AW$1,$Y97,"")))</f>
        <v/>
      </c>
      <c r="BM219" s="1286" t="str">
        <f>IF($E$30="Enter Duration (wks)","",IF($Y97="Enter Hrs/Wk","",IF($E$30&gt;='FORMULA REFS'!AX$1,$Y97,"")))</f>
        <v/>
      </c>
      <c r="BN219" s="1286" t="str">
        <f>IF($E$30="Enter Duration (wks)","",IF($Y97="Enter Hrs/Wk","",IF($E$30&gt;='FORMULA REFS'!AY$1,$Y97,"")))</f>
        <v/>
      </c>
      <c r="BO219" s="1286" t="str">
        <f>IF($E$30="Enter Duration (wks)","",IF($Y97="Enter Hrs/Wk","",IF($E$30&gt;='FORMULA REFS'!AZ$1,$Y97,"")))</f>
        <v/>
      </c>
    </row>
    <row r="220" spans="3:67" ht="13.95" hidden="1" customHeight="1" outlineLevel="1" x14ac:dyDescent="0.25">
      <c r="C220" s="1291" t="str">
        <f t="shared" si="82"/>
        <v/>
      </c>
      <c r="D220" s="1318" t="str">
        <f t="shared" si="81"/>
        <v/>
      </c>
      <c r="E220" s="1326"/>
      <c r="F220" s="1327" t="str">
        <f>IF($E$30="Enter Duration (wks)","",IF($Y98="Enter Hrs/Wk","",IF($E$30&gt;='FORMULA REFS'!A$1,$Y98,"")))</f>
        <v/>
      </c>
      <c r="G220" s="1328"/>
      <c r="H220" s="1570"/>
      <c r="I220" s="1329" t="str">
        <f>IF($E$30="Enter Duration (wks)","",IF($Y98="Enter Hrs/Wk","",IF($E$30&gt;='FORMULA REFS'!B$1,$Y98,"")))</f>
        <v/>
      </c>
      <c r="J220" s="1323"/>
      <c r="K220" s="1286" t="str">
        <f>IF($E$30="Enter Duration (wks)","",IF($Y98="Enter Hrs/Wk","",IF($E$30&gt;='FORMULA REFS'!C$1,$Y98,"")))</f>
        <v/>
      </c>
      <c r="L220" s="882" t="str">
        <f>IF($E$30="Enter Duration (wks)","",IF($Y98="Enter Hrs/Wk","",IF($E$30&gt;='FORMULA REFS'!D$1,$Y98,"")))</f>
        <v/>
      </c>
      <c r="M220" s="882" t="str">
        <f>IF($E$30="Enter Duration (wks)","",IF($Y98="Enter Hrs/Wk","",IF($E$30&gt;='FORMULA REFS'!E$1,$Y98,"")))</f>
        <v/>
      </c>
      <c r="N220" s="882" t="str">
        <f>IF($E$30="Enter Duration (wks)","",IF($Y98="Enter Hrs/Wk","",IF($E$30&gt;='FORMULA REFS'!F$1,$Y98,"")))</f>
        <v/>
      </c>
      <c r="O220" s="882" t="str">
        <f>IF($E$30="Enter Duration (wks)","",IF($Y98="Enter Hrs/Wk","",IF($E$30&gt;='FORMULA REFS'!G$1,$Y98,"")))</f>
        <v/>
      </c>
      <c r="P220" s="882" t="str">
        <f>IF($E$30="Enter Duration (wks)","",IF($Y98="Enter Hrs/Wk","",IF($E$30&gt;='FORMULA REFS'!H$1,$Y98,"")))</f>
        <v/>
      </c>
      <c r="Q220" s="882" t="str">
        <f>IF($E$30="Enter Duration (wks)","",IF($Y98="Enter Hrs/Wk","",IF($E$30&gt;='FORMULA REFS'!I$1,$Y98,"")))</f>
        <v/>
      </c>
      <c r="R220" s="882" t="str">
        <f>IF($E$30="Enter Duration (wks)","",IF($Y98="Enter Hrs/Wk","",IF($E$30&gt;='FORMULA REFS'!J$1,$Y98,"")))</f>
        <v/>
      </c>
      <c r="S220" s="882" t="str">
        <f>IF($E$30="Enter Duration (wks)","",IF($Y98="Enter Hrs/Wk","",IF($E$30&gt;='FORMULA REFS'!K$1,$Y98,"")))</f>
        <v/>
      </c>
      <c r="T220" s="1323" t="str">
        <f>IF($E$30="Enter Duration (wks)","",IF($Y98="Enter Hrs/Wk","",IF($E$30&gt;='FORMULA REFS'!L$1,$Y98,"")))</f>
        <v/>
      </c>
      <c r="U220" s="882" t="str">
        <f>IF($E$30="Enter Duration (wks)","",IF($Y98="Enter Hrs/Wk","",IF($E$30&gt;='FORMULA REFS'!M$1,$Y98,"")))</f>
        <v/>
      </c>
      <c r="V220" s="882"/>
      <c r="W220" s="882"/>
      <c r="X220" s="1285"/>
      <c r="Y220" s="1285" t="str">
        <f>IF($E$30="Enter Duration (wks)","",IF($Y98="Enter Hrs/Wk","",IF($E$30&gt;='FORMULA REFS'!N$1,$Y98,"")))</f>
        <v/>
      </c>
      <c r="Z220" s="1343" t="str">
        <f>IF($E$30="Enter Duration (wks)","",IF($Y98="Enter Hrs/Wk","",IF($E$30&gt;='FORMULA REFS'!O$1,$Y98,"")))</f>
        <v/>
      </c>
      <c r="AA220" s="882" t="str">
        <f>IF($E$30="Enter Duration (wks)","",IF($Y98="Enter Hrs/Wk","",IF($E$30&gt;='FORMULA REFS'!P$1,$Y98,"")))</f>
        <v/>
      </c>
      <c r="AB220" s="882" t="str">
        <f>IF($E$30="Enter Duration (wks)","",IF($Y98="Enter Hrs/Wk","",IF($E$30&gt;='FORMULA REFS'!Q$1,$Y98,"")))</f>
        <v/>
      </c>
      <c r="AC220" s="882"/>
      <c r="AD220" s="882"/>
      <c r="AE220" s="882"/>
      <c r="AF220" s="882"/>
      <c r="AG220" s="1286" t="str">
        <f>IF($E$30="Enter Duration (wks)","",IF($Y98="Enter Hrs/Wk","",IF($E$30&gt;='FORMULA REFS'!R$1,$Y98,"")))</f>
        <v/>
      </c>
      <c r="AH220" s="1286" t="str">
        <f>IF($E$30="Enter Duration (wks)","",IF($Y98="Enter Hrs/Wk","",IF($E$30&gt;='FORMULA REFS'!S$1,$Y98,"")))</f>
        <v/>
      </c>
      <c r="AI220" s="1286" t="str">
        <f>IF($E$30="Enter Duration (wks)","",IF($Y98="Enter Hrs/Wk","",IF($E$30&gt;='FORMULA REFS'!T$1,$Y98,"")))</f>
        <v/>
      </c>
      <c r="AJ220" s="1286" t="str">
        <f>IF($E$30="Enter Duration (wks)","",IF($Y98="Enter Hrs/Wk","",IF($E$30&gt;='FORMULA REFS'!U$1,$Y98,"")))</f>
        <v/>
      </c>
      <c r="AK220" s="1286" t="str">
        <f>IF($E$30="Enter Duration (wks)","",IF($Y98="Enter Hrs/Wk","",IF($E$30&gt;='FORMULA REFS'!V$1,$Y98,"")))</f>
        <v/>
      </c>
      <c r="AL220" s="1286" t="str">
        <f>IF($E$30="Enter Duration (wks)","",IF($Y98="Enter Hrs/Wk","",IF($E$30&gt;='FORMULA REFS'!W$1,$Y98,"")))</f>
        <v/>
      </c>
      <c r="AM220" s="1286" t="str">
        <f>IF($E$30="Enter Duration (wks)","",IF($Y98="Enter Hrs/Wk","",IF($E$30&gt;='FORMULA REFS'!X$1,$Y98,"")))</f>
        <v/>
      </c>
      <c r="AN220" s="1286" t="str">
        <f>IF($E$30="Enter Duration (wks)","",IF($Y98="Enter Hrs/Wk","",IF($E$30&gt;='FORMULA REFS'!Y$1,$Y98,"")))</f>
        <v/>
      </c>
      <c r="AO220" s="1286" t="str">
        <f>IF($E$30="Enter Duration (wks)","",IF($Y98="Enter Hrs/Wk","",IF($E$30&gt;='FORMULA REFS'!Z$1,$Y98,"")))</f>
        <v/>
      </c>
      <c r="AP220" s="1286" t="str">
        <f>IF($E$30="Enter Duration (wks)","",IF($Y98="Enter Hrs/Wk","",IF($E$30&gt;='FORMULA REFS'!AA$1,$Y98,"")))</f>
        <v/>
      </c>
      <c r="AQ220" s="1286" t="str">
        <f>IF($E$30="Enter Duration (wks)","",IF($Y98="Enter Hrs/Wk","",IF($E$30&gt;='FORMULA REFS'!AB$1,$Y98,"")))</f>
        <v/>
      </c>
      <c r="AR220" s="1286" t="str">
        <f>IF($E$30="Enter Duration (wks)","",IF($Y98="Enter Hrs/Wk","",IF($E$30&gt;='FORMULA REFS'!AC$1,$Y98,"")))</f>
        <v/>
      </c>
      <c r="AS220" s="1286" t="str">
        <f>IF($E$30="Enter Duration (wks)","",IF($Y98="Enter Hrs/Wk","",IF($E$30&gt;='FORMULA REFS'!AD$1,$Y98,"")))</f>
        <v/>
      </c>
      <c r="AT220" s="1286" t="str">
        <f>IF($E$30="Enter Duration (wks)","",IF($Y98="Enter Hrs/Wk","",IF($E$30&gt;='FORMULA REFS'!AE$1,$Y98,"")))</f>
        <v/>
      </c>
      <c r="AU220" s="1286" t="str">
        <f>IF($E$30="Enter Duration (wks)","",IF($Y98="Enter Hrs/Wk","",IF($E$30&gt;='FORMULA REFS'!AF$1,$Y98,"")))</f>
        <v/>
      </c>
      <c r="AV220" s="1286" t="str">
        <f>IF($E$30="Enter Duration (wks)","",IF($Y98="Enter Hrs/Wk","",IF($E$30&gt;='FORMULA REFS'!AG$1,$Y98,"")))</f>
        <v/>
      </c>
      <c r="AW220" s="1286" t="str">
        <f>IF($E$30="Enter Duration (wks)","",IF($Y98="Enter Hrs/Wk","",IF($E$30&gt;='FORMULA REFS'!AH$1,$Y98,"")))</f>
        <v/>
      </c>
      <c r="AX220" s="1286" t="str">
        <f>IF($E$30="Enter Duration (wks)","",IF($Y98="Enter Hrs/Wk","",IF($E$30&gt;='FORMULA REFS'!AI$1,$Y98,"")))</f>
        <v/>
      </c>
      <c r="AY220" s="1286" t="str">
        <f>IF($E$30="Enter Duration (wks)","",IF($Y98="Enter Hrs/Wk","",IF($E$30&gt;='FORMULA REFS'!AJ$1,$Y98,"")))</f>
        <v/>
      </c>
      <c r="AZ220" s="1286" t="str">
        <f>IF($E$30="Enter Duration (wks)","",IF($Y98="Enter Hrs/Wk","",IF($E$30&gt;='FORMULA REFS'!AK$1,$Y98,"")))</f>
        <v/>
      </c>
      <c r="BA220" s="1286" t="str">
        <f>IF($E$30="Enter Duration (wks)","",IF($Y98="Enter Hrs/Wk","",IF($E$30&gt;='FORMULA REFS'!AL$1,$Y98,"")))</f>
        <v/>
      </c>
      <c r="BB220" s="1286" t="str">
        <f>IF($E$30="Enter Duration (wks)","",IF($Y98="Enter Hrs/Wk","",IF($E$30&gt;='FORMULA REFS'!AM$1,$Y98,"")))</f>
        <v/>
      </c>
      <c r="BC220" s="1286" t="str">
        <f>IF($E$30="Enter Duration (wks)","",IF($Y98="Enter Hrs/Wk","",IF($E$30&gt;='FORMULA REFS'!AN$1,$Y98,"")))</f>
        <v/>
      </c>
      <c r="BD220" s="1286" t="str">
        <f>IF($E$30="Enter Duration (wks)","",IF($Y98="Enter Hrs/Wk","",IF($E$30&gt;='FORMULA REFS'!AO$1,$Y98,"")))</f>
        <v/>
      </c>
      <c r="BE220" s="1286" t="str">
        <f>IF($E$30="Enter Duration (wks)","",IF($Y98="Enter Hrs/Wk","",IF($E$30&gt;='FORMULA REFS'!AP$1,$Y98,"")))</f>
        <v/>
      </c>
      <c r="BF220" s="1286" t="str">
        <f>IF($E$30="Enter Duration (wks)","",IF($Y98="Enter Hrs/Wk","",IF($E$30&gt;='FORMULA REFS'!AQ$1,$Y98,"")))</f>
        <v/>
      </c>
      <c r="BG220" s="1286" t="str">
        <f>IF($E$30="Enter Duration (wks)","",IF($Y98="Enter Hrs/Wk","",IF($E$30&gt;='FORMULA REFS'!AR$1,$Y98,"")))</f>
        <v/>
      </c>
      <c r="BH220" s="1286" t="str">
        <f>IF($E$30="Enter Duration (wks)","",IF($Y98="Enter Hrs/Wk","",IF($E$30&gt;='FORMULA REFS'!AS$1,$Y98,"")))</f>
        <v/>
      </c>
      <c r="BI220" s="1286" t="str">
        <f>IF($E$30="Enter Duration (wks)","",IF($Y98="Enter Hrs/Wk","",IF($E$30&gt;='FORMULA REFS'!AT$1,$Y98,"")))</f>
        <v/>
      </c>
      <c r="BJ220" s="1286" t="str">
        <f>IF($E$30="Enter Duration (wks)","",IF($Y98="Enter Hrs/Wk","",IF($E$30&gt;='FORMULA REFS'!AU$1,$Y98,"")))</f>
        <v/>
      </c>
      <c r="BK220" s="1286" t="str">
        <f>IF($E$30="Enter Duration (wks)","",IF($Y98="Enter Hrs/Wk","",IF($E$30&gt;='FORMULA REFS'!AV$1,$Y98,"")))</f>
        <v/>
      </c>
      <c r="BL220" s="1286" t="str">
        <f>IF($E$30="Enter Duration (wks)","",IF($Y98="Enter Hrs/Wk","",IF($E$30&gt;='FORMULA REFS'!AW$1,$Y98,"")))</f>
        <v/>
      </c>
      <c r="BM220" s="1286" t="str">
        <f>IF($E$30="Enter Duration (wks)","",IF($Y98="Enter Hrs/Wk","",IF($E$30&gt;='FORMULA REFS'!AX$1,$Y98,"")))</f>
        <v/>
      </c>
      <c r="BN220" s="1286" t="str">
        <f>IF($E$30="Enter Duration (wks)","",IF($Y98="Enter Hrs/Wk","",IF($E$30&gt;='FORMULA REFS'!AY$1,$Y98,"")))</f>
        <v/>
      </c>
      <c r="BO220" s="1286" t="str">
        <f>IF($E$30="Enter Duration (wks)","",IF($Y98="Enter Hrs/Wk","",IF($E$30&gt;='FORMULA REFS'!AZ$1,$Y98,"")))</f>
        <v/>
      </c>
    </row>
    <row r="221" spans="3:67" ht="13.95" hidden="1" customHeight="1" outlineLevel="1" x14ac:dyDescent="0.25">
      <c r="C221" s="1291" t="str">
        <f t="shared" si="82"/>
        <v/>
      </c>
      <c r="D221" s="1318" t="str">
        <f t="shared" si="81"/>
        <v/>
      </c>
      <c r="E221" s="1326"/>
      <c r="F221" s="1327" t="str">
        <f>IF($E$30="Enter Duration (wks)","",IF($Y99="Enter Hrs/Wk","",IF($E$30&gt;='FORMULA REFS'!A$1,$Y99,"")))</f>
        <v/>
      </c>
      <c r="G221" s="1328"/>
      <c r="H221" s="1570"/>
      <c r="I221" s="1329" t="str">
        <f>IF($E$30="Enter Duration (wks)","",IF($Y99="Enter Hrs/Wk","",IF($E$30&gt;='FORMULA REFS'!B$1,$Y99,"")))</f>
        <v/>
      </c>
      <c r="J221" s="1323"/>
      <c r="K221" s="1286" t="str">
        <f>IF($E$30="Enter Duration (wks)","",IF($Y99="Enter Hrs/Wk","",IF($E$30&gt;='FORMULA REFS'!C$1,$Y99,"")))</f>
        <v/>
      </c>
      <c r="L221" s="882" t="str">
        <f>IF($E$30="Enter Duration (wks)","",IF($Y99="Enter Hrs/Wk","",IF($E$30&gt;='FORMULA REFS'!D$1,$Y99,"")))</f>
        <v/>
      </c>
      <c r="M221" s="882" t="str">
        <f>IF($E$30="Enter Duration (wks)","",IF($Y99="Enter Hrs/Wk","",IF($E$30&gt;='FORMULA REFS'!E$1,$Y99,"")))</f>
        <v/>
      </c>
      <c r="N221" s="882" t="str">
        <f>IF($E$30="Enter Duration (wks)","",IF($Y99="Enter Hrs/Wk","",IF($E$30&gt;='FORMULA REFS'!F$1,$Y99,"")))</f>
        <v/>
      </c>
      <c r="O221" s="882" t="str">
        <f>IF($E$30="Enter Duration (wks)","",IF($Y99="Enter Hrs/Wk","",IF($E$30&gt;='FORMULA REFS'!G$1,$Y99,"")))</f>
        <v/>
      </c>
      <c r="P221" s="882" t="str">
        <f>IF($E$30="Enter Duration (wks)","",IF($Y99="Enter Hrs/Wk","",IF($E$30&gt;='FORMULA REFS'!H$1,$Y99,"")))</f>
        <v/>
      </c>
      <c r="Q221" s="882" t="str">
        <f>IF($E$30="Enter Duration (wks)","",IF($Y99="Enter Hrs/Wk","",IF($E$30&gt;='FORMULA REFS'!I$1,$Y99,"")))</f>
        <v/>
      </c>
      <c r="R221" s="882" t="str">
        <f>IF($E$30="Enter Duration (wks)","",IF($Y99="Enter Hrs/Wk","",IF($E$30&gt;='FORMULA REFS'!J$1,$Y99,"")))</f>
        <v/>
      </c>
      <c r="S221" s="882" t="str">
        <f>IF($E$30="Enter Duration (wks)","",IF($Y99="Enter Hrs/Wk","",IF($E$30&gt;='FORMULA REFS'!K$1,$Y99,"")))</f>
        <v/>
      </c>
      <c r="T221" s="1323" t="str">
        <f>IF($E$30="Enter Duration (wks)","",IF($Y99="Enter Hrs/Wk","",IF($E$30&gt;='FORMULA REFS'!L$1,$Y99,"")))</f>
        <v/>
      </c>
      <c r="U221" s="882" t="str">
        <f>IF($E$30="Enter Duration (wks)","",IF($Y99="Enter Hrs/Wk","",IF($E$30&gt;='FORMULA REFS'!M$1,$Y99,"")))</f>
        <v/>
      </c>
      <c r="V221" s="882"/>
      <c r="W221" s="882"/>
      <c r="X221" s="1285"/>
      <c r="Y221" s="1285" t="str">
        <f>IF($E$30="Enter Duration (wks)","",IF($Y99="Enter Hrs/Wk","",IF($E$30&gt;='FORMULA REFS'!N$1,$Y99,"")))</f>
        <v/>
      </c>
      <c r="Z221" s="1343" t="str">
        <f>IF($E$30="Enter Duration (wks)","",IF($Y99="Enter Hrs/Wk","",IF($E$30&gt;='FORMULA REFS'!O$1,$Y99,"")))</f>
        <v/>
      </c>
      <c r="AA221" s="882" t="str">
        <f>IF($E$30="Enter Duration (wks)","",IF($Y99="Enter Hrs/Wk","",IF($E$30&gt;='FORMULA REFS'!P$1,$Y99,"")))</f>
        <v/>
      </c>
      <c r="AB221" s="882" t="str">
        <f>IF($E$30="Enter Duration (wks)","",IF($Y99="Enter Hrs/Wk","",IF($E$30&gt;='FORMULA REFS'!Q$1,$Y99,"")))</f>
        <v/>
      </c>
      <c r="AC221" s="882"/>
      <c r="AD221" s="882"/>
      <c r="AE221" s="882"/>
      <c r="AF221" s="882"/>
      <c r="AG221" s="1286" t="str">
        <f>IF($E$30="Enter Duration (wks)","",IF($Y99="Enter Hrs/Wk","",IF($E$30&gt;='FORMULA REFS'!R$1,$Y99,"")))</f>
        <v/>
      </c>
      <c r="AH221" s="1286" t="str">
        <f>IF($E$30="Enter Duration (wks)","",IF($Y99="Enter Hrs/Wk","",IF($E$30&gt;='FORMULA REFS'!S$1,$Y99,"")))</f>
        <v/>
      </c>
      <c r="AI221" s="1286" t="str">
        <f>IF($E$30="Enter Duration (wks)","",IF($Y99="Enter Hrs/Wk","",IF($E$30&gt;='FORMULA REFS'!T$1,$Y99,"")))</f>
        <v/>
      </c>
      <c r="AJ221" s="1286" t="str">
        <f>IF($E$30="Enter Duration (wks)","",IF($Y99="Enter Hrs/Wk","",IF($E$30&gt;='FORMULA REFS'!U$1,$Y99,"")))</f>
        <v/>
      </c>
      <c r="AK221" s="1286" t="str">
        <f>IF($E$30="Enter Duration (wks)","",IF($Y99="Enter Hrs/Wk","",IF($E$30&gt;='FORMULA REFS'!V$1,$Y99,"")))</f>
        <v/>
      </c>
      <c r="AL221" s="1286" t="str">
        <f>IF($E$30="Enter Duration (wks)","",IF($Y99="Enter Hrs/Wk","",IF($E$30&gt;='FORMULA REFS'!W$1,$Y99,"")))</f>
        <v/>
      </c>
      <c r="AM221" s="1286" t="str">
        <f>IF($E$30="Enter Duration (wks)","",IF($Y99="Enter Hrs/Wk","",IF($E$30&gt;='FORMULA REFS'!X$1,$Y99,"")))</f>
        <v/>
      </c>
      <c r="AN221" s="1286" t="str">
        <f>IF($E$30="Enter Duration (wks)","",IF($Y99="Enter Hrs/Wk","",IF($E$30&gt;='FORMULA REFS'!Y$1,$Y99,"")))</f>
        <v/>
      </c>
      <c r="AO221" s="1286" t="str">
        <f>IF($E$30="Enter Duration (wks)","",IF($Y99="Enter Hrs/Wk","",IF($E$30&gt;='FORMULA REFS'!Z$1,$Y99,"")))</f>
        <v/>
      </c>
      <c r="AP221" s="1286" t="str">
        <f>IF($E$30="Enter Duration (wks)","",IF($Y99="Enter Hrs/Wk","",IF($E$30&gt;='FORMULA REFS'!AA$1,$Y99,"")))</f>
        <v/>
      </c>
      <c r="AQ221" s="1286" t="str">
        <f>IF($E$30="Enter Duration (wks)","",IF($Y99="Enter Hrs/Wk","",IF($E$30&gt;='FORMULA REFS'!AB$1,$Y99,"")))</f>
        <v/>
      </c>
      <c r="AR221" s="1286" t="str">
        <f>IF($E$30="Enter Duration (wks)","",IF($Y99="Enter Hrs/Wk","",IF($E$30&gt;='FORMULA REFS'!AC$1,$Y99,"")))</f>
        <v/>
      </c>
      <c r="AS221" s="1286" t="str">
        <f>IF($E$30="Enter Duration (wks)","",IF($Y99="Enter Hrs/Wk","",IF($E$30&gt;='FORMULA REFS'!AD$1,$Y99,"")))</f>
        <v/>
      </c>
      <c r="AT221" s="1286" t="str">
        <f>IF($E$30="Enter Duration (wks)","",IF($Y99="Enter Hrs/Wk","",IF($E$30&gt;='FORMULA REFS'!AE$1,$Y99,"")))</f>
        <v/>
      </c>
      <c r="AU221" s="1286" t="str">
        <f>IF($E$30="Enter Duration (wks)","",IF($Y99="Enter Hrs/Wk","",IF($E$30&gt;='FORMULA REFS'!AF$1,$Y99,"")))</f>
        <v/>
      </c>
      <c r="AV221" s="1286" t="str">
        <f>IF($E$30="Enter Duration (wks)","",IF($Y99="Enter Hrs/Wk","",IF($E$30&gt;='FORMULA REFS'!AG$1,$Y99,"")))</f>
        <v/>
      </c>
      <c r="AW221" s="1286" t="str">
        <f>IF($E$30="Enter Duration (wks)","",IF($Y99="Enter Hrs/Wk","",IF($E$30&gt;='FORMULA REFS'!AH$1,$Y99,"")))</f>
        <v/>
      </c>
      <c r="AX221" s="1286" t="str">
        <f>IF($E$30="Enter Duration (wks)","",IF($Y99="Enter Hrs/Wk","",IF($E$30&gt;='FORMULA REFS'!AI$1,$Y99,"")))</f>
        <v/>
      </c>
      <c r="AY221" s="1286" t="str">
        <f>IF($E$30="Enter Duration (wks)","",IF($Y99="Enter Hrs/Wk","",IF($E$30&gt;='FORMULA REFS'!AJ$1,$Y99,"")))</f>
        <v/>
      </c>
      <c r="AZ221" s="1286" t="str">
        <f>IF($E$30="Enter Duration (wks)","",IF($Y99="Enter Hrs/Wk","",IF($E$30&gt;='FORMULA REFS'!AK$1,$Y99,"")))</f>
        <v/>
      </c>
      <c r="BA221" s="1286" t="str">
        <f>IF($E$30="Enter Duration (wks)","",IF($Y99="Enter Hrs/Wk","",IF($E$30&gt;='FORMULA REFS'!AL$1,$Y99,"")))</f>
        <v/>
      </c>
      <c r="BB221" s="1286" t="str">
        <f>IF($E$30="Enter Duration (wks)","",IF($Y99="Enter Hrs/Wk","",IF($E$30&gt;='FORMULA REFS'!AM$1,$Y99,"")))</f>
        <v/>
      </c>
      <c r="BC221" s="1286" t="str">
        <f>IF($E$30="Enter Duration (wks)","",IF($Y99="Enter Hrs/Wk","",IF($E$30&gt;='FORMULA REFS'!AN$1,$Y99,"")))</f>
        <v/>
      </c>
      <c r="BD221" s="1286" t="str">
        <f>IF($E$30="Enter Duration (wks)","",IF($Y99="Enter Hrs/Wk","",IF($E$30&gt;='FORMULA REFS'!AO$1,$Y99,"")))</f>
        <v/>
      </c>
      <c r="BE221" s="1286" t="str">
        <f>IF($E$30="Enter Duration (wks)","",IF($Y99="Enter Hrs/Wk","",IF($E$30&gt;='FORMULA REFS'!AP$1,$Y99,"")))</f>
        <v/>
      </c>
      <c r="BF221" s="1286" t="str">
        <f>IF($E$30="Enter Duration (wks)","",IF($Y99="Enter Hrs/Wk","",IF($E$30&gt;='FORMULA REFS'!AQ$1,$Y99,"")))</f>
        <v/>
      </c>
      <c r="BG221" s="1286" t="str">
        <f>IF($E$30="Enter Duration (wks)","",IF($Y99="Enter Hrs/Wk","",IF($E$30&gt;='FORMULA REFS'!AR$1,$Y99,"")))</f>
        <v/>
      </c>
      <c r="BH221" s="1286" t="str">
        <f>IF($E$30="Enter Duration (wks)","",IF($Y99="Enter Hrs/Wk","",IF($E$30&gt;='FORMULA REFS'!AS$1,$Y99,"")))</f>
        <v/>
      </c>
      <c r="BI221" s="1286" t="str">
        <f>IF($E$30="Enter Duration (wks)","",IF($Y99="Enter Hrs/Wk","",IF($E$30&gt;='FORMULA REFS'!AT$1,$Y99,"")))</f>
        <v/>
      </c>
      <c r="BJ221" s="1286" t="str">
        <f>IF($E$30="Enter Duration (wks)","",IF($Y99="Enter Hrs/Wk","",IF($E$30&gt;='FORMULA REFS'!AU$1,$Y99,"")))</f>
        <v/>
      </c>
      <c r="BK221" s="1286" t="str">
        <f>IF($E$30="Enter Duration (wks)","",IF($Y99="Enter Hrs/Wk","",IF($E$30&gt;='FORMULA REFS'!AV$1,$Y99,"")))</f>
        <v/>
      </c>
      <c r="BL221" s="1286" t="str">
        <f>IF($E$30="Enter Duration (wks)","",IF($Y99="Enter Hrs/Wk","",IF($E$30&gt;='FORMULA REFS'!AW$1,$Y99,"")))</f>
        <v/>
      </c>
      <c r="BM221" s="1286" t="str">
        <f>IF($E$30="Enter Duration (wks)","",IF($Y99="Enter Hrs/Wk","",IF($E$30&gt;='FORMULA REFS'!AX$1,$Y99,"")))</f>
        <v/>
      </c>
      <c r="BN221" s="1286" t="str">
        <f>IF($E$30="Enter Duration (wks)","",IF($Y99="Enter Hrs/Wk","",IF($E$30&gt;='FORMULA REFS'!AY$1,$Y99,"")))</f>
        <v/>
      </c>
      <c r="BO221" s="1286" t="str">
        <f>IF($E$30="Enter Duration (wks)","",IF($Y99="Enter Hrs/Wk","",IF($E$30&gt;='FORMULA REFS'!AZ$1,$Y99,"")))</f>
        <v/>
      </c>
    </row>
    <row r="222" spans="3:67" ht="13.95" hidden="1" customHeight="1" outlineLevel="1" x14ac:dyDescent="0.25">
      <c r="C222" s="1291" t="str">
        <f t="shared" si="82"/>
        <v/>
      </c>
      <c r="D222" s="1318" t="str">
        <f>IF(K100="","",K100)</f>
        <v/>
      </c>
      <c r="E222" s="1326"/>
      <c r="F222" s="1327" t="str">
        <f>IF($E$30="Enter Duration (wks)","",IF($Y100="Enter Hrs/Wk","",IF($E$30&gt;='FORMULA REFS'!A$1,$Y100,"")))</f>
        <v/>
      </c>
      <c r="G222" s="1328"/>
      <c r="H222" s="1570"/>
      <c r="I222" s="1329" t="str">
        <f>IF($E$30="Enter Duration (wks)","",IF($Y100="Enter Hrs/Wk","",IF($E$30&gt;='FORMULA REFS'!B$1,$Y100,"")))</f>
        <v/>
      </c>
      <c r="J222" s="1323"/>
      <c r="K222" s="1286" t="str">
        <f>IF($E$30="Enter Duration (wks)","",IF($Y100="Enter Hrs/Wk","",IF($E$30&gt;='FORMULA REFS'!C$1,$Y100,"")))</f>
        <v/>
      </c>
      <c r="L222" s="882" t="str">
        <f>IF($E$30="Enter Duration (wks)","",IF($Y100="Enter Hrs/Wk","",IF($E$30&gt;='FORMULA REFS'!D$1,$Y100,"")))</f>
        <v/>
      </c>
      <c r="M222" s="882" t="str">
        <f>IF($E$30="Enter Duration (wks)","",IF($Y100="Enter Hrs/Wk","",IF($E$30&gt;='FORMULA REFS'!E$1,$Y100,"")))</f>
        <v/>
      </c>
      <c r="N222" s="882" t="str">
        <f>IF($E$30="Enter Duration (wks)","",IF($Y100="Enter Hrs/Wk","",IF($E$30&gt;='FORMULA REFS'!F$1,$Y100,"")))</f>
        <v/>
      </c>
      <c r="O222" s="882" t="str">
        <f>IF($E$30="Enter Duration (wks)","",IF($Y100="Enter Hrs/Wk","",IF($E$30&gt;='FORMULA REFS'!G$1,$Y100,"")))</f>
        <v/>
      </c>
      <c r="P222" s="882" t="str">
        <f>IF($E$30="Enter Duration (wks)","",IF($Y100="Enter Hrs/Wk","",IF($E$30&gt;='FORMULA REFS'!H$1,$Y100,"")))</f>
        <v/>
      </c>
      <c r="Q222" s="882" t="str">
        <f>IF($E$30="Enter Duration (wks)","",IF($Y100="Enter Hrs/Wk","",IF($E$30&gt;='FORMULA REFS'!I$1,$Y100,"")))</f>
        <v/>
      </c>
      <c r="R222" s="882" t="str">
        <f>IF($E$30="Enter Duration (wks)","",IF($Y100="Enter Hrs/Wk","",IF($E$30&gt;='FORMULA REFS'!J$1,$Y100,"")))</f>
        <v/>
      </c>
      <c r="S222" s="882" t="str">
        <f>IF($E$30="Enter Duration (wks)","",IF($Y100="Enter Hrs/Wk","",IF($E$30&gt;='FORMULA REFS'!K$1,$Y100,"")))</f>
        <v/>
      </c>
      <c r="T222" s="1323" t="str">
        <f>IF($E$30="Enter Duration (wks)","",IF($Y100="Enter Hrs/Wk","",IF($E$30&gt;='FORMULA REFS'!L$1,$Y100,"")))</f>
        <v/>
      </c>
      <c r="U222" s="882" t="str">
        <f>IF($E$30="Enter Duration (wks)","",IF($Y100="Enter Hrs/Wk","",IF($E$30&gt;='FORMULA REFS'!M$1,$Y100,"")))</f>
        <v/>
      </c>
      <c r="V222" s="882"/>
      <c r="W222" s="882"/>
      <c r="X222" s="1285"/>
      <c r="Y222" s="1285" t="str">
        <f>IF($E$30="Enter Duration (wks)","",IF($Y100="Enter Hrs/Wk","",IF($E$30&gt;='FORMULA REFS'!N$1,$Y100,"")))</f>
        <v/>
      </c>
      <c r="Z222" s="1343" t="str">
        <f>IF($E$30="Enter Duration (wks)","",IF($Y100="Enter Hrs/Wk","",IF($E$30&gt;='FORMULA REFS'!O$1,$Y100,"")))</f>
        <v/>
      </c>
      <c r="AA222" s="882" t="str">
        <f>IF($E$30="Enter Duration (wks)","",IF($Y100="Enter Hrs/Wk","",IF($E$30&gt;='FORMULA REFS'!P$1,$Y100,"")))</f>
        <v/>
      </c>
      <c r="AB222" s="882" t="str">
        <f>IF($E$30="Enter Duration (wks)","",IF($Y100="Enter Hrs/Wk","",IF($E$30&gt;='FORMULA REFS'!Q$1,$Y100,"")))</f>
        <v/>
      </c>
      <c r="AC222" s="882"/>
      <c r="AD222" s="882"/>
      <c r="AE222" s="882"/>
      <c r="AF222" s="882"/>
      <c r="AG222" s="1286" t="str">
        <f>IF($E$30="Enter Duration (wks)","",IF($Y100="Enter Hrs/Wk","",IF($E$30&gt;='FORMULA REFS'!R$1,$Y100,"")))</f>
        <v/>
      </c>
      <c r="AH222" s="1286" t="str">
        <f>IF($E$30="Enter Duration (wks)","",IF($Y100="Enter Hrs/Wk","",IF($E$30&gt;='FORMULA REFS'!S$1,$Y100,"")))</f>
        <v/>
      </c>
      <c r="AI222" s="1286" t="str">
        <f>IF($E$30="Enter Duration (wks)","",IF($Y100="Enter Hrs/Wk","",IF($E$30&gt;='FORMULA REFS'!T$1,$Y100,"")))</f>
        <v/>
      </c>
      <c r="AJ222" s="1286" t="str">
        <f>IF($E$30="Enter Duration (wks)","",IF($Y100="Enter Hrs/Wk","",IF($E$30&gt;='FORMULA REFS'!U$1,$Y100,"")))</f>
        <v/>
      </c>
      <c r="AK222" s="1286" t="str">
        <f>IF($E$30="Enter Duration (wks)","",IF($Y100="Enter Hrs/Wk","",IF($E$30&gt;='FORMULA REFS'!V$1,$Y100,"")))</f>
        <v/>
      </c>
      <c r="AL222" s="1286" t="str">
        <f>IF($E$30="Enter Duration (wks)","",IF($Y100="Enter Hrs/Wk","",IF($E$30&gt;='FORMULA REFS'!W$1,$Y100,"")))</f>
        <v/>
      </c>
      <c r="AM222" s="1286" t="str">
        <f>IF($E$30="Enter Duration (wks)","",IF($Y100="Enter Hrs/Wk","",IF($E$30&gt;='FORMULA REFS'!X$1,$Y100,"")))</f>
        <v/>
      </c>
      <c r="AN222" s="1286" t="str">
        <f>IF($E$30="Enter Duration (wks)","",IF($Y100="Enter Hrs/Wk","",IF($E$30&gt;='FORMULA REFS'!Y$1,$Y100,"")))</f>
        <v/>
      </c>
      <c r="AO222" s="1286" t="str">
        <f>IF($E$30="Enter Duration (wks)","",IF($Y100="Enter Hrs/Wk","",IF($E$30&gt;='FORMULA REFS'!Z$1,$Y100,"")))</f>
        <v/>
      </c>
      <c r="AP222" s="1286" t="str">
        <f>IF($E$30="Enter Duration (wks)","",IF($Y100="Enter Hrs/Wk","",IF($E$30&gt;='FORMULA REFS'!AA$1,$Y100,"")))</f>
        <v/>
      </c>
      <c r="AQ222" s="1286" t="str">
        <f>IF($E$30="Enter Duration (wks)","",IF($Y100="Enter Hrs/Wk","",IF($E$30&gt;='FORMULA REFS'!AB$1,$Y100,"")))</f>
        <v/>
      </c>
      <c r="AR222" s="1286" t="str">
        <f>IF($E$30="Enter Duration (wks)","",IF($Y100="Enter Hrs/Wk","",IF($E$30&gt;='FORMULA REFS'!AC$1,$Y100,"")))</f>
        <v/>
      </c>
      <c r="AS222" s="1286" t="str">
        <f>IF($E$30="Enter Duration (wks)","",IF($Y100="Enter Hrs/Wk","",IF($E$30&gt;='FORMULA REFS'!AD$1,$Y100,"")))</f>
        <v/>
      </c>
      <c r="AT222" s="1286" t="str">
        <f>IF($E$30="Enter Duration (wks)","",IF($Y100="Enter Hrs/Wk","",IF($E$30&gt;='FORMULA REFS'!AE$1,$Y100,"")))</f>
        <v/>
      </c>
      <c r="AU222" s="1286" t="str">
        <f>IF($E$30="Enter Duration (wks)","",IF($Y100="Enter Hrs/Wk","",IF($E$30&gt;='FORMULA REFS'!AF$1,$Y100,"")))</f>
        <v/>
      </c>
      <c r="AV222" s="1286" t="str">
        <f>IF($E$30="Enter Duration (wks)","",IF($Y100="Enter Hrs/Wk","",IF($E$30&gt;='FORMULA REFS'!AG$1,$Y100,"")))</f>
        <v/>
      </c>
      <c r="AW222" s="1286" t="str">
        <f>IF($E$30="Enter Duration (wks)","",IF($Y100="Enter Hrs/Wk","",IF($E$30&gt;='FORMULA REFS'!AH$1,$Y100,"")))</f>
        <v/>
      </c>
      <c r="AX222" s="1286" t="str">
        <f>IF($E$30="Enter Duration (wks)","",IF($Y100="Enter Hrs/Wk","",IF($E$30&gt;='FORMULA REFS'!AI$1,$Y100,"")))</f>
        <v/>
      </c>
      <c r="AY222" s="1286" t="str">
        <f>IF($E$30="Enter Duration (wks)","",IF($Y100="Enter Hrs/Wk","",IF($E$30&gt;='FORMULA REFS'!AJ$1,$Y100,"")))</f>
        <v/>
      </c>
      <c r="AZ222" s="1286" t="str">
        <f>IF($E$30="Enter Duration (wks)","",IF($Y100="Enter Hrs/Wk","",IF($E$30&gt;='FORMULA REFS'!AK$1,$Y100,"")))</f>
        <v/>
      </c>
      <c r="BA222" s="1286" t="str">
        <f>IF($E$30="Enter Duration (wks)","",IF($Y100="Enter Hrs/Wk","",IF($E$30&gt;='FORMULA REFS'!AL$1,$Y100,"")))</f>
        <v/>
      </c>
      <c r="BB222" s="1286" t="str">
        <f>IF($E$30="Enter Duration (wks)","",IF($Y100="Enter Hrs/Wk","",IF($E$30&gt;='FORMULA REFS'!AM$1,$Y100,"")))</f>
        <v/>
      </c>
      <c r="BC222" s="1286" t="str">
        <f>IF($E$30="Enter Duration (wks)","",IF($Y100="Enter Hrs/Wk","",IF($E$30&gt;='FORMULA REFS'!AN$1,$Y100,"")))</f>
        <v/>
      </c>
      <c r="BD222" s="1286" t="str">
        <f>IF($E$30="Enter Duration (wks)","",IF($Y100="Enter Hrs/Wk","",IF($E$30&gt;='FORMULA REFS'!AO$1,$Y100,"")))</f>
        <v/>
      </c>
      <c r="BE222" s="1286" t="str">
        <f>IF($E$30="Enter Duration (wks)","",IF($Y100="Enter Hrs/Wk","",IF($E$30&gt;='FORMULA REFS'!AP$1,$Y100,"")))</f>
        <v/>
      </c>
      <c r="BF222" s="1286" t="str">
        <f>IF($E$30="Enter Duration (wks)","",IF($Y100="Enter Hrs/Wk","",IF($E$30&gt;='FORMULA REFS'!AQ$1,$Y100,"")))</f>
        <v/>
      </c>
      <c r="BG222" s="1286" t="str">
        <f>IF($E$30="Enter Duration (wks)","",IF($Y100="Enter Hrs/Wk","",IF($E$30&gt;='FORMULA REFS'!AR$1,$Y100,"")))</f>
        <v/>
      </c>
      <c r="BH222" s="1286" t="str">
        <f>IF($E$30="Enter Duration (wks)","",IF($Y100="Enter Hrs/Wk","",IF($E$30&gt;='FORMULA REFS'!AS$1,$Y100,"")))</f>
        <v/>
      </c>
      <c r="BI222" s="1286" t="str">
        <f>IF($E$30="Enter Duration (wks)","",IF($Y100="Enter Hrs/Wk","",IF($E$30&gt;='FORMULA REFS'!AT$1,$Y100,"")))</f>
        <v/>
      </c>
      <c r="BJ222" s="1286" t="str">
        <f>IF($E$30="Enter Duration (wks)","",IF($Y100="Enter Hrs/Wk","",IF($E$30&gt;='FORMULA REFS'!AU$1,$Y100,"")))</f>
        <v/>
      </c>
      <c r="BK222" s="1286" t="str">
        <f>IF($E$30="Enter Duration (wks)","",IF($Y100="Enter Hrs/Wk","",IF($E$30&gt;='FORMULA REFS'!AV$1,$Y100,"")))</f>
        <v/>
      </c>
      <c r="BL222" s="1286" t="str">
        <f>IF($E$30="Enter Duration (wks)","",IF($Y100="Enter Hrs/Wk","",IF($E$30&gt;='FORMULA REFS'!AW$1,$Y100,"")))</f>
        <v/>
      </c>
      <c r="BM222" s="1286" t="str">
        <f>IF($E$30="Enter Duration (wks)","",IF($Y100="Enter Hrs/Wk","",IF($E$30&gt;='FORMULA REFS'!AX$1,$Y100,"")))</f>
        <v/>
      </c>
      <c r="BN222" s="1286" t="str">
        <f>IF($E$30="Enter Duration (wks)","",IF($Y100="Enter Hrs/Wk","",IF($E$30&gt;='FORMULA REFS'!AY$1,$Y100,"")))</f>
        <v/>
      </c>
      <c r="BO222" s="1286" t="str">
        <f>IF($E$30="Enter Duration (wks)","",IF($Y100="Enter Hrs/Wk","",IF($E$30&gt;='FORMULA REFS'!AZ$1,$Y100,"")))</f>
        <v/>
      </c>
    </row>
    <row r="223" spans="3:67" ht="13.95" hidden="1" customHeight="1" outlineLevel="1" x14ac:dyDescent="0.25">
      <c r="C223" s="1291" t="str">
        <f t="shared" si="82"/>
        <v/>
      </c>
      <c r="D223" s="1318" t="str">
        <f>IF(K101="","",K101)</f>
        <v/>
      </c>
      <c r="E223" s="1326"/>
      <c r="F223" s="1327" t="str">
        <f>IF($E$30="Enter Duration (wks)","",IF($Y101="Enter Hrs/Wk","",IF($E$30&gt;='FORMULA REFS'!A$1,$Y101,"")))</f>
        <v/>
      </c>
      <c r="G223" s="1328"/>
      <c r="H223" s="1570"/>
      <c r="I223" s="1329" t="str">
        <f>IF($E$30="Enter Duration (wks)","",IF($Y101="Enter Hrs/Wk","",IF($E$30&gt;='FORMULA REFS'!B$1,$Y101,"")))</f>
        <v/>
      </c>
      <c r="J223" s="1323"/>
      <c r="K223" s="1286" t="str">
        <f>IF($E$30="Enter Duration (wks)","",IF($Y101="Enter Hrs/Wk","",IF($E$30&gt;='FORMULA REFS'!C$1,$Y101,"")))</f>
        <v/>
      </c>
      <c r="L223" s="882" t="str">
        <f>IF($E$30="Enter Duration (wks)","",IF($Y101="Enter Hrs/Wk","",IF($E$30&gt;='FORMULA REFS'!D$1,$Y101,"")))</f>
        <v/>
      </c>
      <c r="M223" s="882" t="str">
        <f>IF($E$30="Enter Duration (wks)","",IF($Y101="Enter Hrs/Wk","",IF($E$30&gt;='FORMULA REFS'!E$1,$Y101,"")))</f>
        <v/>
      </c>
      <c r="N223" s="882" t="str">
        <f>IF($E$30="Enter Duration (wks)","",IF($Y101="Enter Hrs/Wk","",IF($E$30&gt;='FORMULA REFS'!F$1,$Y101,"")))</f>
        <v/>
      </c>
      <c r="O223" s="882" t="str">
        <f>IF($E$30="Enter Duration (wks)","",IF($Y101="Enter Hrs/Wk","",IF($E$30&gt;='FORMULA REFS'!G$1,$Y101,"")))</f>
        <v/>
      </c>
      <c r="P223" s="882" t="str">
        <f>IF($E$30="Enter Duration (wks)","",IF($Y101="Enter Hrs/Wk","",IF($E$30&gt;='FORMULA REFS'!H$1,$Y101,"")))</f>
        <v/>
      </c>
      <c r="Q223" s="882" t="str">
        <f>IF($E$30="Enter Duration (wks)","",IF($Y101="Enter Hrs/Wk","",IF($E$30&gt;='FORMULA REFS'!I$1,$Y101,"")))</f>
        <v/>
      </c>
      <c r="R223" s="882" t="str">
        <f>IF($E$30="Enter Duration (wks)","",IF($Y101="Enter Hrs/Wk","",IF($E$30&gt;='FORMULA REFS'!J$1,$Y101,"")))</f>
        <v/>
      </c>
      <c r="S223" s="882" t="str">
        <f>IF($E$30="Enter Duration (wks)","",IF($Y101="Enter Hrs/Wk","",IF($E$30&gt;='FORMULA REFS'!K$1,$Y101,"")))</f>
        <v/>
      </c>
      <c r="T223" s="1323" t="str">
        <f>IF($E$30="Enter Duration (wks)","",IF($Y101="Enter Hrs/Wk","",IF($E$30&gt;='FORMULA REFS'!L$1,$Y101,"")))</f>
        <v/>
      </c>
      <c r="U223" s="882" t="str">
        <f>IF($E$30="Enter Duration (wks)","",IF($Y101="Enter Hrs/Wk","",IF($E$30&gt;='FORMULA REFS'!M$1,$Y101,"")))</f>
        <v/>
      </c>
      <c r="V223" s="882"/>
      <c r="W223" s="882"/>
      <c r="X223" s="1285"/>
      <c r="Y223" s="1285" t="str">
        <f>IF($E$30="Enter Duration (wks)","",IF($Y101="Enter Hrs/Wk","",IF($E$30&gt;='FORMULA REFS'!N$1,$Y101,"")))</f>
        <v/>
      </c>
      <c r="Z223" s="1343" t="str">
        <f>IF($E$30="Enter Duration (wks)","",IF($Y101="Enter Hrs/Wk","",IF($E$30&gt;='FORMULA REFS'!O$1,$Y101,"")))</f>
        <v/>
      </c>
      <c r="AA223" s="882" t="str">
        <f>IF($E$30="Enter Duration (wks)","",IF($Y101="Enter Hrs/Wk","",IF($E$30&gt;='FORMULA REFS'!P$1,$Y101,"")))</f>
        <v/>
      </c>
      <c r="AB223" s="882" t="str">
        <f>IF($E$30="Enter Duration (wks)","",IF($Y101="Enter Hrs/Wk","",IF($E$30&gt;='FORMULA REFS'!Q$1,$Y101,"")))</f>
        <v/>
      </c>
      <c r="AC223" s="882"/>
      <c r="AD223" s="882"/>
      <c r="AE223" s="882"/>
      <c r="AF223" s="882"/>
      <c r="AG223" s="1286" t="str">
        <f>IF($E$30="Enter Duration (wks)","",IF($Y101="Enter Hrs/Wk","",IF($E$30&gt;='FORMULA REFS'!R$1,$Y101,"")))</f>
        <v/>
      </c>
      <c r="AH223" s="1286" t="str">
        <f>IF($E$30="Enter Duration (wks)","",IF($Y101="Enter Hrs/Wk","",IF($E$30&gt;='FORMULA REFS'!S$1,$Y101,"")))</f>
        <v/>
      </c>
      <c r="AI223" s="1286" t="str">
        <f>IF($E$30="Enter Duration (wks)","",IF($Y101="Enter Hrs/Wk","",IF($E$30&gt;='FORMULA REFS'!T$1,$Y101,"")))</f>
        <v/>
      </c>
      <c r="AJ223" s="1286" t="str">
        <f>IF($E$30="Enter Duration (wks)","",IF($Y101="Enter Hrs/Wk","",IF($E$30&gt;='FORMULA REFS'!U$1,$Y101,"")))</f>
        <v/>
      </c>
      <c r="AK223" s="1286" t="str">
        <f>IF($E$30="Enter Duration (wks)","",IF($Y101="Enter Hrs/Wk","",IF($E$30&gt;='FORMULA REFS'!V$1,$Y101,"")))</f>
        <v/>
      </c>
      <c r="AL223" s="1286" t="str">
        <f>IF($E$30="Enter Duration (wks)","",IF($Y101="Enter Hrs/Wk","",IF($E$30&gt;='FORMULA REFS'!W$1,$Y101,"")))</f>
        <v/>
      </c>
      <c r="AM223" s="1286" t="str">
        <f>IF($E$30="Enter Duration (wks)","",IF($Y101="Enter Hrs/Wk","",IF($E$30&gt;='FORMULA REFS'!X$1,$Y101,"")))</f>
        <v/>
      </c>
      <c r="AN223" s="1286" t="str">
        <f>IF($E$30="Enter Duration (wks)","",IF($Y101="Enter Hrs/Wk","",IF($E$30&gt;='FORMULA REFS'!Y$1,$Y101,"")))</f>
        <v/>
      </c>
      <c r="AO223" s="1286" t="str">
        <f>IF($E$30="Enter Duration (wks)","",IF($Y101="Enter Hrs/Wk","",IF($E$30&gt;='FORMULA REFS'!Z$1,$Y101,"")))</f>
        <v/>
      </c>
      <c r="AP223" s="1286" t="str">
        <f>IF($E$30="Enter Duration (wks)","",IF($Y101="Enter Hrs/Wk","",IF($E$30&gt;='FORMULA REFS'!AA$1,$Y101,"")))</f>
        <v/>
      </c>
      <c r="AQ223" s="1286" t="str">
        <f>IF($E$30="Enter Duration (wks)","",IF($Y101="Enter Hrs/Wk","",IF($E$30&gt;='FORMULA REFS'!AB$1,$Y101,"")))</f>
        <v/>
      </c>
      <c r="AR223" s="1286" t="str">
        <f>IF($E$30="Enter Duration (wks)","",IF($Y101="Enter Hrs/Wk","",IF($E$30&gt;='FORMULA REFS'!AC$1,$Y101,"")))</f>
        <v/>
      </c>
      <c r="AS223" s="1286" t="str">
        <f>IF($E$30="Enter Duration (wks)","",IF($Y101="Enter Hrs/Wk","",IF($E$30&gt;='FORMULA REFS'!AD$1,$Y101,"")))</f>
        <v/>
      </c>
      <c r="AT223" s="1286" t="str">
        <f>IF($E$30="Enter Duration (wks)","",IF($Y101="Enter Hrs/Wk","",IF($E$30&gt;='FORMULA REFS'!AE$1,$Y101,"")))</f>
        <v/>
      </c>
      <c r="AU223" s="1286" t="str">
        <f>IF($E$30="Enter Duration (wks)","",IF($Y101="Enter Hrs/Wk","",IF($E$30&gt;='FORMULA REFS'!AF$1,$Y101,"")))</f>
        <v/>
      </c>
      <c r="AV223" s="1286" t="str">
        <f>IF($E$30="Enter Duration (wks)","",IF($Y101="Enter Hrs/Wk","",IF($E$30&gt;='FORMULA REFS'!AG$1,$Y101,"")))</f>
        <v/>
      </c>
      <c r="AW223" s="1286" t="str">
        <f>IF($E$30="Enter Duration (wks)","",IF($Y101="Enter Hrs/Wk","",IF($E$30&gt;='FORMULA REFS'!AH$1,$Y101,"")))</f>
        <v/>
      </c>
      <c r="AX223" s="1286" t="str">
        <f>IF($E$30="Enter Duration (wks)","",IF($Y101="Enter Hrs/Wk","",IF($E$30&gt;='FORMULA REFS'!AI$1,$Y101,"")))</f>
        <v/>
      </c>
      <c r="AY223" s="1286" t="str">
        <f>IF($E$30="Enter Duration (wks)","",IF($Y101="Enter Hrs/Wk","",IF($E$30&gt;='FORMULA REFS'!AJ$1,$Y101,"")))</f>
        <v/>
      </c>
      <c r="AZ223" s="1286" t="str">
        <f>IF($E$30="Enter Duration (wks)","",IF($Y101="Enter Hrs/Wk","",IF($E$30&gt;='FORMULA REFS'!AK$1,$Y101,"")))</f>
        <v/>
      </c>
      <c r="BA223" s="1286" t="str">
        <f>IF($E$30="Enter Duration (wks)","",IF($Y101="Enter Hrs/Wk","",IF($E$30&gt;='FORMULA REFS'!AL$1,$Y101,"")))</f>
        <v/>
      </c>
      <c r="BB223" s="1286" t="str">
        <f>IF($E$30="Enter Duration (wks)","",IF($Y101="Enter Hrs/Wk","",IF($E$30&gt;='FORMULA REFS'!AM$1,$Y101,"")))</f>
        <v/>
      </c>
      <c r="BC223" s="1286" t="str">
        <f>IF($E$30="Enter Duration (wks)","",IF($Y101="Enter Hrs/Wk","",IF($E$30&gt;='FORMULA REFS'!AN$1,$Y101,"")))</f>
        <v/>
      </c>
      <c r="BD223" s="1286" t="str">
        <f>IF($E$30="Enter Duration (wks)","",IF($Y101="Enter Hrs/Wk","",IF($E$30&gt;='FORMULA REFS'!AO$1,$Y101,"")))</f>
        <v/>
      </c>
      <c r="BE223" s="1286" t="str">
        <f>IF($E$30="Enter Duration (wks)","",IF($Y101="Enter Hrs/Wk","",IF($E$30&gt;='FORMULA REFS'!AP$1,$Y101,"")))</f>
        <v/>
      </c>
      <c r="BF223" s="1286" t="str">
        <f>IF($E$30="Enter Duration (wks)","",IF($Y101="Enter Hrs/Wk","",IF($E$30&gt;='FORMULA REFS'!AQ$1,$Y101,"")))</f>
        <v/>
      </c>
      <c r="BG223" s="1286" t="str">
        <f>IF($E$30="Enter Duration (wks)","",IF($Y101="Enter Hrs/Wk","",IF($E$30&gt;='FORMULA REFS'!AR$1,$Y101,"")))</f>
        <v/>
      </c>
      <c r="BH223" s="1286" t="str">
        <f>IF($E$30="Enter Duration (wks)","",IF($Y101="Enter Hrs/Wk","",IF($E$30&gt;='FORMULA REFS'!AS$1,$Y101,"")))</f>
        <v/>
      </c>
      <c r="BI223" s="1286" t="str">
        <f>IF($E$30="Enter Duration (wks)","",IF($Y101="Enter Hrs/Wk","",IF($E$30&gt;='FORMULA REFS'!AT$1,$Y101,"")))</f>
        <v/>
      </c>
      <c r="BJ223" s="1286" t="str">
        <f>IF($E$30="Enter Duration (wks)","",IF($Y101="Enter Hrs/Wk","",IF($E$30&gt;='FORMULA REFS'!AU$1,$Y101,"")))</f>
        <v/>
      </c>
      <c r="BK223" s="1286" t="str">
        <f>IF($E$30="Enter Duration (wks)","",IF($Y101="Enter Hrs/Wk","",IF($E$30&gt;='FORMULA REFS'!AV$1,$Y101,"")))</f>
        <v/>
      </c>
      <c r="BL223" s="1286" t="str">
        <f>IF($E$30="Enter Duration (wks)","",IF($Y101="Enter Hrs/Wk","",IF($E$30&gt;='FORMULA REFS'!AW$1,$Y101,"")))</f>
        <v/>
      </c>
      <c r="BM223" s="1286" t="str">
        <f>IF($E$30="Enter Duration (wks)","",IF($Y101="Enter Hrs/Wk","",IF($E$30&gt;='FORMULA REFS'!AX$1,$Y101,"")))</f>
        <v/>
      </c>
      <c r="BN223" s="1286" t="str">
        <f>IF($E$30="Enter Duration (wks)","",IF($Y101="Enter Hrs/Wk","",IF($E$30&gt;='FORMULA REFS'!AY$1,$Y101,"")))</f>
        <v/>
      </c>
      <c r="BO223" s="1286" t="str">
        <f>IF($E$30="Enter Duration (wks)","",IF($Y101="Enter Hrs/Wk","",IF($E$30&gt;='FORMULA REFS'!AZ$1,$Y101,"")))</f>
        <v/>
      </c>
    </row>
    <row r="224" spans="3:67" ht="13.95" hidden="1" customHeight="1" outlineLevel="1" x14ac:dyDescent="0.25">
      <c r="C224" s="1291" t="str">
        <f t="shared" si="82"/>
        <v/>
      </c>
      <c r="D224" s="1318" t="str">
        <f t="shared" si="81"/>
        <v/>
      </c>
      <c r="E224" s="1326"/>
      <c r="F224" s="1327" t="str">
        <f>IF($E$30="Enter Duration (wks)","",IF($Y102="Enter Hrs/Wk","",IF($E$30&gt;='FORMULA REFS'!A$1,$Y102,"")))</f>
        <v/>
      </c>
      <c r="G224" s="1328"/>
      <c r="H224" s="1570"/>
      <c r="I224" s="1329" t="str">
        <f>IF($E$30="Enter Duration (wks)","",IF($Y102="Enter Hrs/Wk","",IF($E$30&gt;='FORMULA REFS'!B$1,$Y102,"")))</f>
        <v/>
      </c>
      <c r="J224" s="1323"/>
      <c r="K224" s="1286" t="str">
        <f>IF($E$30="Enter Duration (wks)","",IF($Y102="Enter Hrs/Wk","",IF($E$30&gt;='FORMULA REFS'!C$1,$Y102,"")))</f>
        <v/>
      </c>
      <c r="L224" s="882" t="str">
        <f>IF($E$30="Enter Duration (wks)","",IF($Y102="Enter Hrs/Wk","",IF($E$30&gt;='FORMULA REFS'!D$1,$Y102,"")))</f>
        <v/>
      </c>
      <c r="M224" s="882" t="str">
        <f>IF($E$30="Enter Duration (wks)","",IF($Y102="Enter Hrs/Wk","",IF($E$30&gt;='FORMULA REFS'!E$1,$Y102,"")))</f>
        <v/>
      </c>
      <c r="N224" s="882" t="str">
        <f>IF($E$30="Enter Duration (wks)","",IF($Y102="Enter Hrs/Wk","",IF($E$30&gt;='FORMULA REFS'!F$1,$Y102,"")))</f>
        <v/>
      </c>
      <c r="O224" s="882" t="str">
        <f>IF($E$30="Enter Duration (wks)","",IF($Y102="Enter Hrs/Wk","",IF($E$30&gt;='FORMULA REFS'!G$1,$Y102,"")))</f>
        <v/>
      </c>
      <c r="P224" s="882" t="str">
        <f>IF($E$30="Enter Duration (wks)","",IF($Y102="Enter Hrs/Wk","",IF($E$30&gt;='FORMULA REFS'!H$1,$Y102,"")))</f>
        <v/>
      </c>
      <c r="Q224" s="882" t="str">
        <f>IF($E$30="Enter Duration (wks)","",IF($Y102="Enter Hrs/Wk","",IF($E$30&gt;='FORMULA REFS'!I$1,$Y102,"")))</f>
        <v/>
      </c>
      <c r="R224" s="882" t="str">
        <f>IF($E$30="Enter Duration (wks)","",IF($Y102="Enter Hrs/Wk","",IF($E$30&gt;='FORMULA REFS'!J$1,$Y102,"")))</f>
        <v/>
      </c>
      <c r="S224" s="882" t="str">
        <f>IF($E$30="Enter Duration (wks)","",IF($Y102="Enter Hrs/Wk","",IF($E$30&gt;='FORMULA REFS'!K$1,$Y102,"")))</f>
        <v/>
      </c>
      <c r="T224" s="1323" t="str">
        <f>IF($E$30="Enter Duration (wks)","",IF($Y102="Enter Hrs/Wk","",IF($E$30&gt;='FORMULA REFS'!L$1,$Y102,"")))</f>
        <v/>
      </c>
      <c r="U224" s="882" t="str">
        <f>IF($E$30="Enter Duration (wks)","",IF($Y102="Enter Hrs/Wk","",IF($E$30&gt;='FORMULA REFS'!M$1,$Y102,"")))</f>
        <v/>
      </c>
      <c r="V224" s="882"/>
      <c r="W224" s="882"/>
      <c r="X224" s="1285"/>
      <c r="Y224" s="1285" t="str">
        <f>IF($E$30="Enter Duration (wks)","",IF($Y102="Enter Hrs/Wk","",IF($E$30&gt;='FORMULA REFS'!N$1,$Y102,"")))</f>
        <v/>
      </c>
      <c r="Z224" s="1343" t="str">
        <f>IF($E$30="Enter Duration (wks)","",IF($Y102="Enter Hrs/Wk","",IF($E$30&gt;='FORMULA REFS'!O$1,$Y102,"")))</f>
        <v/>
      </c>
      <c r="AA224" s="882" t="str">
        <f>IF($E$30="Enter Duration (wks)","",IF($Y102="Enter Hrs/Wk","",IF($E$30&gt;='FORMULA REFS'!P$1,$Y102,"")))</f>
        <v/>
      </c>
      <c r="AB224" s="882" t="str">
        <f>IF($E$30="Enter Duration (wks)","",IF($Y102="Enter Hrs/Wk","",IF($E$30&gt;='FORMULA REFS'!Q$1,$Y102,"")))</f>
        <v/>
      </c>
      <c r="AC224" s="882"/>
      <c r="AD224" s="882"/>
      <c r="AE224" s="882"/>
      <c r="AF224" s="882"/>
      <c r="AG224" s="1286" t="str">
        <f>IF($E$30="Enter Duration (wks)","",IF($Y102="Enter Hrs/Wk","",IF($E$30&gt;='FORMULA REFS'!R$1,$Y102,"")))</f>
        <v/>
      </c>
      <c r="AH224" s="1286" t="str">
        <f>IF($E$30="Enter Duration (wks)","",IF($Y102="Enter Hrs/Wk","",IF($E$30&gt;='FORMULA REFS'!S$1,$Y102,"")))</f>
        <v/>
      </c>
      <c r="AI224" s="1286" t="str">
        <f>IF($E$30="Enter Duration (wks)","",IF($Y102="Enter Hrs/Wk","",IF($E$30&gt;='FORMULA REFS'!T$1,$Y102,"")))</f>
        <v/>
      </c>
      <c r="AJ224" s="1286" t="str">
        <f>IF($E$30="Enter Duration (wks)","",IF($Y102="Enter Hrs/Wk","",IF($E$30&gt;='FORMULA REFS'!U$1,$Y102,"")))</f>
        <v/>
      </c>
      <c r="AK224" s="1286" t="str">
        <f>IF($E$30="Enter Duration (wks)","",IF($Y102="Enter Hrs/Wk","",IF($E$30&gt;='FORMULA REFS'!V$1,$Y102,"")))</f>
        <v/>
      </c>
      <c r="AL224" s="1286" t="str">
        <f>IF($E$30="Enter Duration (wks)","",IF($Y102="Enter Hrs/Wk","",IF($E$30&gt;='FORMULA REFS'!W$1,$Y102,"")))</f>
        <v/>
      </c>
      <c r="AM224" s="1286" t="str">
        <f>IF($E$30="Enter Duration (wks)","",IF($Y102="Enter Hrs/Wk","",IF($E$30&gt;='FORMULA REFS'!X$1,$Y102,"")))</f>
        <v/>
      </c>
      <c r="AN224" s="1286" t="str">
        <f>IF($E$30="Enter Duration (wks)","",IF($Y102="Enter Hrs/Wk","",IF($E$30&gt;='FORMULA REFS'!Y$1,$Y102,"")))</f>
        <v/>
      </c>
      <c r="AO224" s="1286" t="str">
        <f>IF($E$30="Enter Duration (wks)","",IF($Y102="Enter Hrs/Wk","",IF($E$30&gt;='FORMULA REFS'!Z$1,$Y102,"")))</f>
        <v/>
      </c>
      <c r="AP224" s="1286" t="str">
        <f>IF($E$30="Enter Duration (wks)","",IF($Y102="Enter Hrs/Wk","",IF($E$30&gt;='FORMULA REFS'!AA$1,$Y102,"")))</f>
        <v/>
      </c>
      <c r="AQ224" s="1286" t="str">
        <f>IF($E$30="Enter Duration (wks)","",IF($Y102="Enter Hrs/Wk","",IF($E$30&gt;='FORMULA REFS'!AB$1,$Y102,"")))</f>
        <v/>
      </c>
      <c r="AR224" s="1286" t="str">
        <f>IF($E$30="Enter Duration (wks)","",IF($Y102="Enter Hrs/Wk","",IF($E$30&gt;='FORMULA REFS'!AC$1,$Y102,"")))</f>
        <v/>
      </c>
      <c r="AS224" s="1286" t="str">
        <f>IF($E$30="Enter Duration (wks)","",IF($Y102="Enter Hrs/Wk","",IF($E$30&gt;='FORMULA REFS'!AD$1,$Y102,"")))</f>
        <v/>
      </c>
      <c r="AT224" s="1286" t="str">
        <f>IF($E$30="Enter Duration (wks)","",IF($Y102="Enter Hrs/Wk","",IF($E$30&gt;='FORMULA REFS'!AE$1,$Y102,"")))</f>
        <v/>
      </c>
      <c r="AU224" s="1286" t="str">
        <f>IF($E$30="Enter Duration (wks)","",IF($Y102="Enter Hrs/Wk","",IF($E$30&gt;='FORMULA REFS'!AF$1,$Y102,"")))</f>
        <v/>
      </c>
      <c r="AV224" s="1286" t="str">
        <f>IF($E$30="Enter Duration (wks)","",IF($Y102="Enter Hrs/Wk","",IF($E$30&gt;='FORMULA REFS'!AG$1,$Y102,"")))</f>
        <v/>
      </c>
      <c r="AW224" s="1286" t="str">
        <f>IF($E$30="Enter Duration (wks)","",IF($Y102="Enter Hrs/Wk","",IF($E$30&gt;='FORMULA REFS'!AH$1,$Y102,"")))</f>
        <v/>
      </c>
      <c r="AX224" s="1286" t="str">
        <f>IF($E$30="Enter Duration (wks)","",IF($Y102="Enter Hrs/Wk","",IF($E$30&gt;='FORMULA REFS'!AI$1,$Y102,"")))</f>
        <v/>
      </c>
      <c r="AY224" s="1286" t="str">
        <f>IF($E$30="Enter Duration (wks)","",IF($Y102="Enter Hrs/Wk","",IF($E$30&gt;='FORMULA REFS'!AJ$1,$Y102,"")))</f>
        <v/>
      </c>
      <c r="AZ224" s="1286" t="str">
        <f>IF($E$30="Enter Duration (wks)","",IF($Y102="Enter Hrs/Wk","",IF($E$30&gt;='FORMULA REFS'!AK$1,$Y102,"")))</f>
        <v/>
      </c>
      <c r="BA224" s="1286" t="str">
        <f>IF($E$30="Enter Duration (wks)","",IF($Y102="Enter Hrs/Wk","",IF($E$30&gt;='FORMULA REFS'!AL$1,$Y102,"")))</f>
        <v/>
      </c>
      <c r="BB224" s="1286" t="str">
        <f>IF($E$30="Enter Duration (wks)","",IF($Y102="Enter Hrs/Wk","",IF($E$30&gt;='FORMULA REFS'!AM$1,$Y102,"")))</f>
        <v/>
      </c>
      <c r="BC224" s="1286" t="str">
        <f>IF($E$30="Enter Duration (wks)","",IF($Y102="Enter Hrs/Wk","",IF($E$30&gt;='FORMULA REFS'!AN$1,$Y102,"")))</f>
        <v/>
      </c>
      <c r="BD224" s="1286" t="str">
        <f>IF($E$30="Enter Duration (wks)","",IF($Y102="Enter Hrs/Wk","",IF($E$30&gt;='FORMULA REFS'!AO$1,$Y102,"")))</f>
        <v/>
      </c>
      <c r="BE224" s="1286" t="str">
        <f>IF($E$30="Enter Duration (wks)","",IF($Y102="Enter Hrs/Wk","",IF($E$30&gt;='FORMULA REFS'!AP$1,$Y102,"")))</f>
        <v/>
      </c>
      <c r="BF224" s="1286" t="str">
        <f>IF($E$30="Enter Duration (wks)","",IF($Y102="Enter Hrs/Wk","",IF($E$30&gt;='FORMULA REFS'!AQ$1,$Y102,"")))</f>
        <v/>
      </c>
      <c r="BG224" s="1286" t="str">
        <f>IF($E$30="Enter Duration (wks)","",IF($Y102="Enter Hrs/Wk","",IF($E$30&gt;='FORMULA REFS'!AR$1,$Y102,"")))</f>
        <v/>
      </c>
      <c r="BH224" s="1286" t="str">
        <f>IF($E$30="Enter Duration (wks)","",IF($Y102="Enter Hrs/Wk","",IF($E$30&gt;='FORMULA REFS'!AS$1,$Y102,"")))</f>
        <v/>
      </c>
      <c r="BI224" s="1286" t="str">
        <f>IF($E$30="Enter Duration (wks)","",IF($Y102="Enter Hrs/Wk","",IF($E$30&gt;='FORMULA REFS'!AT$1,$Y102,"")))</f>
        <v/>
      </c>
      <c r="BJ224" s="1286" t="str">
        <f>IF($E$30="Enter Duration (wks)","",IF($Y102="Enter Hrs/Wk","",IF($E$30&gt;='FORMULA REFS'!AU$1,$Y102,"")))</f>
        <v/>
      </c>
      <c r="BK224" s="1286" t="str">
        <f>IF($E$30="Enter Duration (wks)","",IF($Y102="Enter Hrs/Wk","",IF($E$30&gt;='FORMULA REFS'!AV$1,$Y102,"")))</f>
        <v/>
      </c>
      <c r="BL224" s="1286" t="str">
        <f>IF($E$30="Enter Duration (wks)","",IF($Y102="Enter Hrs/Wk","",IF($E$30&gt;='FORMULA REFS'!AW$1,$Y102,"")))</f>
        <v/>
      </c>
      <c r="BM224" s="1286" t="str">
        <f>IF($E$30="Enter Duration (wks)","",IF($Y102="Enter Hrs/Wk","",IF($E$30&gt;='FORMULA REFS'!AX$1,$Y102,"")))</f>
        <v/>
      </c>
      <c r="BN224" s="1286" t="str">
        <f>IF($E$30="Enter Duration (wks)","",IF($Y102="Enter Hrs/Wk","",IF($E$30&gt;='FORMULA REFS'!AY$1,$Y102,"")))</f>
        <v/>
      </c>
      <c r="BO224" s="1286" t="str">
        <f>IF($E$30="Enter Duration (wks)","",IF($Y102="Enter Hrs/Wk","",IF($E$30&gt;='FORMULA REFS'!AZ$1,$Y102,"")))</f>
        <v/>
      </c>
    </row>
    <row r="225" spans="3:67" collapsed="1" x14ac:dyDescent="0.25">
      <c r="C225" s="1291" t="str">
        <f t="shared" si="82"/>
        <v/>
      </c>
      <c r="D225" s="1318" t="str">
        <f t="shared" si="81"/>
        <v/>
      </c>
      <c r="E225" s="1287"/>
      <c r="F225" s="1345" t="str">
        <f>IF($E$30="Enter Duration (wks)","",IF($Y103="Enter Hrs/Wk","",IF($E$30&gt;='FORMULA REFS'!A$1,$Y103,"")))</f>
        <v/>
      </c>
      <c r="G225" s="1345"/>
      <c r="H225" s="1571"/>
      <c r="I225" s="1346" t="str">
        <f>IF($E$30="Enter Duration (wks)","",IF($Y103="Enter Hrs/Wk","",IF($E$30&gt;='FORMULA REFS'!B$1,$Y103,"")))</f>
        <v/>
      </c>
      <c r="J225" s="1347"/>
      <c r="K225" s="1348" t="str">
        <f>IF($E$30="Enter Duration (wks)","",IF($Y103="Enter Hrs/Wk","",IF($E$30&gt;='FORMULA REFS'!C$1,$Y103,"")))</f>
        <v/>
      </c>
      <c r="L225" s="1276" t="str">
        <f>IF($E$30="Enter Duration (wks)","",IF($Y103="Enter Hrs/Wk","",IF($E$30&gt;='FORMULA REFS'!D$1,$Y103,"")))</f>
        <v/>
      </c>
      <c r="M225" s="882" t="str">
        <f>IF($E$30="Enter Duration (wks)","",IF($Y103="Enter Hrs/Wk","",IF($E$30&gt;='FORMULA REFS'!E$1,$Y103,"")))</f>
        <v/>
      </c>
      <c r="N225" s="882" t="str">
        <f>IF($E$30="Enter Duration (wks)","",IF($Y103="Enter Hrs/Wk","",IF($E$30&gt;='FORMULA REFS'!F$1,$Y103,"")))</f>
        <v/>
      </c>
      <c r="O225" s="882" t="str">
        <f>IF($E$30="Enter Duration (wks)","",IF($Y103="Enter Hrs/Wk","",IF($E$30&gt;='FORMULA REFS'!G$1,$Y103,"")))</f>
        <v/>
      </c>
      <c r="P225" s="882" t="str">
        <f>IF($E$30="Enter Duration (wks)","",IF($Y103="Enter Hrs/Wk","",IF($E$30&gt;='FORMULA REFS'!H$1,$Y103,"")))</f>
        <v/>
      </c>
      <c r="Q225" s="882" t="str">
        <f>IF($E$30="Enter Duration (wks)","",IF($Y103="Enter Hrs/Wk","",IF($E$30&gt;='FORMULA REFS'!I$1,$Y103,"")))</f>
        <v/>
      </c>
      <c r="R225" s="882" t="str">
        <f>IF($E$30="Enter Duration (wks)","",IF($Y103="Enter Hrs/Wk","",IF($E$30&gt;='FORMULA REFS'!J$1,$Y103,"")))</f>
        <v/>
      </c>
      <c r="S225" s="882" t="str">
        <f>IF($E$30="Enter Duration (wks)","",IF($Y103="Enter Hrs/Wk","",IF($E$30&gt;='FORMULA REFS'!K$1,$Y103,"")))</f>
        <v/>
      </c>
      <c r="T225" s="1323" t="str">
        <f>IF($E$30="Enter Duration (wks)","",IF($Y103="Enter Hrs/Wk","",IF($E$30&gt;='FORMULA REFS'!L$1,$Y103,"")))</f>
        <v/>
      </c>
      <c r="U225" s="882" t="str">
        <f>IF($E$30="Enter Duration (wks)","",IF($Y103="Enter Hrs/Wk","",IF($E$30&gt;='FORMULA REFS'!M$1,$Y103,"")))</f>
        <v/>
      </c>
      <c r="V225" s="882"/>
      <c r="W225" s="882"/>
      <c r="X225" s="1285"/>
      <c r="Y225" s="1285" t="str">
        <f>IF($E$30="Enter Duration (wks)","",IF($Y103="Enter Hrs/Wk","",IF($E$30&gt;='FORMULA REFS'!N$1,$Y103,"")))</f>
        <v/>
      </c>
      <c r="Z225" s="1343" t="str">
        <f>IF($E$30="Enter Duration (wks)","",IF($Y103="Enter Hrs/Wk","",IF($E$30&gt;='FORMULA REFS'!O$1,$Y103,"")))</f>
        <v/>
      </c>
      <c r="AA225" s="882" t="str">
        <f>IF($E$30="Enter Duration (wks)","",IF($Y103="Enter Hrs/Wk","",IF($E$30&gt;='FORMULA REFS'!P$1,$Y103,"")))</f>
        <v/>
      </c>
      <c r="AB225" s="882" t="str">
        <f>IF($E$30="Enter Duration (wks)","",IF($Y103="Enter Hrs/Wk","",IF($E$30&gt;='FORMULA REFS'!Q$1,$Y103,"")))</f>
        <v/>
      </c>
      <c r="AC225" s="882"/>
      <c r="AD225" s="882"/>
      <c r="AE225" s="882"/>
      <c r="AF225" s="882"/>
      <c r="AG225" s="1286" t="str">
        <f>IF($E$30="Enter Duration (wks)","",IF($Y103="Enter Hrs/Wk","",IF($E$30&gt;='FORMULA REFS'!R$1,$Y103,"")))</f>
        <v/>
      </c>
      <c r="AH225" s="1286" t="str">
        <f>IF($E$30="Enter Duration (wks)","",IF($Y103="Enter Hrs/Wk","",IF($E$30&gt;='FORMULA REFS'!S$1,$Y103,"")))</f>
        <v/>
      </c>
      <c r="AI225" s="1286" t="str">
        <f>IF($E$30="Enter Duration (wks)","",IF($Y103="Enter Hrs/Wk","",IF($E$30&gt;='FORMULA REFS'!T$1,$Y103,"")))</f>
        <v/>
      </c>
      <c r="AJ225" s="1286" t="str">
        <f>IF($E$30="Enter Duration (wks)","",IF($Y103="Enter Hrs/Wk","",IF($E$30&gt;='FORMULA REFS'!U$1,$Y103,"")))</f>
        <v/>
      </c>
      <c r="AK225" s="1286" t="str">
        <f>IF($E$30="Enter Duration (wks)","",IF($Y103="Enter Hrs/Wk","",IF($E$30&gt;='FORMULA REFS'!V$1,$Y103,"")))</f>
        <v/>
      </c>
      <c r="AL225" s="1286" t="str">
        <f>IF($E$30="Enter Duration (wks)","",IF($Y103="Enter Hrs/Wk","",IF($E$30&gt;='FORMULA REFS'!W$1,$Y103,"")))</f>
        <v/>
      </c>
      <c r="AM225" s="1286" t="str">
        <f>IF($E$30="Enter Duration (wks)","",IF($Y103="Enter Hrs/Wk","",IF($E$30&gt;='FORMULA REFS'!X$1,$Y103,"")))</f>
        <v/>
      </c>
      <c r="AN225" s="1286" t="str">
        <f>IF($E$30="Enter Duration (wks)","",IF($Y103="Enter Hrs/Wk","",IF($E$30&gt;='FORMULA REFS'!Y$1,$Y103,"")))</f>
        <v/>
      </c>
      <c r="AO225" s="1286" t="str">
        <f>IF($E$30="Enter Duration (wks)","",IF($Y103="Enter Hrs/Wk","",IF($E$30&gt;='FORMULA REFS'!Z$1,$Y103,"")))</f>
        <v/>
      </c>
      <c r="AP225" s="1286" t="str">
        <f>IF($E$30="Enter Duration (wks)","",IF($Y103="Enter Hrs/Wk","",IF($E$30&gt;='FORMULA REFS'!AA$1,$Y103,"")))</f>
        <v/>
      </c>
      <c r="AQ225" s="1286" t="str">
        <f>IF($E$30="Enter Duration (wks)","",IF($Y103="Enter Hrs/Wk","",IF($E$30&gt;='FORMULA REFS'!AB$1,$Y103,"")))</f>
        <v/>
      </c>
      <c r="AR225" s="1286" t="str">
        <f>IF($E$30="Enter Duration (wks)","",IF($Y103="Enter Hrs/Wk","",IF($E$30&gt;='FORMULA REFS'!AC$1,$Y103,"")))</f>
        <v/>
      </c>
      <c r="AS225" s="1286" t="str">
        <f>IF($E$30="Enter Duration (wks)","",IF($Y103="Enter Hrs/Wk","",IF($E$30&gt;='FORMULA REFS'!AD$1,$Y103,"")))</f>
        <v/>
      </c>
      <c r="AT225" s="1286" t="str">
        <f>IF($E$30="Enter Duration (wks)","",IF($Y103="Enter Hrs/Wk","",IF($E$30&gt;='FORMULA REFS'!AE$1,$Y103,"")))</f>
        <v/>
      </c>
      <c r="AU225" s="1286" t="str">
        <f>IF($E$30="Enter Duration (wks)","",IF($Y103="Enter Hrs/Wk","",IF($E$30&gt;='FORMULA REFS'!AF$1,$Y103,"")))</f>
        <v/>
      </c>
      <c r="AV225" s="1286" t="str">
        <f>IF($E$30="Enter Duration (wks)","",IF($Y103="Enter Hrs/Wk","",IF($E$30&gt;='FORMULA REFS'!AG$1,$Y103,"")))</f>
        <v/>
      </c>
      <c r="AW225" s="1286" t="str">
        <f>IF($E$30="Enter Duration (wks)","",IF($Y103="Enter Hrs/Wk","",IF($E$30&gt;='FORMULA REFS'!AH$1,$Y103,"")))</f>
        <v/>
      </c>
      <c r="AX225" s="1286" t="str">
        <f>IF($E$30="Enter Duration (wks)","",IF($Y103="Enter Hrs/Wk","",IF($E$30&gt;='FORMULA REFS'!AI$1,$Y103,"")))</f>
        <v/>
      </c>
      <c r="AY225" s="1286" t="str">
        <f>IF($E$30="Enter Duration (wks)","",IF($Y103="Enter Hrs/Wk","",IF($E$30&gt;='FORMULA REFS'!AJ$1,$Y103,"")))</f>
        <v/>
      </c>
      <c r="AZ225" s="1286" t="str">
        <f>IF($E$30="Enter Duration (wks)","",IF($Y103="Enter Hrs/Wk","",IF($E$30&gt;='FORMULA REFS'!AK$1,$Y103,"")))</f>
        <v/>
      </c>
      <c r="BA225" s="1286" t="str">
        <f>IF($E$30="Enter Duration (wks)","",IF($Y103="Enter Hrs/Wk","",IF($E$30&gt;='FORMULA REFS'!AL$1,$Y103,"")))</f>
        <v/>
      </c>
      <c r="BB225" s="1286" t="str">
        <f>IF($E$30="Enter Duration (wks)","",IF($Y103="Enter Hrs/Wk","",IF($E$30&gt;='FORMULA REFS'!AM$1,$Y103,"")))</f>
        <v/>
      </c>
      <c r="BC225" s="1286" t="str">
        <f>IF($E$30="Enter Duration (wks)","",IF($Y103="Enter Hrs/Wk","",IF($E$30&gt;='FORMULA REFS'!AN$1,$Y103,"")))</f>
        <v/>
      </c>
      <c r="BD225" s="1286" t="str">
        <f>IF($E$30="Enter Duration (wks)","",IF($Y103="Enter Hrs/Wk","",IF($E$30&gt;='FORMULA REFS'!AO$1,$Y103,"")))</f>
        <v/>
      </c>
      <c r="BE225" s="1286" t="str">
        <f>IF($E$30="Enter Duration (wks)","",IF($Y103="Enter Hrs/Wk","",IF($E$30&gt;='FORMULA REFS'!AP$1,$Y103,"")))</f>
        <v/>
      </c>
      <c r="BF225" s="1286" t="str">
        <f>IF($E$30="Enter Duration (wks)","",IF($Y103="Enter Hrs/Wk","",IF($E$30&gt;='FORMULA REFS'!AQ$1,$Y103,"")))</f>
        <v/>
      </c>
      <c r="BG225" s="1286" t="str">
        <f>IF($E$30="Enter Duration (wks)","",IF($Y103="Enter Hrs/Wk","",IF($E$30&gt;='FORMULA REFS'!AR$1,$Y103,"")))</f>
        <v/>
      </c>
      <c r="BH225" s="1286" t="str">
        <f>IF($E$30="Enter Duration (wks)","",IF($Y103="Enter Hrs/Wk","",IF($E$30&gt;='FORMULA REFS'!AS$1,$Y103,"")))</f>
        <v/>
      </c>
      <c r="BI225" s="1286" t="str">
        <f>IF($E$30="Enter Duration (wks)","",IF($Y103="Enter Hrs/Wk","",IF($E$30&gt;='FORMULA REFS'!AT$1,$Y103,"")))</f>
        <v/>
      </c>
      <c r="BJ225" s="1286" t="str">
        <f>IF($E$30="Enter Duration (wks)","",IF($Y103="Enter Hrs/Wk","",IF($E$30&gt;='FORMULA REFS'!AU$1,$Y103,"")))</f>
        <v/>
      </c>
      <c r="BK225" s="1286" t="str">
        <f>IF($E$30="Enter Duration (wks)","",IF($Y103="Enter Hrs/Wk","",IF($E$30&gt;='FORMULA REFS'!AV$1,$Y103,"")))</f>
        <v/>
      </c>
      <c r="BL225" s="1286" t="str">
        <f>IF($E$30="Enter Duration (wks)","",IF($Y103="Enter Hrs/Wk","",IF($E$30&gt;='FORMULA REFS'!AW$1,$Y103,"")))</f>
        <v/>
      </c>
      <c r="BM225" s="1286" t="str">
        <f>IF($E$30="Enter Duration (wks)","",IF($Y103="Enter Hrs/Wk","",IF($E$30&gt;='FORMULA REFS'!AX$1,$Y103,"")))</f>
        <v/>
      </c>
      <c r="BN225" s="1286" t="str">
        <f>IF($E$30="Enter Duration (wks)","",IF($Y103="Enter Hrs/Wk","",IF($E$30&gt;='FORMULA REFS'!AY$1,$Y103,"")))</f>
        <v/>
      </c>
      <c r="BO225" s="1286" t="str">
        <f>IF($E$30="Enter Duration (wks)","",IF($Y103="Enter Hrs/Wk","",IF($E$30&gt;='FORMULA REFS'!AZ$1,$Y103,"")))</f>
        <v/>
      </c>
    </row>
    <row r="226" spans="3:67" hidden="1" outlineLevel="1" x14ac:dyDescent="0.25">
      <c r="C226" s="1291" t="str">
        <f t="shared" si="82"/>
        <v/>
      </c>
      <c r="D226" s="1319" t="str">
        <f t="shared" si="81"/>
        <v/>
      </c>
      <c r="E226" s="1326"/>
      <c r="F226" s="1327" t="str">
        <f>IF($E$30="Enter Duration (wks)","",IF($Y104="Enter Hrs/Wk","",IF($E$30&gt;='FORMULA REFS'!A$1,$Y104,"")))</f>
        <v/>
      </c>
      <c r="G226" s="1327"/>
      <c r="H226" s="1570"/>
      <c r="I226" s="1329" t="str">
        <f>IF($E$30="Enter Duration (wks)","",IF($Y104="Enter Hrs/Wk","",IF($E$30&gt;='FORMULA REFS'!B$1,$Y104,"")))</f>
        <v/>
      </c>
      <c r="J226" s="1316"/>
      <c r="K226" s="1286" t="str">
        <f>IF($E$30="Enter Duration (wks)","",IF($Y104="Enter Hrs/Wk","",IF($E$30&gt;='FORMULA REFS'!C$1,$Y104,"")))</f>
        <v/>
      </c>
      <c r="L226" s="882" t="str">
        <f>IF($E$30="Enter Duration (wks)","",IF($Y104="Enter Hrs/Wk","",IF($E$30&gt;='FORMULA REFS'!D$1,$Y104,"")))</f>
        <v/>
      </c>
      <c r="M226" s="882" t="str">
        <f>IF($E$30="Enter Duration (wks)","",IF($Y104="Enter Hrs/Wk","",IF($E$30&gt;='FORMULA REFS'!E$1,$Y104,"")))</f>
        <v/>
      </c>
      <c r="N226" s="882" t="str">
        <f>IF($E$30="Enter Duration (wks)","",IF($Y104="Enter Hrs/Wk","",IF($E$30&gt;='FORMULA REFS'!F$1,$Y104,"")))</f>
        <v/>
      </c>
      <c r="O226" s="882" t="str">
        <f>IF($E$30="Enter Duration (wks)","",IF($Y104="Enter Hrs/Wk","",IF($E$30&gt;='FORMULA REFS'!G$1,$Y104,"")))</f>
        <v/>
      </c>
      <c r="P226" s="882" t="str">
        <f>IF($E$30="Enter Duration (wks)","",IF($Y104="Enter Hrs/Wk","",IF($E$30&gt;='FORMULA REFS'!H$1,$Y104,"")))</f>
        <v/>
      </c>
      <c r="Q226" s="882" t="str">
        <f>IF($E$30="Enter Duration (wks)","",IF($Y104="Enter Hrs/Wk","",IF($E$30&gt;='FORMULA REFS'!I$1,$Y104,"")))</f>
        <v/>
      </c>
      <c r="R226" s="882" t="str">
        <f>IF($E$30="Enter Duration (wks)","",IF($Y104="Enter Hrs/Wk","",IF($E$30&gt;='FORMULA REFS'!J$1,$Y104,"")))</f>
        <v/>
      </c>
      <c r="S226" s="882" t="str">
        <f>IF($E$30="Enter Duration (wks)","",IF($Y104="Enter Hrs/Wk","",IF($E$30&gt;='FORMULA REFS'!K$1,$Y104,"")))</f>
        <v/>
      </c>
      <c r="T226" s="1323" t="str">
        <f>IF($E$30="Enter Duration (wks)","",IF($Y104="Enter Hrs/Wk","",IF($E$30&gt;='FORMULA REFS'!L$1,$Y104,"")))</f>
        <v/>
      </c>
      <c r="U226" s="882" t="str">
        <f>IF($E$30="Enter Duration (wks)","",IF($Y104="Enter Hrs/Wk","",IF($E$30&gt;='FORMULA REFS'!M$1,$Y104,"")))</f>
        <v/>
      </c>
      <c r="V226" s="882"/>
      <c r="W226" s="882"/>
      <c r="X226" s="1285"/>
      <c r="Y226" s="1285" t="str">
        <f>IF($E$30="Enter Duration (wks)","",IF($Y104="Enter Hrs/Wk","",IF($E$30&gt;='FORMULA REFS'!N$1,$Y104,"")))</f>
        <v/>
      </c>
      <c r="Z226" s="1343" t="str">
        <f>IF($E$30="Enter Duration (wks)","",IF($Y104="Enter Hrs/Wk","",IF($E$30&gt;='FORMULA REFS'!O$1,$Y104,"")))</f>
        <v/>
      </c>
      <c r="AA226" s="882" t="str">
        <f>IF($E$30="Enter Duration (wks)","",IF($Y104="Enter Hrs/Wk","",IF($E$30&gt;='FORMULA REFS'!P$1,$Y104,"")))</f>
        <v/>
      </c>
      <c r="AB226" s="882" t="str">
        <f>IF($E$30="Enter Duration (wks)","",IF($Y104="Enter Hrs/Wk","",IF($E$30&gt;='FORMULA REFS'!Q$1,$Y104,"")))</f>
        <v/>
      </c>
      <c r="AC226" s="882"/>
      <c r="AD226" s="882"/>
      <c r="AE226" s="882"/>
      <c r="AF226" s="882"/>
      <c r="AG226" s="1286" t="str">
        <f>IF($E$30="Enter Duration (wks)","",IF($Y104="Enter Hrs/Wk","",IF($E$30&gt;='FORMULA REFS'!R$1,$Y104,"")))</f>
        <v/>
      </c>
      <c r="AH226" s="1286" t="str">
        <f>IF($E$30="Enter Duration (wks)","",IF($Y104="Enter Hrs/Wk","",IF($E$30&gt;='FORMULA REFS'!S$1,$Y104,"")))</f>
        <v/>
      </c>
      <c r="AI226" s="1286" t="str">
        <f>IF($E$30="Enter Duration (wks)","",IF($Y104="Enter Hrs/Wk","",IF($E$30&gt;='FORMULA REFS'!T$1,$Y104,"")))</f>
        <v/>
      </c>
      <c r="AJ226" s="1286" t="str">
        <f>IF($E$30="Enter Duration (wks)","",IF($Y104="Enter Hrs/Wk","",IF($E$30&gt;='FORMULA REFS'!U$1,$Y104,"")))</f>
        <v/>
      </c>
      <c r="AK226" s="1286" t="str">
        <f>IF($E$30="Enter Duration (wks)","",IF($Y104="Enter Hrs/Wk","",IF($E$30&gt;='FORMULA REFS'!V$1,$Y104,"")))</f>
        <v/>
      </c>
      <c r="AL226" s="1286" t="str">
        <f>IF($E$30="Enter Duration (wks)","",IF($Y104="Enter Hrs/Wk","",IF($E$30&gt;='FORMULA REFS'!W$1,$Y104,"")))</f>
        <v/>
      </c>
      <c r="AM226" s="1286" t="str">
        <f>IF($E$30="Enter Duration (wks)","",IF($Y104="Enter Hrs/Wk","",IF($E$30&gt;='FORMULA REFS'!X$1,$Y104,"")))</f>
        <v/>
      </c>
      <c r="AN226" s="1286" t="str">
        <f>IF($E$30="Enter Duration (wks)","",IF($Y104="Enter Hrs/Wk","",IF($E$30&gt;='FORMULA REFS'!Y$1,$Y104,"")))</f>
        <v/>
      </c>
      <c r="AO226" s="1286" t="str">
        <f>IF($E$30="Enter Duration (wks)","",IF($Y104="Enter Hrs/Wk","",IF($E$30&gt;='FORMULA REFS'!Z$1,$Y104,"")))</f>
        <v/>
      </c>
      <c r="AP226" s="1286" t="str">
        <f>IF($E$30="Enter Duration (wks)","",IF($Y104="Enter Hrs/Wk","",IF($E$30&gt;='FORMULA REFS'!AA$1,$Y104,"")))</f>
        <v/>
      </c>
      <c r="AQ226" s="1286" t="str">
        <f>IF($E$30="Enter Duration (wks)","",IF($Y104="Enter Hrs/Wk","",IF($E$30&gt;='FORMULA REFS'!AB$1,$Y104,"")))</f>
        <v/>
      </c>
      <c r="AR226" s="1286" t="str">
        <f>IF($E$30="Enter Duration (wks)","",IF($Y104="Enter Hrs/Wk","",IF($E$30&gt;='FORMULA REFS'!AC$1,$Y104,"")))</f>
        <v/>
      </c>
      <c r="AS226" s="1286" t="str">
        <f>IF($E$30="Enter Duration (wks)","",IF($Y104="Enter Hrs/Wk","",IF($E$30&gt;='FORMULA REFS'!AD$1,$Y104,"")))</f>
        <v/>
      </c>
      <c r="AT226" s="1286" t="str">
        <f>IF($E$30="Enter Duration (wks)","",IF($Y104="Enter Hrs/Wk","",IF($E$30&gt;='FORMULA REFS'!AE$1,$Y104,"")))</f>
        <v/>
      </c>
      <c r="AU226" s="1286" t="str">
        <f>IF($E$30="Enter Duration (wks)","",IF($Y104="Enter Hrs/Wk","",IF($E$30&gt;='FORMULA REFS'!AF$1,$Y104,"")))</f>
        <v/>
      </c>
      <c r="AV226" s="1286" t="str">
        <f>IF($E$30="Enter Duration (wks)","",IF($Y104="Enter Hrs/Wk","",IF($E$30&gt;='FORMULA REFS'!AG$1,$Y104,"")))</f>
        <v/>
      </c>
      <c r="AW226" s="1286" t="str">
        <f>IF($E$30="Enter Duration (wks)","",IF($Y104="Enter Hrs/Wk","",IF($E$30&gt;='FORMULA REFS'!AH$1,$Y104,"")))</f>
        <v/>
      </c>
      <c r="AX226" s="1286" t="str">
        <f>IF($E$30="Enter Duration (wks)","",IF($Y104="Enter Hrs/Wk","",IF($E$30&gt;='FORMULA REFS'!AI$1,$Y104,"")))</f>
        <v/>
      </c>
      <c r="AY226" s="1286" t="str">
        <f>IF($E$30="Enter Duration (wks)","",IF($Y104="Enter Hrs/Wk","",IF($E$30&gt;='FORMULA REFS'!AJ$1,$Y104,"")))</f>
        <v/>
      </c>
      <c r="AZ226" s="1286" t="str">
        <f>IF($E$30="Enter Duration (wks)","",IF($Y104="Enter Hrs/Wk","",IF($E$30&gt;='FORMULA REFS'!AK$1,$Y104,"")))</f>
        <v/>
      </c>
      <c r="BA226" s="1286" t="str">
        <f>IF($E$30="Enter Duration (wks)","",IF($Y104="Enter Hrs/Wk","",IF($E$30&gt;='FORMULA REFS'!AL$1,$Y104,"")))</f>
        <v/>
      </c>
      <c r="BB226" s="1286" t="str">
        <f>IF($E$30="Enter Duration (wks)","",IF($Y104="Enter Hrs/Wk","",IF($E$30&gt;='FORMULA REFS'!AM$1,$Y104,"")))</f>
        <v/>
      </c>
      <c r="BC226" s="1286" t="str">
        <f>IF($E$30="Enter Duration (wks)","",IF($Y104="Enter Hrs/Wk","",IF($E$30&gt;='FORMULA REFS'!AN$1,$Y104,"")))</f>
        <v/>
      </c>
      <c r="BD226" s="1286" t="str">
        <f>IF($E$30="Enter Duration (wks)","",IF($Y104="Enter Hrs/Wk","",IF($E$30&gt;='FORMULA REFS'!AO$1,$Y104,"")))</f>
        <v/>
      </c>
      <c r="BE226" s="1286" t="str">
        <f>IF($E$30="Enter Duration (wks)","",IF($Y104="Enter Hrs/Wk","",IF($E$30&gt;='FORMULA REFS'!AP$1,$Y104,"")))</f>
        <v/>
      </c>
      <c r="BF226" s="1286" t="str">
        <f>IF($E$30="Enter Duration (wks)","",IF($Y104="Enter Hrs/Wk","",IF($E$30&gt;='FORMULA REFS'!AQ$1,$Y104,"")))</f>
        <v/>
      </c>
      <c r="BG226" s="1286" t="str">
        <f>IF($E$30="Enter Duration (wks)","",IF($Y104="Enter Hrs/Wk","",IF($E$30&gt;='FORMULA REFS'!AR$1,$Y104,"")))</f>
        <v/>
      </c>
      <c r="BH226" s="1286" t="str">
        <f>IF($E$30="Enter Duration (wks)","",IF($Y104="Enter Hrs/Wk","",IF($E$30&gt;='FORMULA REFS'!AS$1,$Y104,"")))</f>
        <v/>
      </c>
      <c r="BI226" s="1286" t="str">
        <f>IF($E$30="Enter Duration (wks)","",IF($Y104="Enter Hrs/Wk","",IF($E$30&gt;='FORMULA REFS'!AT$1,$Y104,"")))</f>
        <v/>
      </c>
      <c r="BJ226" s="1286" t="str">
        <f>IF($E$30="Enter Duration (wks)","",IF($Y104="Enter Hrs/Wk","",IF($E$30&gt;='FORMULA REFS'!AU$1,$Y104,"")))</f>
        <v/>
      </c>
      <c r="BK226" s="1286" t="str">
        <f>IF($E$30="Enter Duration (wks)","",IF($Y104="Enter Hrs/Wk","",IF($E$30&gt;='FORMULA REFS'!AV$1,$Y104,"")))</f>
        <v/>
      </c>
      <c r="BL226" s="1286" t="str">
        <f>IF($E$30="Enter Duration (wks)","",IF($Y104="Enter Hrs/Wk","",IF($E$30&gt;='FORMULA REFS'!AW$1,$Y104,"")))</f>
        <v/>
      </c>
      <c r="BM226" s="1286" t="str">
        <f>IF($E$30="Enter Duration (wks)","",IF($Y104="Enter Hrs/Wk","",IF($E$30&gt;='FORMULA REFS'!AX$1,$Y104,"")))</f>
        <v/>
      </c>
      <c r="BN226" s="1286" t="str">
        <f>IF($E$30="Enter Duration (wks)","",IF($Y104="Enter Hrs/Wk","",IF($E$30&gt;='FORMULA REFS'!AY$1,$Y104,"")))</f>
        <v/>
      </c>
      <c r="BO226" s="1286" t="str">
        <f>IF($E$30="Enter Duration (wks)","",IF($Y104="Enter Hrs/Wk","",IF($E$30&gt;='FORMULA REFS'!AZ$1,$Y104,"")))</f>
        <v/>
      </c>
    </row>
    <row r="227" spans="3:67" hidden="1" outlineLevel="1" x14ac:dyDescent="0.25">
      <c r="C227" s="1291" t="str">
        <f t="shared" si="82"/>
        <v/>
      </c>
      <c r="D227" s="1319" t="str">
        <f t="shared" si="81"/>
        <v/>
      </c>
      <c r="E227" s="1326"/>
      <c r="F227" s="1327" t="str">
        <f>IF($E$30="Enter Duration (wks)","",IF($Y105="Enter Hrs/Wk","",IF($E$30&gt;='FORMULA REFS'!A$1,$Y105,"")))</f>
        <v/>
      </c>
      <c r="G227" s="1328"/>
      <c r="H227" s="1570"/>
      <c r="I227" s="1329" t="str">
        <f>IF($E$30="Enter Duration (wks)","",IF($Y105="Enter Hrs/Wk","",IF($E$30&gt;='FORMULA REFS'!B$1,$Y105,"")))</f>
        <v/>
      </c>
      <c r="J227" s="1323"/>
      <c r="K227" s="1286" t="str">
        <f>IF($E$30="Enter Duration (wks)","",IF($Y105="Enter Hrs/Wk","",IF($E$30&gt;='FORMULA REFS'!C$1,$Y105,"")))</f>
        <v/>
      </c>
      <c r="L227" s="882" t="str">
        <f>IF($E$30="Enter Duration (wks)","",IF($Y105="Enter Hrs/Wk","",IF($E$30&gt;='FORMULA REFS'!D$1,$Y105,"")))</f>
        <v/>
      </c>
      <c r="M227" s="882" t="str">
        <f>IF($E$30="Enter Duration (wks)","",IF($Y105="Enter Hrs/Wk","",IF($E$30&gt;='FORMULA REFS'!E$1,$Y105,"")))</f>
        <v/>
      </c>
      <c r="N227" s="882" t="str">
        <f>IF($E$30="Enter Duration (wks)","",IF($Y105="Enter Hrs/Wk","",IF($E$30&gt;='FORMULA REFS'!F$1,$Y105,"")))</f>
        <v/>
      </c>
      <c r="O227" s="882" t="str">
        <f>IF($E$30="Enter Duration (wks)","",IF($Y105="Enter Hrs/Wk","",IF($E$30&gt;='FORMULA REFS'!G$1,$Y105,"")))</f>
        <v/>
      </c>
      <c r="P227" s="882" t="str">
        <f>IF($E$30="Enter Duration (wks)","",IF($Y105="Enter Hrs/Wk","",IF($E$30&gt;='FORMULA REFS'!H$1,$Y105,"")))</f>
        <v/>
      </c>
      <c r="Q227" s="882" t="str">
        <f>IF($E$30="Enter Duration (wks)","",IF($Y105="Enter Hrs/Wk","",IF($E$30&gt;='FORMULA REFS'!I$1,$Y105,"")))</f>
        <v/>
      </c>
      <c r="R227" s="882" t="str">
        <f>IF($E$30="Enter Duration (wks)","",IF($Y105="Enter Hrs/Wk","",IF($E$30&gt;='FORMULA REFS'!J$1,$Y105,"")))</f>
        <v/>
      </c>
      <c r="S227" s="882" t="str">
        <f>IF($E$30="Enter Duration (wks)","",IF($Y105="Enter Hrs/Wk","",IF($E$30&gt;='FORMULA REFS'!K$1,$Y105,"")))</f>
        <v/>
      </c>
      <c r="T227" s="1323" t="str">
        <f>IF($E$30="Enter Duration (wks)","",IF($Y105="Enter Hrs/Wk","",IF($E$30&gt;='FORMULA REFS'!L$1,$Y105,"")))</f>
        <v/>
      </c>
      <c r="U227" s="882" t="str">
        <f>IF($E$30="Enter Duration (wks)","",IF($Y105="Enter Hrs/Wk","",IF($E$30&gt;='FORMULA REFS'!M$1,$Y105,"")))</f>
        <v/>
      </c>
      <c r="V227" s="882"/>
      <c r="W227" s="882"/>
      <c r="X227" s="1285"/>
      <c r="Y227" s="1285" t="str">
        <f>IF($E$30="Enter Duration (wks)","",IF($Y105="Enter Hrs/Wk","",IF($E$30&gt;='FORMULA REFS'!N$1,$Y105,"")))</f>
        <v/>
      </c>
      <c r="Z227" s="1343" t="str">
        <f>IF($E$30="Enter Duration (wks)","",IF($Y105="Enter Hrs/Wk","",IF($E$30&gt;='FORMULA REFS'!O$1,$Y105,"")))</f>
        <v/>
      </c>
      <c r="AA227" s="882" t="str">
        <f>IF($E$30="Enter Duration (wks)","",IF($Y105="Enter Hrs/Wk","",IF($E$30&gt;='FORMULA REFS'!P$1,$Y105,"")))</f>
        <v/>
      </c>
      <c r="AB227" s="882" t="str">
        <f>IF($E$30="Enter Duration (wks)","",IF($Y105="Enter Hrs/Wk","",IF($E$30&gt;='FORMULA REFS'!Q$1,$Y105,"")))</f>
        <v/>
      </c>
      <c r="AC227" s="882"/>
      <c r="AD227" s="882"/>
      <c r="AE227" s="882"/>
      <c r="AF227" s="882"/>
      <c r="AG227" s="1286" t="str">
        <f>IF($E$30="Enter Duration (wks)","",IF($Y105="Enter Hrs/Wk","",IF($E$30&gt;='FORMULA REFS'!R$1,$Y105,"")))</f>
        <v/>
      </c>
      <c r="AH227" s="1286" t="str">
        <f>IF($E$30="Enter Duration (wks)","",IF($Y105="Enter Hrs/Wk","",IF($E$30&gt;='FORMULA REFS'!S$1,$Y105,"")))</f>
        <v/>
      </c>
      <c r="AI227" s="1286" t="str">
        <f>IF($E$30="Enter Duration (wks)","",IF($Y105="Enter Hrs/Wk","",IF($E$30&gt;='FORMULA REFS'!T$1,$Y105,"")))</f>
        <v/>
      </c>
      <c r="AJ227" s="1286" t="str">
        <f>IF($E$30="Enter Duration (wks)","",IF($Y105="Enter Hrs/Wk","",IF($E$30&gt;='FORMULA REFS'!U$1,$Y105,"")))</f>
        <v/>
      </c>
      <c r="AK227" s="1286" t="str">
        <f>IF($E$30="Enter Duration (wks)","",IF($Y105="Enter Hrs/Wk","",IF($E$30&gt;='FORMULA REFS'!V$1,$Y105,"")))</f>
        <v/>
      </c>
      <c r="AL227" s="1286" t="str">
        <f>IF($E$30="Enter Duration (wks)","",IF($Y105="Enter Hrs/Wk","",IF($E$30&gt;='FORMULA REFS'!W$1,$Y105,"")))</f>
        <v/>
      </c>
      <c r="AM227" s="1286" t="str">
        <f>IF($E$30="Enter Duration (wks)","",IF($Y105="Enter Hrs/Wk","",IF($E$30&gt;='FORMULA REFS'!X$1,$Y105,"")))</f>
        <v/>
      </c>
      <c r="AN227" s="1286" t="str">
        <f>IF($E$30="Enter Duration (wks)","",IF($Y105="Enter Hrs/Wk","",IF($E$30&gt;='FORMULA REFS'!Y$1,$Y105,"")))</f>
        <v/>
      </c>
      <c r="AO227" s="1286" t="str">
        <f>IF($E$30="Enter Duration (wks)","",IF($Y105="Enter Hrs/Wk","",IF($E$30&gt;='FORMULA REFS'!Z$1,$Y105,"")))</f>
        <v/>
      </c>
      <c r="AP227" s="1286" t="str">
        <f>IF($E$30="Enter Duration (wks)","",IF($Y105="Enter Hrs/Wk","",IF($E$30&gt;='FORMULA REFS'!AA$1,$Y105,"")))</f>
        <v/>
      </c>
      <c r="AQ227" s="1286" t="str">
        <f>IF($E$30="Enter Duration (wks)","",IF($Y105="Enter Hrs/Wk","",IF($E$30&gt;='FORMULA REFS'!AB$1,$Y105,"")))</f>
        <v/>
      </c>
      <c r="AR227" s="1286" t="str">
        <f>IF($E$30="Enter Duration (wks)","",IF($Y105="Enter Hrs/Wk","",IF($E$30&gt;='FORMULA REFS'!AC$1,$Y105,"")))</f>
        <v/>
      </c>
      <c r="AS227" s="1286" t="str">
        <f>IF($E$30="Enter Duration (wks)","",IF($Y105="Enter Hrs/Wk","",IF($E$30&gt;='FORMULA REFS'!AD$1,$Y105,"")))</f>
        <v/>
      </c>
      <c r="AT227" s="1286" t="str">
        <f>IF($E$30="Enter Duration (wks)","",IF($Y105="Enter Hrs/Wk","",IF($E$30&gt;='FORMULA REFS'!AE$1,$Y105,"")))</f>
        <v/>
      </c>
      <c r="AU227" s="1286" t="str">
        <f>IF($E$30="Enter Duration (wks)","",IF($Y105="Enter Hrs/Wk","",IF($E$30&gt;='FORMULA REFS'!AF$1,$Y105,"")))</f>
        <v/>
      </c>
      <c r="AV227" s="1286" t="str">
        <f>IF($E$30="Enter Duration (wks)","",IF($Y105="Enter Hrs/Wk","",IF($E$30&gt;='FORMULA REFS'!AG$1,$Y105,"")))</f>
        <v/>
      </c>
      <c r="AW227" s="1286" t="str">
        <f>IF($E$30="Enter Duration (wks)","",IF($Y105="Enter Hrs/Wk","",IF($E$30&gt;='FORMULA REFS'!AH$1,$Y105,"")))</f>
        <v/>
      </c>
      <c r="AX227" s="1286" t="str">
        <f>IF($E$30="Enter Duration (wks)","",IF($Y105="Enter Hrs/Wk","",IF($E$30&gt;='FORMULA REFS'!AI$1,$Y105,"")))</f>
        <v/>
      </c>
      <c r="AY227" s="1286" t="str">
        <f>IF($E$30="Enter Duration (wks)","",IF($Y105="Enter Hrs/Wk","",IF($E$30&gt;='FORMULA REFS'!AJ$1,$Y105,"")))</f>
        <v/>
      </c>
      <c r="AZ227" s="1286" t="str">
        <f>IF($E$30="Enter Duration (wks)","",IF($Y105="Enter Hrs/Wk","",IF($E$30&gt;='FORMULA REFS'!AK$1,$Y105,"")))</f>
        <v/>
      </c>
      <c r="BA227" s="1286" t="str">
        <f>IF($E$30="Enter Duration (wks)","",IF($Y105="Enter Hrs/Wk","",IF($E$30&gt;='FORMULA REFS'!AL$1,$Y105,"")))</f>
        <v/>
      </c>
      <c r="BB227" s="1286" t="str">
        <f>IF($E$30="Enter Duration (wks)","",IF($Y105="Enter Hrs/Wk","",IF($E$30&gt;='FORMULA REFS'!AM$1,$Y105,"")))</f>
        <v/>
      </c>
      <c r="BC227" s="1286" t="str">
        <f>IF($E$30="Enter Duration (wks)","",IF($Y105="Enter Hrs/Wk","",IF($E$30&gt;='FORMULA REFS'!AN$1,$Y105,"")))</f>
        <v/>
      </c>
      <c r="BD227" s="1286" t="str">
        <f>IF($E$30="Enter Duration (wks)","",IF($Y105="Enter Hrs/Wk","",IF($E$30&gt;='FORMULA REFS'!AO$1,$Y105,"")))</f>
        <v/>
      </c>
      <c r="BE227" s="1286" t="str">
        <f>IF($E$30="Enter Duration (wks)","",IF($Y105="Enter Hrs/Wk","",IF($E$30&gt;='FORMULA REFS'!AP$1,$Y105,"")))</f>
        <v/>
      </c>
      <c r="BF227" s="1286" t="str">
        <f>IF($E$30="Enter Duration (wks)","",IF($Y105="Enter Hrs/Wk","",IF($E$30&gt;='FORMULA REFS'!AQ$1,$Y105,"")))</f>
        <v/>
      </c>
      <c r="BG227" s="1286" t="str">
        <f>IF($E$30="Enter Duration (wks)","",IF($Y105="Enter Hrs/Wk","",IF($E$30&gt;='FORMULA REFS'!AR$1,$Y105,"")))</f>
        <v/>
      </c>
      <c r="BH227" s="1286" t="str">
        <f>IF($E$30="Enter Duration (wks)","",IF($Y105="Enter Hrs/Wk","",IF($E$30&gt;='FORMULA REFS'!AS$1,$Y105,"")))</f>
        <v/>
      </c>
      <c r="BI227" s="1286" t="str">
        <f>IF($E$30="Enter Duration (wks)","",IF($Y105="Enter Hrs/Wk","",IF($E$30&gt;='FORMULA REFS'!AT$1,$Y105,"")))</f>
        <v/>
      </c>
      <c r="BJ227" s="1286" t="str">
        <f>IF($E$30="Enter Duration (wks)","",IF($Y105="Enter Hrs/Wk","",IF($E$30&gt;='FORMULA REFS'!AU$1,$Y105,"")))</f>
        <v/>
      </c>
      <c r="BK227" s="1286" t="str">
        <f>IF($E$30="Enter Duration (wks)","",IF($Y105="Enter Hrs/Wk","",IF($E$30&gt;='FORMULA REFS'!AV$1,$Y105,"")))</f>
        <v/>
      </c>
      <c r="BL227" s="1286" t="str">
        <f>IF($E$30="Enter Duration (wks)","",IF($Y105="Enter Hrs/Wk","",IF($E$30&gt;='FORMULA REFS'!AW$1,$Y105,"")))</f>
        <v/>
      </c>
      <c r="BM227" s="1286" t="str">
        <f>IF($E$30="Enter Duration (wks)","",IF($Y105="Enter Hrs/Wk","",IF($E$30&gt;='FORMULA REFS'!AX$1,$Y105,"")))</f>
        <v/>
      </c>
      <c r="BN227" s="1286" t="str">
        <f>IF($E$30="Enter Duration (wks)","",IF($Y105="Enter Hrs/Wk","",IF($E$30&gt;='FORMULA REFS'!AY$1,$Y105,"")))</f>
        <v/>
      </c>
      <c r="BO227" s="1286" t="str">
        <f>IF($E$30="Enter Duration (wks)","",IF($Y105="Enter Hrs/Wk","",IF($E$30&gt;='FORMULA REFS'!AZ$1,$Y105,"")))</f>
        <v/>
      </c>
    </row>
    <row r="228" spans="3:67" hidden="1" outlineLevel="1" x14ac:dyDescent="0.25">
      <c r="C228" s="1291" t="str">
        <f t="shared" si="82"/>
        <v/>
      </c>
      <c r="D228" s="1319" t="str">
        <f t="shared" si="81"/>
        <v/>
      </c>
      <c r="E228" s="1326"/>
      <c r="F228" s="1327" t="str">
        <f>IF($E$30="Enter Duration (wks)","",IF($Y106="Enter Hrs/Wk","",IF($E$30&gt;='FORMULA REFS'!A$1,$Y106,"")))</f>
        <v/>
      </c>
      <c r="G228" s="1328"/>
      <c r="H228" s="1570"/>
      <c r="I228" s="1329" t="str">
        <f>IF($E$30="Enter Duration (wks)","",IF($Y106="Enter Hrs/Wk","",IF($E$30&gt;='FORMULA REFS'!B$1,$Y106,"")))</f>
        <v/>
      </c>
      <c r="J228" s="1323"/>
      <c r="K228" s="1286" t="str">
        <f>IF($E$30="Enter Duration (wks)","",IF($Y106="Enter Hrs/Wk","",IF($E$30&gt;='FORMULA REFS'!C$1,$Y106,"")))</f>
        <v/>
      </c>
      <c r="L228" s="882" t="str">
        <f>IF($E$30="Enter Duration (wks)","",IF($Y106="Enter Hrs/Wk","",IF($E$30&gt;='FORMULA REFS'!D$1,$Y106,"")))</f>
        <v/>
      </c>
      <c r="M228" s="882" t="str">
        <f>IF($E$30="Enter Duration (wks)","",IF($Y106="Enter Hrs/Wk","",IF($E$30&gt;='FORMULA REFS'!E$1,$Y106,"")))</f>
        <v/>
      </c>
      <c r="N228" s="882" t="str">
        <f>IF($E$30="Enter Duration (wks)","",IF($Y106="Enter Hrs/Wk","",IF($E$30&gt;='FORMULA REFS'!F$1,$Y106,"")))</f>
        <v/>
      </c>
      <c r="O228" s="882" t="str">
        <f>IF($E$30="Enter Duration (wks)","",IF($Y106="Enter Hrs/Wk","",IF($E$30&gt;='FORMULA REFS'!G$1,$Y106,"")))</f>
        <v/>
      </c>
      <c r="P228" s="882" t="str">
        <f>IF($E$30="Enter Duration (wks)","",IF($Y106="Enter Hrs/Wk","",IF($E$30&gt;='FORMULA REFS'!H$1,$Y106,"")))</f>
        <v/>
      </c>
      <c r="Q228" s="882" t="str">
        <f>IF($E$30="Enter Duration (wks)","",IF($Y106="Enter Hrs/Wk","",IF($E$30&gt;='FORMULA REFS'!I$1,$Y106,"")))</f>
        <v/>
      </c>
      <c r="R228" s="882" t="str">
        <f>IF($E$30="Enter Duration (wks)","",IF($Y106="Enter Hrs/Wk","",IF($E$30&gt;='FORMULA REFS'!J$1,$Y106,"")))</f>
        <v/>
      </c>
      <c r="S228" s="882" t="str">
        <f>IF($E$30="Enter Duration (wks)","",IF($Y106="Enter Hrs/Wk","",IF($E$30&gt;='FORMULA REFS'!K$1,$Y106,"")))</f>
        <v/>
      </c>
      <c r="T228" s="1323" t="str">
        <f>IF($E$30="Enter Duration (wks)","",IF($Y106="Enter Hrs/Wk","",IF($E$30&gt;='FORMULA REFS'!L$1,$Y106,"")))</f>
        <v/>
      </c>
      <c r="U228" s="882" t="str">
        <f>IF($E$30="Enter Duration (wks)","",IF($Y106="Enter Hrs/Wk","",IF($E$30&gt;='FORMULA REFS'!M$1,$Y106,"")))</f>
        <v/>
      </c>
      <c r="V228" s="882"/>
      <c r="W228" s="882"/>
      <c r="X228" s="1285"/>
      <c r="Y228" s="1285" t="str">
        <f>IF($E$30="Enter Duration (wks)","",IF($Y106="Enter Hrs/Wk","",IF($E$30&gt;='FORMULA REFS'!N$1,$Y106,"")))</f>
        <v/>
      </c>
      <c r="Z228" s="1343" t="str">
        <f>IF($E$30="Enter Duration (wks)","",IF($Y106="Enter Hrs/Wk","",IF($E$30&gt;='FORMULA REFS'!O$1,$Y106,"")))</f>
        <v/>
      </c>
      <c r="AA228" s="882" t="str">
        <f>IF($E$30="Enter Duration (wks)","",IF($Y106="Enter Hrs/Wk","",IF($E$30&gt;='FORMULA REFS'!P$1,$Y106,"")))</f>
        <v/>
      </c>
      <c r="AB228" s="882" t="str">
        <f>IF($E$30="Enter Duration (wks)","",IF($Y106="Enter Hrs/Wk","",IF($E$30&gt;='FORMULA REFS'!Q$1,$Y106,"")))</f>
        <v/>
      </c>
      <c r="AC228" s="882"/>
      <c r="AD228" s="882"/>
      <c r="AE228" s="882"/>
      <c r="AF228" s="882"/>
      <c r="AG228" s="1286" t="str">
        <f>IF($E$30="Enter Duration (wks)","",IF($Y106="Enter Hrs/Wk","",IF($E$30&gt;='FORMULA REFS'!R$1,$Y106,"")))</f>
        <v/>
      </c>
      <c r="AH228" s="1286" t="str">
        <f>IF($E$30="Enter Duration (wks)","",IF($Y106="Enter Hrs/Wk","",IF($E$30&gt;='FORMULA REFS'!S$1,$Y106,"")))</f>
        <v/>
      </c>
      <c r="AI228" s="1286" t="str">
        <f>IF($E$30="Enter Duration (wks)","",IF($Y106="Enter Hrs/Wk","",IF($E$30&gt;='FORMULA REFS'!T$1,$Y106,"")))</f>
        <v/>
      </c>
      <c r="AJ228" s="1286" t="str">
        <f>IF($E$30="Enter Duration (wks)","",IF($Y106="Enter Hrs/Wk","",IF($E$30&gt;='FORMULA REFS'!U$1,$Y106,"")))</f>
        <v/>
      </c>
      <c r="AK228" s="1286" t="str">
        <f>IF($E$30="Enter Duration (wks)","",IF($Y106="Enter Hrs/Wk","",IF($E$30&gt;='FORMULA REFS'!V$1,$Y106,"")))</f>
        <v/>
      </c>
      <c r="AL228" s="1286" t="str">
        <f>IF($E$30="Enter Duration (wks)","",IF($Y106="Enter Hrs/Wk","",IF($E$30&gt;='FORMULA REFS'!W$1,$Y106,"")))</f>
        <v/>
      </c>
      <c r="AM228" s="1286" t="str">
        <f>IF($E$30="Enter Duration (wks)","",IF($Y106="Enter Hrs/Wk","",IF($E$30&gt;='FORMULA REFS'!X$1,$Y106,"")))</f>
        <v/>
      </c>
      <c r="AN228" s="1286" t="str">
        <f>IF($E$30="Enter Duration (wks)","",IF($Y106="Enter Hrs/Wk","",IF($E$30&gt;='FORMULA REFS'!Y$1,$Y106,"")))</f>
        <v/>
      </c>
      <c r="AO228" s="1286" t="str">
        <f>IF($E$30="Enter Duration (wks)","",IF($Y106="Enter Hrs/Wk","",IF($E$30&gt;='FORMULA REFS'!Z$1,$Y106,"")))</f>
        <v/>
      </c>
      <c r="AP228" s="1286" t="str">
        <f>IF($E$30="Enter Duration (wks)","",IF($Y106="Enter Hrs/Wk","",IF($E$30&gt;='FORMULA REFS'!AA$1,$Y106,"")))</f>
        <v/>
      </c>
      <c r="AQ228" s="1286" t="str">
        <f>IF($E$30="Enter Duration (wks)","",IF($Y106="Enter Hrs/Wk","",IF($E$30&gt;='FORMULA REFS'!AB$1,$Y106,"")))</f>
        <v/>
      </c>
      <c r="AR228" s="1286" t="str">
        <f>IF($E$30="Enter Duration (wks)","",IF($Y106="Enter Hrs/Wk","",IF($E$30&gt;='FORMULA REFS'!AC$1,$Y106,"")))</f>
        <v/>
      </c>
      <c r="AS228" s="1286" t="str">
        <f>IF($E$30="Enter Duration (wks)","",IF($Y106="Enter Hrs/Wk","",IF($E$30&gt;='FORMULA REFS'!AD$1,$Y106,"")))</f>
        <v/>
      </c>
      <c r="AT228" s="1286" t="str">
        <f>IF($E$30="Enter Duration (wks)","",IF($Y106="Enter Hrs/Wk","",IF($E$30&gt;='FORMULA REFS'!AE$1,$Y106,"")))</f>
        <v/>
      </c>
      <c r="AU228" s="1286" t="str">
        <f>IF($E$30="Enter Duration (wks)","",IF($Y106="Enter Hrs/Wk","",IF($E$30&gt;='FORMULA REFS'!AF$1,$Y106,"")))</f>
        <v/>
      </c>
      <c r="AV228" s="1286" t="str">
        <f>IF($E$30="Enter Duration (wks)","",IF($Y106="Enter Hrs/Wk","",IF($E$30&gt;='FORMULA REFS'!AG$1,$Y106,"")))</f>
        <v/>
      </c>
      <c r="AW228" s="1286" t="str">
        <f>IF($E$30="Enter Duration (wks)","",IF($Y106="Enter Hrs/Wk","",IF($E$30&gt;='FORMULA REFS'!AH$1,$Y106,"")))</f>
        <v/>
      </c>
      <c r="AX228" s="1286" t="str">
        <f>IF($E$30="Enter Duration (wks)","",IF($Y106="Enter Hrs/Wk","",IF($E$30&gt;='FORMULA REFS'!AI$1,$Y106,"")))</f>
        <v/>
      </c>
      <c r="AY228" s="1286" t="str">
        <f>IF($E$30="Enter Duration (wks)","",IF($Y106="Enter Hrs/Wk","",IF($E$30&gt;='FORMULA REFS'!AJ$1,$Y106,"")))</f>
        <v/>
      </c>
      <c r="AZ228" s="1286" t="str">
        <f>IF($E$30="Enter Duration (wks)","",IF($Y106="Enter Hrs/Wk","",IF($E$30&gt;='FORMULA REFS'!AK$1,$Y106,"")))</f>
        <v/>
      </c>
      <c r="BA228" s="1286" t="str">
        <f>IF($E$30="Enter Duration (wks)","",IF($Y106="Enter Hrs/Wk","",IF($E$30&gt;='FORMULA REFS'!AL$1,$Y106,"")))</f>
        <v/>
      </c>
      <c r="BB228" s="1286" t="str">
        <f>IF($E$30="Enter Duration (wks)","",IF($Y106="Enter Hrs/Wk","",IF($E$30&gt;='FORMULA REFS'!AM$1,$Y106,"")))</f>
        <v/>
      </c>
      <c r="BC228" s="1286" t="str">
        <f>IF($E$30="Enter Duration (wks)","",IF($Y106="Enter Hrs/Wk","",IF($E$30&gt;='FORMULA REFS'!AN$1,$Y106,"")))</f>
        <v/>
      </c>
      <c r="BD228" s="1286" t="str">
        <f>IF($E$30="Enter Duration (wks)","",IF($Y106="Enter Hrs/Wk","",IF($E$30&gt;='FORMULA REFS'!AO$1,$Y106,"")))</f>
        <v/>
      </c>
      <c r="BE228" s="1286" t="str">
        <f>IF($E$30="Enter Duration (wks)","",IF($Y106="Enter Hrs/Wk","",IF($E$30&gt;='FORMULA REFS'!AP$1,$Y106,"")))</f>
        <v/>
      </c>
      <c r="BF228" s="1286" t="str">
        <f>IF($E$30="Enter Duration (wks)","",IF($Y106="Enter Hrs/Wk","",IF($E$30&gt;='FORMULA REFS'!AQ$1,$Y106,"")))</f>
        <v/>
      </c>
      <c r="BG228" s="1286" t="str">
        <f>IF($E$30="Enter Duration (wks)","",IF($Y106="Enter Hrs/Wk","",IF($E$30&gt;='FORMULA REFS'!AR$1,$Y106,"")))</f>
        <v/>
      </c>
      <c r="BH228" s="1286" t="str">
        <f>IF($E$30="Enter Duration (wks)","",IF($Y106="Enter Hrs/Wk","",IF($E$30&gt;='FORMULA REFS'!AS$1,$Y106,"")))</f>
        <v/>
      </c>
      <c r="BI228" s="1286" t="str">
        <f>IF($E$30="Enter Duration (wks)","",IF($Y106="Enter Hrs/Wk","",IF($E$30&gt;='FORMULA REFS'!AT$1,$Y106,"")))</f>
        <v/>
      </c>
      <c r="BJ228" s="1286" t="str">
        <f>IF($E$30="Enter Duration (wks)","",IF($Y106="Enter Hrs/Wk","",IF($E$30&gt;='FORMULA REFS'!AU$1,$Y106,"")))</f>
        <v/>
      </c>
      <c r="BK228" s="1286" t="str">
        <f>IF($E$30="Enter Duration (wks)","",IF($Y106="Enter Hrs/Wk","",IF($E$30&gt;='FORMULA REFS'!AV$1,$Y106,"")))</f>
        <v/>
      </c>
      <c r="BL228" s="1286" t="str">
        <f>IF($E$30="Enter Duration (wks)","",IF($Y106="Enter Hrs/Wk","",IF($E$30&gt;='FORMULA REFS'!AW$1,$Y106,"")))</f>
        <v/>
      </c>
      <c r="BM228" s="1286" t="str">
        <f>IF($E$30="Enter Duration (wks)","",IF($Y106="Enter Hrs/Wk","",IF($E$30&gt;='FORMULA REFS'!AX$1,$Y106,"")))</f>
        <v/>
      </c>
      <c r="BN228" s="1286" t="str">
        <f>IF($E$30="Enter Duration (wks)","",IF($Y106="Enter Hrs/Wk","",IF($E$30&gt;='FORMULA REFS'!AY$1,$Y106,"")))</f>
        <v/>
      </c>
      <c r="BO228" s="1286" t="str">
        <f>IF($E$30="Enter Duration (wks)","",IF($Y106="Enter Hrs/Wk","",IF($E$30&gt;='FORMULA REFS'!AZ$1,$Y106,"")))</f>
        <v/>
      </c>
    </row>
    <row r="229" spans="3:67" hidden="1" outlineLevel="1" x14ac:dyDescent="0.25">
      <c r="C229" s="1291" t="str">
        <f t="shared" si="82"/>
        <v/>
      </c>
      <c r="D229" s="1319" t="str">
        <f t="shared" si="81"/>
        <v/>
      </c>
      <c r="E229" s="1326"/>
      <c r="F229" s="1327" t="str">
        <f>IF($E$30="Enter Duration (wks)","",IF($Y107="Enter Hrs/Wk","",IF($E$30&gt;='FORMULA REFS'!A$1,$Y107,"")))</f>
        <v/>
      </c>
      <c r="G229" s="1328"/>
      <c r="H229" s="1570"/>
      <c r="I229" s="1329" t="str">
        <f>IF($E$30="Enter Duration (wks)","",IF($Y107="Enter Hrs/Wk","",IF($E$30&gt;='FORMULA REFS'!B$1,$Y107,"")))</f>
        <v/>
      </c>
      <c r="J229" s="1323"/>
      <c r="K229" s="1286" t="str">
        <f>IF($E$30="Enter Duration (wks)","",IF($Y107="Enter Hrs/Wk","",IF($E$30&gt;='FORMULA REFS'!C$1,$Y107,"")))</f>
        <v/>
      </c>
      <c r="L229" s="882" t="str">
        <f>IF($E$30="Enter Duration (wks)","",IF($Y107="Enter Hrs/Wk","",IF($E$30&gt;='FORMULA REFS'!D$1,$Y107,"")))</f>
        <v/>
      </c>
      <c r="M229" s="882" t="str">
        <f>IF($E$30="Enter Duration (wks)","",IF($Y107="Enter Hrs/Wk","",IF($E$30&gt;='FORMULA REFS'!E$1,$Y107,"")))</f>
        <v/>
      </c>
      <c r="N229" s="882" t="str">
        <f>IF($E$30="Enter Duration (wks)","",IF($Y107="Enter Hrs/Wk","",IF($E$30&gt;='FORMULA REFS'!F$1,$Y107,"")))</f>
        <v/>
      </c>
      <c r="O229" s="882" t="str">
        <f>IF($E$30="Enter Duration (wks)","",IF($Y107="Enter Hrs/Wk","",IF($E$30&gt;='FORMULA REFS'!G$1,$Y107,"")))</f>
        <v/>
      </c>
      <c r="P229" s="882" t="str">
        <f>IF($E$30="Enter Duration (wks)","",IF($Y107="Enter Hrs/Wk","",IF($E$30&gt;='FORMULA REFS'!H$1,$Y107,"")))</f>
        <v/>
      </c>
      <c r="Q229" s="882" t="str">
        <f>IF($E$30="Enter Duration (wks)","",IF($Y107="Enter Hrs/Wk","",IF($E$30&gt;='FORMULA REFS'!I$1,$Y107,"")))</f>
        <v/>
      </c>
      <c r="R229" s="882" t="str">
        <f>IF($E$30="Enter Duration (wks)","",IF($Y107="Enter Hrs/Wk","",IF($E$30&gt;='FORMULA REFS'!J$1,$Y107,"")))</f>
        <v/>
      </c>
      <c r="S229" s="882" t="str">
        <f>IF($E$30="Enter Duration (wks)","",IF($Y107="Enter Hrs/Wk","",IF($E$30&gt;='FORMULA REFS'!K$1,$Y107,"")))</f>
        <v/>
      </c>
      <c r="T229" s="1323" t="str">
        <f>IF($E$30="Enter Duration (wks)","",IF($Y107="Enter Hrs/Wk","",IF($E$30&gt;='FORMULA REFS'!L$1,$Y107,"")))</f>
        <v/>
      </c>
      <c r="U229" s="882" t="str">
        <f>IF($E$30="Enter Duration (wks)","",IF($Y107="Enter Hrs/Wk","",IF($E$30&gt;='FORMULA REFS'!M$1,$Y107,"")))</f>
        <v/>
      </c>
      <c r="V229" s="882"/>
      <c r="W229" s="882"/>
      <c r="X229" s="1285"/>
      <c r="Y229" s="1285" t="str">
        <f>IF($E$30="Enter Duration (wks)","",IF($Y107="Enter Hrs/Wk","",IF($E$30&gt;='FORMULA REFS'!N$1,$Y107,"")))</f>
        <v/>
      </c>
      <c r="Z229" s="1343" t="str">
        <f>IF($E$30="Enter Duration (wks)","",IF($Y107="Enter Hrs/Wk","",IF($E$30&gt;='FORMULA REFS'!O$1,$Y107,"")))</f>
        <v/>
      </c>
      <c r="AA229" s="882" t="str">
        <f>IF($E$30="Enter Duration (wks)","",IF($Y107="Enter Hrs/Wk","",IF($E$30&gt;='FORMULA REFS'!P$1,$Y107,"")))</f>
        <v/>
      </c>
      <c r="AB229" s="882" t="str">
        <f>IF($E$30="Enter Duration (wks)","",IF($Y107="Enter Hrs/Wk","",IF($E$30&gt;='FORMULA REFS'!Q$1,$Y107,"")))</f>
        <v/>
      </c>
      <c r="AC229" s="882"/>
      <c r="AD229" s="882"/>
      <c r="AE229" s="882"/>
      <c r="AF229" s="882"/>
      <c r="AG229" s="1286" t="str">
        <f>IF($E$30="Enter Duration (wks)","",IF($Y107="Enter Hrs/Wk","",IF($E$30&gt;='FORMULA REFS'!R$1,$Y107,"")))</f>
        <v/>
      </c>
      <c r="AH229" s="1286" t="str">
        <f>IF($E$30="Enter Duration (wks)","",IF($Y107="Enter Hrs/Wk","",IF($E$30&gt;='FORMULA REFS'!S$1,$Y107,"")))</f>
        <v/>
      </c>
      <c r="AI229" s="1286" t="str">
        <f>IF($E$30="Enter Duration (wks)","",IF($Y107="Enter Hrs/Wk","",IF($E$30&gt;='FORMULA REFS'!T$1,$Y107,"")))</f>
        <v/>
      </c>
      <c r="AJ229" s="1286" t="str">
        <f>IF($E$30="Enter Duration (wks)","",IF($Y107="Enter Hrs/Wk","",IF($E$30&gt;='FORMULA REFS'!U$1,$Y107,"")))</f>
        <v/>
      </c>
      <c r="AK229" s="1286" t="str">
        <f>IF($E$30="Enter Duration (wks)","",IF($Y107="Enter Hrs/Wk","",IF($E$30&gt;='FORMULA REFS'!V$1,$Y107,"")))</f>
        <v/>
      </c>
      <c r="AL229" s="1286" t="str">
        <f>IF($E$30="Enter Duration (wks)","",IF($Y107="Enter Hrs/Wk","",IF($E$30&gt;='FORMULA REFS'!W$1,$Y107,"")))</f>
        <v/>
      </c>
      <c r="AM229" s="1286" t="str">
        <f>IF($E$30="Enter Duration (wks)","",IF($Y107="Enter Hrs/Wk","",IF($E$30&gt;='FORMULA REFS'!X$1,$Y107,"")))</f>
        <v/>
      </c>
      <c r="AN229" s="1286" t="str">
        <f>IF($E$30="Enter Duration (wks)","",IF($Y107="Enter Hrs/Wk","",IF($E$30&gt;='FORMULA REFS'!Y$1,$Y107,"")))</f>
        <v/>
      </c>
      <c r="AO229" s="1286" t="str">
        <f>IF($E$30="Enter Duration (wks)","",IF($Y107="Enter Hrs/Wk","",IF($E$30&gt;='FORMULA REFS'!Z$1,$Y107,"")))</f>
        <v/>
      </c>
      <c r="AP229" s="1286" t="str">
        <f>IF($E$30="Enter Duration (wks)","",IF($Y107="Enter Hrs/Wk","",IF($E$30&gt;='FORMULA REFS'!AA$1,$Y107,"")))</f>
        <v/>
      </c>
      <c r="AQ229" s="1286" t="str">
        <f>IF($E$30="Enter Duration (wks)","",IF($Y107="Enter Hrs/Wk","",IF($E$30&gt;='FORMULA REFS'!AB$1,$Y107,"")))</f>
        <v/>
      </c>
      <c r="AR229" s="1286" t="str">
        <f>IF($E$30="Enter Duration (wks)","",IF($Y107="Enter Hrs/Wk","",IF($E$30&gt;='FORMULA REFS'!AC$1,$Y107,"")))</f>
        <v/>
      </c>
      <c r="AS229" s="1286" t="str">
        <f>IF($E$30="Enter Duration (wks)","",IF($Y107="Enter Hrs/Wk","",IF($E$30&gt;='FORMULA REFS'!AD$1,$Y107,"")))</f>
        <v/>
      </c>
      <c r="AT229" s="1286" t="str">
        <f>IF($E$30="Enter Duration (wks)","",IF($Y107="Enter Hrs/Wk","",IF($E$30&gt;='FORMULA REFS'!AE$1,$Y107,"")))</f>
        <v/>
      </c>
      <c r="AU229" s="1286" t="str">
        <f>IF($E$30="Enter Duration (wks)","",IF($Y107="Enter Hrs/Wk","",IF($E$30&gt;='FORMULA REFS'!AF$1,$Y107,"")))</f>
        <v/>
      </c>
      <c r="AV229" s="1286" t="str">
        <f>IF($E$30="Enter Duration (wks)","",IF($Y107="Enter Hrs/Wk","",IF($E$30&gt;='FORMULA REFS'!AG$1,$Y107,"")))</f>
        <v/>
      </c>
      <c r="AW229" s="1286" t="str">
        <f>IF($E$30="Enter Duration (wks)","",IF($Y107="Enter Hrs/Wk","",IF($E$30&gt;='FORMULA REFS'!AH$1,$Y107,"")))</f>
        <v/>
      </c>
      <c r="AX229" s="1286" t="str">
        <f>IF($E$30="Enter Duration (wks)","",IF($Y107="Enter Hrs/Wk","",IF($E$30&gt;='FORMULA REFS'!AI$1,$Y107,"")))</f>
        <v/>
      </c>
      <c r="AY229" s="1286" t="str">
        <f>IF($E$30="Enter Duration (wks)","",IF($Y107="Enter Hrs/Wk","",IF($E$30&gt;='FORMULA REFS'!AJ$1,$Y107,"")))</f>
        <v/>
      </c>
      <c r="AZ229" s="1286" t="str">
        <f>IF($E$30="Enter Duration (wks)","",IF($Y107="Enter Hrs/Wk","",IF($E$30&gt;='FORMULA REFS'!AK$1,$Y107,"")))</f>
        <v/>
      </c>
      <c r="BA229" s="1286" t="str">
        <f>IF($E$30="Enter Duration (wks)","",IF($Y107="Enter Hrs/Wk","",IF($E$30&gt;='FORMULA REFS'!AL$1,$Y107,"")))</f>
        <v/>
      </c>
      <c r="BB229" s="1286" t="str">
        <f>IF($E$30="Enter Duration (wks)","",IF($Y107="Enter Hrs/Wk","",IF($E$30&gt;='FORMULA REFS'!AM$1,$Y107,"")))</f>
        <v/>
      </c>
      <c r="BC229" s="1286" t="str">
        <f>IF($E$30="Enter Duration (wks)","",IF($Y107="Enter Hrs/Wk","",IF($E$30&gt;='FORMULA REFS'!AN$1,$Y107,"")))</f>
        <v/>
      </c>
      <c r="BD229" s="1286" t="str">
        <f>IF($E$30="Enter Duration (wks)","",IF($Y107="Enter Hrs/Wk","",IF($E$30&gt;='FORMULA REFS'!AO$1,$Y107,"")))</f>
        <v/>
      </c>
      <c r="BE229" s="1286" t="str">
        <f>IF($E$30="Enter Duration (wks)","",IF($Y107="Enter Hrs/Wk","",IF($E$30&gt;='FORMULA REFS'!AP$1,$Y107,"")))</f>
        <v/>
      </c>
      <c r="BF229" s="1286" t="str">
        <f>IF($E$30="Enter Duration (wks)","",IF($Y107="Enter Hrs/Wk","",IF($E$30&gt;='FORMULA REFS'!AQ$1,$Y107,"")))</f>
        <v/>
      </c>
      <c r="BG229" s="1286" t="str">
        <f>IF($E$30="Enter Duration (wks)","",IF($Y107="Enter Hrs/Wk","",IF($E$30&gt;='FORMULA REFS'!AR$1,$Y107,"")))</f>
        <v/>
      </c>
      <c r="BH229" s="1286" t="str">
        <f>IF($E$30="Enter Duration (wks)","",IF($Y107="Enter Hrs/Wk","",IF($E$30&gt;='FORMULA REFS'!AS$1,$Y107,"")))</f>
        <v/>
      </c>
      <c r="BI229" s="1286" t="str">
        <f>IF($E$30="Enter Duration (wks)","",IF($Y107="Enter Hrs/Wk","",IF($E$30&gt;='FORMULA REFS'!AT$1,$Y107,"")))</f>
        <v/>
      </c>
      <c r="BJ229" s="1286" t="str">
        <f>IF($E$30="Enter Duration (wks)","",IF($Y107="Enter Hrs/Wk","",IF($E$30&gt;='FORMULA REFS'!AU$1,$Y107,"")))</f>
        <v/>
      </c>
      <c r="BK229" s="1286" t="str">
        <f>IF($E$30="Enter Duration (wks)","",IF($Y107="Enter Hrs/Wk","",IF($E$30&gt;='FORMULA REFS'!AV$1,$Y107,"")))</f>
        <v/>
      </c>
      <c r="BL229" s="1286" t="str">
        <f>IF($E$30="Enter Duration (wks)","",IF($Y107="Enter Hrs/Wk","",IF($E$30&gt;='FORMULA REFS'!AW$1,$Y107,"")))</f>
        <v/>
      </c>
      <c r="BM229" s="1286" t="str">
        <f>IF($E$30="Enter Duration (wks)","",IF($Y107="Enter Hrs/Wk","",IF($E$30&gt;='FORMULA REFS'!AX$1,$Y107,"")))</f>
        <v/>
      </c>
      <c r="BN229" s="1286" t="str">
        <f>IF($E$30="Enter Duration (wks)","",IF($Y107="Enter Hrs/Wk","",IF($E$30&gt;='FORMULA REFS'!AY$1,$Y107,"")))</f>
        <v/>
      </c>
      <c r="BO229" s="1286" t="str">
        <f>IF($E$30="Enter Duration (wks)","",IF($Y107="Enter Hrs/Wk","",IF($E$30&gt;='FORMULA REFS'!AZ$1,$Y107,"")))</f>
        <v/>
      </c>
    </row>
    <row r="230" spans="3:67" hidden="1" outlineLevel="1" x14ac:dyDescent="0.25">
      <c r="C230" s="1291" t="str">
        <f t="shared" si="82"/>
        <v/>
      </c>
      <c r="D230" s="1319" t="str">
        <f t="shared" si="81"/>
        <v/>
      </c>
      <c r="E230" s="1326"/>
      <c r="F230" s="1327" t="str">
        <f>IF($E$30="Enter Duration (wks)","",IF($Y108="Enter Hrs/Wk","",IF($E$30&gt;='FORMULA REFS'!A$1,$Y108,"")))</f>
        <v/>
      </c>
      <c r="G230" s="1328"/>
      <c r="H230" s="1570"/>
      <c r="I230" s="1329" t="str">
        <f>IF($E$30="Enter Duration (wks)","",IF($Y108="Enter Hrs/Wk","",IF($E$30&gt;='FORMULA REFS'!B$1,$Y108,"")))</f>
        <v/>
      </c>
      <c r="J230" s="1323"/>
      <c r="K230" s="1286" t="str">
        <f>IF($E$30="Enter Duration (wks)","",IF($Y108="Enter Hrs/Wk","",IF($E$30&gt;='FORMULA REFS'!C$1,$Y108,"")))</f>
        <v/>
      </c>
      <c r="L230" s="882" t="str">
        <f>IF($E$30="Enter Duration (wks)","",IF($Y108="Enter Hrs/Wk","",IF($E$30&gt;='FORMULA REFS'!D$1,$Y108,"")))</f>
        <v/>
      </c>
      <c r="M230" s="882" t="str">
        <f>IF($E$30="Enter Duration (wks)","",IF($Y108="Enter Hrs/Wk","",IF($E$30&gt;='FORMULA REFS'!E$1,$Y108,"")))</f>
        <v/>
      </c>
      <c r="N230" s="882" t="str">
        <f>IF($E$30="Enter Duration (wks)","",IF($Y108="Enter Hrs/Wk","",IF($E$30&gt;='FORMULA REFS'!F$1,$Y108,"")))</f>
        <v/>
      </c>
      <c r="O230" s="882" t="str">
        <f>IF($E$30="Enter Duration (wks)","",IF($Y108="Enter Hrs/Wk","",IF($E$30&gt;='FORMULA REFS'!G$1,$Y108,"")))</f>
        <v/>
      </c>
      <c r="P230" s="882" t="str">
        <f>IF($E$30="Enter Duration (wks)","",IF($Y108="Enter Hrs/Wk","",IF($E$30&gt;='FORMULA REFS'!H$1,$Y108,"")))</f>
        <v/>
      </c>
      <c r="Q230" s="882" t="str">
        <f>IF($E$30="Enter Duration (wks)","",IF($Y108="Enter Hrs/Wk","",IF($E$30&gt;='FORMULA REFS'!I$1,$Y108,"")))</f>
        <v/>
      </c>
      <c r="R230" s="882" t="str">
        <f>IF($E$30="Enter Duration (wks)","",IF($Y108="Enter Hrs/Wk","",IF($E$30&gt;='FORMULA REFS'!J$1,$Y108,"")))</f>
        <v/>
      </c>
      <c r="S230" s="882" t="str">
        <f>IF($E$30="Enter Duration (wks)","",IF($Y108="Enter Hrs/Wk","",IF($E$30&gt;='FORMULA REFS'!K$1,$Y108,"")))</f>
        <v/>
      </c>
      <c r="T230" s="1323" t="str">
        <f>IF($E$30="Enter Duration (wks)","",IF($Y108="Enter Hrs/Wk","",IF($E$30&gt;='FORMULA REFS'!L$1,$Y108,"")))</f>
        <v/>
      </c>
      <c r="U230" s="882" t="str">
        <f>IF($E$30="Enter Duration (wks)","",IF($Y108="Enter Hrs/Wk","",IF($E$30&gt;='FORMULA REFS'!M$1,$Y108,"")))</f>
        <v/>
      </c>
      <c r="V230" s="882"/>
      <c r="W230" s="882"/>
      <c r="X230" s="1285"/>
      <c r="Y230" s="1285" t="str">
        <f>IF($E$30="Enter Duration (wks)","",IF($Y108="Enter Hrs/Wk","",IF($E$30&gt;='FORMULA REFS'!N$1,$Y108,"")))</f>
        <v/>
      </c>
      <c r="Z230" s="1343" t="str">
        <f>IF($E$30="Enter Duration (wks)","",IF($Y108="Enter Hrs/Wk","",IF($E$30&gt;='FORMULA REFS'!O$1,$Y108,"")))</f>
        <v/>
      </c>
      <c r="AA230" s="882" t="str">
        <f>IF($E$30="Enter Duration (wks)","",IF($Y108="Enter Hrs/Wk","",IF($E$30&gt;='FORMULA REFS'!P$1,$Y108,"")))</f>
        <v/>
      </c>
      <c r="AB230" s="882" t="str">
        <f>IF($E$30="Enter Duration (wks)","",IF($Y108="Enter Hrs/Wk","",IF($E$30&gt;='FORMULA REFS'!Q$1,$Y108,"")))</f>
        <v/>
      </c>
      <c r="AC230" s="882"/>
      <c r="AD230" s="882"/>
      <c r="AE230" s="882"/>
      <c r="AF230" s="882"/>
      <c r="AG230" s="1286" t="str">
        <f>IF($E$30="Enter Duration (wks)","",IF($Y108="Enter Hrs/Wk","",IF($E$30&gt;='FORMULA REFS'!R$1,$Y108,"")))</f>
        <v/>
      </c>
      <c r="AH230" s="1286" t="str">
        <f>IF($E$30="Enter Duration (wks)","",IF($Y108="Enter Hrs/Wk","",IF($E$30&gt;='FORMULA REFS'!S$1,$Y108,"")))</f>
        <v/>
      </c>
      <c r="AI230" s="1286" t="str">
        <f>IF($E$30="Enter Duration (wks)","",IF($Y108="Enter Hrs/Wk","",IF($E$30&gt;='FORMULA REFS'!T$1,$Y108,"")))</f>
        <v/>
      </c>
      <c r="AJ230" s="1286" t="str">
        <f>IF($E$30="Enter Duration (wks)","",IF($Y108="Enter Hrs/Wk","",IF($E$30&gt;='FORMULA REFS'!U$1,$Y108,"")))</f>
        <v/>
      </c>
      <c r="AK230" s="1286" t="str">
        <f>IF($E$30="Enter Duration (wks)","",IF($Y108="Enter Hrs/Wk","",IF($E$30&gt;='FORMULA REFS'!V$1,$Y108,"")))</f>
        <v/>
      </c>
      <c r="AL230" s="1286" t="str">
        <f>IF($E$30="Enter Duration (wks)","",IF($Y108="Enter Hrs/Wk","",IF($E$30&gt;='FORMULA REFS'!W$1,$Y108,"")))</f>
        <v/>
      </c>
      <c r="AM230" s="1286" t="str">
        <f>IF($E$30="Enter Duration (wks)","",IF($Y108="Enter Hrs/Wk","",IF($E$30&gt;='FORMULA REFS'!X$1,$Y108,"")))</f>
        <v/>
      </c>
      <c r="AN230" s="1286" t="str">
        <f>IF($E$30="Enter Duration (wks)","",IF($Y108="Enter Hrs/Wk","",IF($E$30&gt;='FORMULA REFS'!Y$1,$Y108,"")))</f>
        <v/>
      </c>
      <c r="AO230" s="1286" t="str">
        <f>IF($E$30="Enter Duration (wks)","",IF($Y108="Enter Hrs/Wk","",IF($E$30&gt;='FORMULA REFS'!Z$1,$Y108,"")))</f>
        <v/>
      </c>
      <c r="AP230" s="1286" t="str">
        <f>IF($E$30="Enter Duration (wks)","",IF($Y108="Enter Hrs/Wk","",IF($E$30&gt;='FORMULA REFS'!AA$1,$Y108,"")))</f>
        <v/>
      </c>
      <c r="AQ230" s="1286" t="str">
        <f>IF($E$30="Enter Duration (wks)","",IF($Y108="Enter Hrs/Wk","",IF($E$30&gt;='FORMULA REFS'!AB$1,$Y108,"")))</f>
        <v/>
      </c>
      <c r="AR230" s="1286" t="str">
        <f>IF($E$30="Enter Duration (wks)","",IF($Y108="Enter Hrs/Wk","",IF($E$30&gt;='FORMULA REFS'!AC$1,$Y108,"")))</f>
        <v/>
      </c>
      <c r="AS230" s="1286" t="str">
        <f>IF($E$30="Enter Duration (wks)","",IF($Y108="Enter Hrs/Wk","",IF($E$30&gt;='FORMULA REFS'!AD$1,$Y108,"")))</f>
        <v/>
      </c>
      <c r="AT230" s="1286" t="str">
        <f>IF($E$30="Enter Duration (wks)","",IF($Y108="Enter Hrs/Wk","",IF($E$30&gt;='FORMULA REFS'!AE$1,$Y108,"")))</f>
        <v/>
      </c>
      <c r="AU230" s="1286" t="str">
        <f>IF($E$30="Enter Duration (wks)","",IF($Y108="Enter Hrs/Wk","",IF($E$30&gt;='FORMULA REFS'!AF$1,$Y108,"")))</f>
        <v/>
      </c>
      <c r="AV230" s="1286" t="str">
        <f>IF($E$30="Enter Duration (wks)","",IF($Y108="Enter Hrs/Wk","",IF($E$30&gt;='FORMULA REFS'!AG$1,$Y108,"")))</f>
        <v/>
      </c>
      <c r="AW230" s="1286" t="str">
        <f>IF($E$30="Enter Duration (wks)","",IF($Y108="Enter Hrs/Wk","",IF($E$30&gt;='FORMULA REFS'!AH$1,$Y108,"")))</f>
        <v/>
      </c>
      <c r="AX230" s="1286" t="str">
        <f>IF($E$30="Enter Duration (wks)","",IF($Y108="Enter Hrs/Wk","",IF($E$30&gt;='FORMULA REFS'!AI$1,$Y108,"")))</f>
        <v/>
      </c>
      <c r="AY230" s="1286" t="str">
        <f>IF($E$30="Enter Duration (wks)","",IF($Y108="Enter Hrs/Wk","",IF($E$30&gt;='FORMULA REFS'!AJ$1,$Y108,"")))</f>
        <v/>
      </c>
      <c r="AZ230" s="1286" t="str">
        <f>IF($E$30="Enter Duration (wks)","",IF($Y108="Enter Hrs/Wk","",IF($E$30&gt;='FORMULA REFS'!AK$1,$Y108,"")))</f>
        <v/>
      </c>
      <c r="BA230" s="1286" t="str">
        <f>IF($E$30="Enter Duration (wks)","",IF($Y108="Enter Hrs/Wk","",IF($E$30&gt;='FORMULA REFS'!AL$1,$Y108,"")))</f>
        <v/>
      </c>
      <c r="BB230" s="1286" t="str">
        <f>IF($E$30="Enter Duration (wks)","",IF($Y108="Enter Hrs/Wk","",IF($E$30&gt;='FORMULA REFS'!AM$1,$Y108,"")))</f>
        <v/>
      </c>
      <c r="BC230" s="1286" t="str">
        <f>IF($E$30="Enter Duration (wks)","",IF($Y108="Enter Hrs/Wk","",IF($E$30&gt;='FORMULA REFS'!AN$1,$Y108,"")))</f>
        <v/>
      </c>
      <c r="BD230" s="1286" t="str">
        <f>IF($E$30="Enter Duration (wks)","",IF($Y108="Enter Hrs/Wk","",IF($E$30&gt;='FORMULA REFS'!AO$1,$Y108,"")))</f>
        <v/>
      </c>
      <c r="BE230" s="1286" t="str">
        <f>IF($E$30="Enter Duration (wks)","",IF($Y108="Enter Hrs/Wk","",IF($E$30&gt;='FORMULA REFS'!AP$1,$Y108,"")))</f>
        <v/>
      </c>
      <c r="BF230" s="1286" t="str">
        <f>IF($E$30="Enter Duration (wks)","",IF($Y108="Enter Hrs/Wk","",IF($E$30&gt;='FORMULA REFS'!AQ$1,$Y108,"")))</f>
        <v/>
      </c>
      <c r="BG230" s="1286" t="str">
        <f>IF($E$30="Enter Duration (wks)","",IF($Y108="Enter Hrs/Wk","",IF($E$30&gt;='FORMULA REFS'!AR$1,$Y108,"")))</f>
        <v/>
      </c>
      <c r="BH230" s="1286" t="str">
        <f>IF($E$30="Enter Duration (wks)","",IF($Y108="Enter Hrs/Wk","",IF($E$30&gt;='FORMULA REFS'!AS$1,$Y108,"")))</f>
        <v/>
      </c>
      <c r="BI230" s="1286" t="str">
        <f>IF($E$30="Enter Duration (wks)","",IF($Y108="Enter Hrs/Wk","",IF($E$30&gt;='FORMULA REFS'!AT$1,$Y108,"")))</f>
        <v/>
      </c>
      <c r="BJ230" s="1286" t="str">
        <f>IF($E$30="Enter Duration (wks)","",IF($Y108="Enter Hrs/Wk","",IF($E$30&gt;='FORMULA REFS'!AU$1,$Y108,"")))</f>
        <v/>
      </c>
      <c r="BK230" s="1286" t="str">
        <f>IF($E$30="Enter Duration (wks)","",IF($Y108="Enter Hrs/Wk","",IF($E$30&gt;='FORMULA REFS'!AV$1,$Y108,"")))</f>
        <v/>
      </c>
      <c r="BL230" s="1286" t="str">
        <f>IF($E$30="Enter Duration (wks)","",IF($Y108="Enter Hrs/Wk","",IF($E$30&gt;='FORMULA REFS'!AW$1,$Y108,"")))</f>
        <v/>
      </c>
      <c r="BM230" s="1286" t="str">
        <f>IF($E$30="Enter Duration (wks)","",IF($Y108="Enter Hrs/Wk","",IF($E$30&gt;='FORMULA REFS'!AX$1,$Y108,"")))</f>
        <v/>
      </c>
      <c r="BN230" s="1286" t="str">
        <f>IF($E$30="Enter Duration (wks)","",IF($Y108="Enter Hrs/Wk","",IF($E$30&gt;='FORMULA REFS'!AY$1,$Y108,"")))</f>
        <v/>
      </c>
      <c r="BO230" s="1286" t="str">
        <f>IF($E$30="Enter Duration (wks)","",IF($Y108="Enter Hrs/Wk","",IF($E$30&gt;='FORMULA REFS'!AZ$1,$Y108,"")))</f>
        <v/>
      </c>
    </row>
    <row r="231" spans="3:67" hidden="1" outlineLevel="1" x14ac:dyDescent="0.25">
      <c r="C231" s="1291" t="str">
        <f t="shared" si="82"/>
        <v/>
      </c>
      <c r="D231" s="1319" t="str">
        <f t="shared" si="81"/>
        <v/>
      </c>
      <c r="E231" s="1326"/>
      <c r="F231" s="1327" t="str">
        <f>IF($E$30="Enter Duration (wks)","",IF($Y109="Enter Hrs/Wk","",IF($E$30&gt;='FORMULA REFS'!A$1,$Y109,"")))</f>
        <v/>
      </c>
      <c r="G231" s="1328"/>
      <c r="H231" s="1570"/>
      <c r="I231" s="1329" t="str">
        <f>IF($E$30="Enter Duration (wks)","",IF($Y109="Enter Hrs/Wk","",IF($E$30&gt;='FORMULA REFS'!B$1,$Y109,"")))</f>
        <v/>
      </c>
      <c r="J231" s="1323"/>
      <c r="K231" s="1286" t="str">
        <f>IF($E$30="Enter Duration (wks)","",IF($Y109="Enter Hrs/Wk","",IF($E$30&gt;='FORMULA REFS'!C$1,$Y109,"")))</f>
        <v/>
      </c>
      <c r="L231" s="882" t="str">
        <f>IF($E$30="Enter Duration (wks)","",IF($Y109="Enter Hrs/Wk","",IF($E$30&gt;='FORMULA REFS'!D$1,$Y109,"")))</f>
        <v/>
      </c>
      <c r="M231" s="882" t="str">
        <f>IF($E$30="Enter Duration (wks)","",IF($Y109="Enter Hrs/Wk","",IF($E$30&gt;='FORMULA REFS'!E$1,$Y109,"")))</f>
        <v/>
      </c>
      <c r="N231" s="882" t="str">
        <f>IF($E$30="Enter Duration (wks)","",IF($Y109="Enter Hrs/Wk","",IF($E$30&gt;='FORMULA REFS'!F$1,$Y109,"")))</f>
        <v/>
      </c>
      <c r="O231" s="882" t="str">
        <f>IF($E$30="Enter Duration (wks)","",IF($Y109="Enter Hrs/Wk","",IF($E$30&gt;='FORMULA REFS'!G$1,$Y109,"")))</f>
        <v/>
      </c>
      <c r="P231" s="882" t="str">
        <f>IF($E$30="Enter Duration (wks)","",IF($Y109="Enter Hrs/Wk","",IF($E$30&gt;='FORMULA REFS'!H$1,$Y109,"")))</f>
        <v/>
      </c>
      <c r="Q231" s="882" t="str">
        <f>IF($E$30="Enter Duration (wks)","",IF($Y109="Enter Hrs/Wk","",IF($E$30&gt;='FORMULA REFS'!I$1,$Y109,"")))</f>
        <v/>
      </c>
      <c r="R231" s="882" t="str">
        <f>IF($E$30="Enter Duration (wks)","",IF($Y109="Enter Hrs/Wk","",IF($E$30&gt;='FORMULA REFS'!J$1,$Y109,"")))</f>
        <v/>
      </c>
      <c r="S231" s="882" t="str">
        <f>IF($E$30="Enter Duration (wks)","",IF($Y109="Enter Hrs/Wk","",IF($E$30&gt;='FORMULA REFS'!K$1,$Y109,"")))</f>
        <v/>
      </c>
      <c r="T231" s="1323" t="str">
        <f>IF($E$30="Enter Duration (wks)","",IF($Y109="Enter Hrs/Wk","",IF($E$30&gt;='FORMULA REFS'!L$1,$Y109,"")))</f>
        <v/>
      </c>
      <c r="U231" s="882" t="str">
        <f>IF($E$30="Enter Duration (wks)","",IF($Y109="Enter Hrs/Wk","",IF($E$30&gt;='FORMULA REFS'!M$1,$Y109,"")))</f>
        <v/>
      </c>
      <c r="V231" s="882"/>
      <c r="W231" s="882"/>
      <c r="X231" s="1285"/>
      <c r="Y231" s="1285" t="str">
        <f>IF($E$30="Enter Duration (wks)","",IF($Y109="Enter Hrs/Wk","",IF($E$30&gt;='FORMULA REFS'!N$1,$Y109,"")))</f>
        <v/>
      </c>
      <c r="Z231" s="1343" t="str">
        <f>IF($E$30="Enter Duration (wks)","",IF($Y109="Enter Hrs/Wk","",IF($E$30&gt;='FORMULA REFS'!O$1,$Y109,"")))</f>
        <v/>
      </c>
      <c r="AA231" s="882" t="str">
        <f>IF($E$30="Enter Duration (wks)","",IF($Y109="Enter Hrs/Wk","",IF($E$30&gt;='FORMULA REFS'!P$1,$Y109,"")))</f>
        <v/>
      </c>
      <c r="AB231" s="882" t="str">
        <f>IF($E$30="Enter Duration (wks)","",IF($Y109="Enter Hrs/Wk","",IF($E$30&gt;='FORMULA REFS'!Q$1,$Y109,"")))</f>
        <v/>
      </c>
      <c r="AC231" s="882"/>
      <c r="AD231" s="882"/>
      <c r="AE231" s="882"/>
      <c r="AF231" s="882"/>
      <c r="AG231" s="1286" t="str">
        <f>IF($E$30="Enter Duration (wks)","",IF($Y109="Enter Hrs/Wk","",IF($E$30&gt;='FORMULA REFS'!R$1,$Y109,"")))</f>
        <v/>
      </c>
      <c r="AH231" s="1286" t="str">
        <f>IF($E$30="Enter Duration (wks)","",IF($Y109="Enter Hrs/Wk","",IF($E$30&gt;='FORMULA REFS'!S$1,$Y109,"")))</f>
        <v/>
      </c>
      <c r="AI231" s="1286" t="str">
        <f>IF($E$30="Enter Duration (wks)","",IF($Y109="Enter Hrs/Wk","",IF($E$30&gt;='FORMULA REFS'!T$1,$Y109,"")))</f>
        <v/>
      </c>
      <c r="AJ231" s="1286" t="str">
        <f>IF($E$30="Enter Duration (wks)","",IF($Y109="Enter Hrs/Wk","",IF($E$30&gt;='FORMULA REFS'!U$1,$Y109,"")))</f>
        <v/>
      </c>
      <c r="AK231" s="1286" t="str">
        <f>IF($E$30="Enter Duration (wks)","",IF($Y109="Enter Hrs/Wk","",IF($E$30&gt;='FORMULA REFS'!V$1,$Y109,"")))</f>
        <v/>
      </c>
      <c r="AL231" s="1286" t="str">
        <f>IF($E$30="Enter Duration (wks)","",IF($Y109="Enter Hrs/Wk","",IF($E$30&gt;='FORMULA REFS'!W$1,$Y109,"")))</f>
        <v/>
      </c>
      <c r="AM231" s="1286" t="str">
        <f>IF($E$30="Enter Duration (wks)","",IF($Y109="Enter Hrs/Wk","",IF($E$30&gt;='FORMULA REFS'!X$1,$Y109,"")))</f>
        <v/>
      </c>
      <c r="AN231" s="1286" t="str">
        <f>IF($E$30="Enter Duration (wks)","",IF($Y109="Enter Hrs/Wk","",IF($E$30&gt;='FORMULA REFS'!Y$1,$Y109,"")))</f>
        <v/>
      </c>
      <c r="AO231" s="1286" t="str">
        <f>IF($E$30="Enter Duration (wks)","",IF($Y109="Enter Hrs/Wk","",IF($E$30&gt;='FORMULA REFS'!Z$1,$Y109,"")))</f>
        <v/>
      </c>
      <c r="AP231" s="1286" t="str">
        <f>IF($E$30="Enter Duration (wks)","",IF($Y109="Enter Hrs/Wk","",IF($E$30&gt;='FORMULA REFS'!AA$1,$Y109,"")))</f>
        <v/>
      </c>
      <c r="AQ231" s="1286" t="str">
        <f>IF($E$30="Enter Duration (wks)","",IF($Y109="Enter Hrs/Wk","",IF($E$30&gt;='FORMULA REFS'!AB$1,$Y109,"")))</f>
        <v/>
      </c>
      <c r="AR231" s="1286" t="str">
        <f>IF($E$30="Enter Duration (wks)","",IF($Y109="Enter Hrs/Wk","",IF($E$30&gt;='FORMULA REFS'!AC$1,$Y109,"")))</f>
        <v/>
      </c>
      <c r="AS231" s="1286" t="str">
        <f>IF($E$30="Enter Duration (wks)","",IF($Y109="Enter Hrs/Wk","",IF($E$30&gt;='FORMULA REFS'!AD$1,$Y109,"")))</f>
        <v/>
      </c>
      <c r="AT231" s="1286" t="str">
        <f>IF($E$30="Enter Duration (wks)","",IF($Y109="Enter Hrs/Wk","",IF($E$30&gt;='FORMULA REFS'!AE$1,$Y109,"")))</f>
        <v/>
      </c>
      <c r="AU231" s="1286" t="str">
        <f>IF($E$30="Enter Duration (wks)","",IF($Y109="Enter Hrs/Wk","",IF($E$30&gt;='FORMULA REFS'!AF$1,$Y109,"")))</f>
        <v/>
      </c>
      <c r="AV231" s="1286" t="str">
        <f>IF($E$30="Enter Duration (wks)","",IF($Y109="Enter Hrs/Wk","",IF($E$30&gt;='FORMULA REFS'!AG$1,$Y109,"")))</f>
        <v/>
      </c>
      <c r="AW231" s="1286" t="str">
        <f>IF($E$30="Enter Duration (wks)","",IF($Y109="Enter Hrs/Wk","",IF($E$30&gt;='FORMULA REFS'!AH$1,$Y109,"")))</f>
        <v/>
      </c>
      <c r="AX231" s="1286" t="str">
        <f>IF($E$30="Enter Duration (wks)","",IF($Y109="Enter Hrs/Wk","",IF($E$30&gt;='FORMULA REFS'!AI$1,$Y109,"")))</f>
        <v/>
      </c>
      <c r="AY231" s="1286" t="str">
        <f>IF($E$30="Enter Duration (wks)","",IF($Y109="Enter Hrs/Wk","",IF($E$30&gt;='FORMULA REFS'!AJ$1,$Y109,"")))</f>
        <v/>
      </c>
      <c r="AZ231" s="1286" t="str">
        <f>IF($E$30="Enter Duration (wks)","",IF($Y109="Enter Hrs/Wk","",IF($E$30&gt;='FORMULA REFS'!AK$1,$Y109,"")))</f>
        <v/>
      </c>
      <c r="BA231" s="1286" t="str">
        <f>IF($E$30="Enter Duration (wks)","",IF($Y109="Enter Hrs/Wk","",IF($E$30&gt;='FORMULA REFS'!AL$1,$Y109,"")))</f>
        <v/>
      </c>
      <c r="BB231" s="1286" t="str">
        <f>IF($E$30="Enter Duration (wks)","",IF($Y109="Enter Hrs/Wk","",IF($E$30&gt;='FORMULA REFS'!AM$1,$Y109,"")))</f>
        <v/>
      </c>
      <c r="BC231" s="1286" t="str">
        <f>IF($E$30="Enter Duration (wks)","",IF($Y109="Enter Hrs/Wk","",IF($E$30&gt;='FORMULA REFS'!AN$1,$Y109,"")))</f>
        <v/>
      </c>
      <c r="BD231" s="1286" t="str">
        <f>IF($E$30="Enter Duration (wks)","",IF($Y109="Enter Hrs/Wk","",IF($E$30&gt;='FORMULA REFS'!AO$1,$Y109,"")))</f>
        <v/>
      </c>
      <c r="BE231" s="1286" t="str">
        <f>IF($E$30="Enter Duration (wks)","",IF($Y109="Enter Hrs/Wk","",IF($E$30&gt;='FORMULA REFS'!AP$1,$Y109,"")))</f>
        <v/>
      </c>
      <c r="BF231" s="1286" t="str">
        <f>IF($E$30="Enter Duration (wks)","",IF($Y109="Enter Hrs/Wk","",IF($E$30&gt;='FORMULA REFS'!AQ$1,$Y109,"")))</f>
        <v/>
      </c>
      <c r="BG231" s="1286" t="str">
        <f>IF($E$30="Enter Duration (wks)","",IF($Y109="Enter Hrs/Wk","",IF($E$30&gt;='FORMULA REFS'!AR$1,$Y109,"")))</f>
        <v/>
      </c>
      <c r="BH231" s="1286" t="str">
        <f>IF($E$30="Enter Duration (wks)","",IF($Y109="Enter Hrs/Wk","",IF($E$30&gt;='FORMULA REFS'!AS$1,$Y109,"")))</f>
        <v/>
      </c>
      <c r="BI231" s="1286" t="str">
        <f>IF($E$30="Enter Duration (wks)","",IF($Y109="Enter Hrs/Wk","",IF($E$30&gt;='FORMULA REFS'!AT$1,$Y109,"")))</f>
        <v/>
      </c>
      <c r="BJ231" s="1286" t="str">
        <f>IF($E$30="Enter Duration (wks)","",IF($Y109="Enter Hrs/Wk","",IF($E$30&gt;='FORMULA REFS'!AU$1,$Y109,"")))</f>
        <v/>
      </c>
      <c r="BK231" s="1286" t="str">
        <f>IF($E$30="Enter Duration (wks)","",IF($Y109="Enter Hrs/Wk","",IF($E$30&gt;='FORMULA REFS'!AV$1,$Y109,"")))</f>
        <v/>
      </c>
      <c r="BL231" s="1286" t="str">
        <f>IF($E$30="Enter Duration (wks)","",IF($Y109="Enter Hrs/Wk","",IF($E$30&gt;='FORMULA REFS'!AW$1,$Y109,"")))</f>
        <v/>
      </c>
      <c r="BM231" s="1286" t="str">
        <f>IF($E$30="Enter Duration (wks)","",IF($Y109="Enter Hrs/Wk","",IF($E$30&gt;='FORMULA REFS'!AX$1,$Y109,"")))</f>
        <v/>
      </c>
      <c r="BN231" s="1286" t="str">
        <f>IF($E$30="Enter Duration (wks)","",IF($Y109="Enter Hrs/Wk","",IF($E$30&gt;='FORMULA REFS'!AY$1,$Y109,"")))</f>
        <v/>
      </c>
      <c r="BO231" s="1286" t="str">
        <f>IF($E$30="Enter Duration (wks)","",IF($Y109="Enter Hrs/Wk","",IF($E$30&gt;='FORMULA REFS'!AZ$1,$Y109,"")))</f>
        <v/>
      </c>
    </row>
    <row r="232" spans="3:67" hidden="1" outlineLevel="1" x14ac:dyDescent="0.25">
      <c r="C232" s="1291" t="str">
        <f t="shared" si="82"/>
        <v/>
      </c>
      <c r="D232" s="1319" t="str">
        <f t="shared" si="81"/>
        <v/>
      </c>
      <c r="E232" s="1326"/>
      <c r="F232" s="1327" t="str">
        <f>IF($E$30="Enter Duration (wks)","",IF($Y110="Enter Hrs/Wk","",IF($E$30&gt;='FORMULA REFS'!A$1,$Y110,"")))</f>
        <v/>
      </c>
      <c r="G232" s="1328"/>
      <c r="H232" s="1570"/>
      <c r="I232" s="1329" t="str">
        <f>IF($E$30="Enter Duration (wks)","",IF($Y110="Enter Hrs/Wk","",IF($E$30&gt;='FORMULA REFS'!B$1,$Y110,"")))</f>
        <v/>
      </c>
      <c r="J232" s="1323"/>
      <c r="K232" s="1286" t="str">
        <f>IF($E$30="Enter Duration (wks)","",IF($Y110="Enter Hrs/Wk","",IF($E$30&gt;='FORMULA REFS'!C$1,$Y110,"")))</f>
        <v/>
      </c>
      <c r="L232" s="882" t="str">
        <f>IF($E$30="Enter Duration (wks)","",IF($Y110="Enter Hrs/Wk","",IF($E$30&gt;='FORMULA REFS'!D$1,$Y110,"")))</f>
        <v/>
      </c>
      <c r="M232" s="882" t="str">
        <f>IF($E$30="Enter Duration (wks)","",IF($Y110="Enter Hrs/Wk","",IF($E$30&gt;='FORMULA REFS'!E$1,$Y110,"")))</f>
        <v/>
      </c>
      <c r="N232" s="882" t="str">
        <f>IF($E$30="Enter Duration (wks)","",IF($Y110="Enter Hrs/Wk","",IF($E$30&gt;='FORMULA REFS'!F$1,$Y110,"")))</f>
        <v/>
      </c>
      <c r="O232" s="882" t="str">
        <f>IF($E$30="Enter Duration (wks)","",IF($Y110="Enter Hrs/Wk","",IF($E$30&gt;='FORMULA REFS'!G$1,$Y110,"")))</f>
        <v/>
      </c>
      <c r="P232" s="882" t="str">
        <f>IF($E$30="Enter Duration (wks)","",IF($Y110="Enter Hrs/Wk","",IF($E$30&gt;='FORMULA REFS'!H$1,$Y110,"")))</f>
        <v/>
      </c>
      <c r="Q232" s="882" t="str">
        <f>IF($E$30="Enter Duration (wks)","",IF($Y110="Enter Hrs/Wk","",IF($E$30&gt;='FORMULA REFS'!I$1,$Y110,"")))</f>
        <v/>
      </c>
      <c r="R232" s="882" t="str">
        <f>IF($E$30="Enter Duration (wks)","",IF($Y110="Enter Hrs/Wk","",IF($E$30&gt;='FORMULA REFS'!J$1,$Y110,"")))</f>
        <v/>
      </c>
      <c r="S232" s="882" t="str">
        <f>IF($E$30="Enter Duration (wks)","",IF($Y110="Enter Hrs/Wk","",IF($E$30&gt;='FORMULA REFS'!K$1,$Y110,"")))</f>
        <v/>
      </c>
      <c r="T232" s="1323" t="str">
        <f>IF($E$30="Enter Duration (wks)","",IF($Y110="Enter Hrs/Wk","",IF($E$30&gt;='FORMULA REFS'!L$1,$Y110,"")))</f>
        <v/>
      </c>
      <c r="U232" s="882" t="str">
        <f>IF($E$30="Enter Duration (wks)","",IF($Y110="Enter Hrs/Wk","",IF($E$30&gt;='FORMULA REFS'!M$1,$Y110,"")))</f>
        <v/>
      </c>
      <c r="V232" s="882"/>
      <c r="W232" s="882"/>
      <c r="X232" s="1285"/>
      <c r="Y232" s="1285" t="str">
        <f>IF($E$30="Enter Duration (wks)","",IF($Y110="Enter Hrs/Wk","",IF($E$30&gt;='FORMULA REFS'!N$1,$Y110,"")))</f>
        <v/>
      </c>
      <c r="Z232" s="1343" t="str">
        <f>IF($E$30="Enter Duration (wks)","",IF($Y110="Enter Hrs/Wk","",IF($E$30&gt;='FORMULA REFS'!O$1,$Y110,"")))</f>
        <v/>
      </c>
      <c r="AA232" s="882" t="str">
        <f>IF($E$30="Enter Duration (wks)","",IF($Y110="Enter Hrs/Wk","",IF($E$30&gt;='FORMULA REFS'!P$1,$Y110,"")))</f>
        <v/>
      </c>
      <c r="AB232" s="882" t="str">
        <f>IF($E$30="Enter Duration (wks)","",IF($Y110="Enter Hrs/Wk","",IF($E$30&gt;='FORMULA REFS'!Q$1,$Y110,"")))</f>
        <v/>
      </c>
      <c r="AC232" s="882"/>
      <c r="AD232" s="882"/>
      <c r="AE232" s="882"/>
      <c r="AF232" s="882"/>
      <c r="AG232" s="1286" t="str">
        <f>IF($E$30="Enter Duration (wks)","",IF($Y110="Enter Hrs/Wk","",IF($E$30&gt;='FORMULA REFS'!R$1,$Y110,"")))</f>
        <v/>
      </c>
      <c r="AH232" s="1286" t="str">
        <f>IF($E$30="Enter Duration (wks)","",IF($Y110="Enter Hrs/Wk","",IF($E$30&gt;='FORMULA REFS'!S$1,$Y110,"")))</f>
        <v/>
      </c>
      <c r="AI232" s="1286" t="str">
        <f>IF($E$30="Enter Duration (wks)","",IF($Y110="Enter Hrs/Wk","",IF($E$30&gt;='FORMULA REFS'!T$1,$Y110,"")))</f>
        <v/>
      </c>
      <c r="AJ232" s="1286" t="str">
        <f>IF($E$30="Enter Duration (wks)","",IF($Y110="Enter Hrs/Wk","",IF($E$30&gt;='FORMULA REFS'!U$1,$Y110,"")))</f>
        <v/>
      </c>
      <c r="AK232" s="1286" t="str">
        <f>IF($E$30="Enter Duration (wks)","",IF($Y110="Enter Hrs/Wk","",IF($E$30&gt;='FORMULA REFS'!V$1,$Y110,"")))</f>
        <v/>
      </c>
      <c r="AL232" s="1286" t="str">
        <f>IF($E$30="Enter Duration (wks)","",IF($Y110="Enter Hrs/Wk","",IF($E$30&gt;='FORMULA REFS'!W$1,$Y110,"")))</f>
        <v/>
      </c>
      <c r="AM232" s="1286" t="str">
        <f>IF($E$30="Enter Duration (wks)","",IF($Y110="Enter Hrs/Wk","",IF($E$30&gt;='FORMULA REFS'!X$1,$Y110,"")))</f>
        <v/>
      </c>
      <c r="AN232" s="1286" t="str">
        <f>IF($E$30="Enter Duration (wks)","",IF($Y110="Enter Hrs/Wk","",IF($E$30&gt;='FORMULA REFS'!Y$1,$Y110,"")))</f>
        <v/>
      </c>
      <c r="AO232" s="1286" t="str">
        <f>IF($E$30="Enter Duration (wks)","",IF($Y110="Enter Hrs/Wk","",IF($E$30&gt;='FORMULA REFS'!Z$1,$Y110,"")))</f>
        <v/>
      </c>
      <c r="AP232" s="1286" t="str">
        <f>IF($E$30="Enter Duration (wks)","",IF($Y110="Enter Hrs/Wk","",IF($E$30&gt;='FORMULA REFS'!AA$1,$Y110,"")))</f>
        <v/>
      </c>
      <c r="AQ232" s="1286" t="str">
        <f>IF($E$30="Enter Duration (wks)","",IF($Y110="Enter Hrs/Wk","",IF($E$30&gt;='FORMULA REFS'!AB$1,$Y110,"")))</f>
        <v/>
      </c>
      <c r="AR232" s="1286" t="str">
        <f>IF($E$30="Enter Duration (wks)","",IF($Y110="Enter Hrs/Wk","",IF($E$30&gt;='FORMULA REFS'!AC$1,$Y110,"")))</f>
        <v/>
      </c>
      <c r="AS232" s="1286" t="str">
        <f>IF($E$30="Enter Duration (wks)","",IF($Y110="Enter Hrs/Wk","",IF($E$30&gt;='FORMULA REFS'!AD$1,$Y110,"")))</f>
        <v/>
      </c>
      <c r="AT232" s="1286" t="str">
        <f>IF($E$30="Enter Duration (wks)","",IF($Y110="Enter Hrs/Wk","",IF($E$30&gt;='FORMULA REFS'!AE$1,$Y110,"")))</f>
        <v/>
      </c>
      <c r="AU232" s="1286" t="str">
        <f>IF($E$30="Enter Duration (wks)","",IF($Y110="Enter Hrs/Wk","",IF($E$30&gt;='FORMULA REFS'!AF$1,$Y110,"")))</f>
        <v/>
      </c>
      <c r="AV232" s="1286" t="str">
        <f>IF($E$30="Enter Duration (wks)","",IF($Y110="Enter Hrs/Wk","",IF($E$30&gt;='FORMULA REFS'!AG$1,$Y110,"")))</f>
        <v/>
      </c>
      <c r="AW232" s="1286" t="str">
        <f>IF($E$30="Enter Duration (wks)","",IF($Y110="Enter Hrs/Wk","",IF($E$30&gt;='FORMULA REFS'!AH$1,$Y110,"")))</f>
        <v/>
      </c>
      <c r="AX232" s="1286" t="str">
        <f>IF($E$30="Enter Duration (wks)","",IF($Y110="Enter Hrs/Wk","",IF($E$30&gt;='FORMULA REFS'!AI$1,$Y110,"")))</f>
        <v/>
      </c>
      <c r="AY232" s="1286" t="str">
        <f>IF($E$30="Enter Duration (wks)","",IF($Y110="Enter Hrs/Wk","",IF($E$30&gt;='FORMULA REFS'!AJ$1,$Y110,"")))</f>
        <v/>
      </c>
      <c r="AZ232" s="1286" t="str">
        <f>IF($E$30="Enter Duration (wks)","",IF($Y110="Enter Hrs/Wk","",IF($E$30&gt;='FORMULA REFS'!AK$1,$Y110,"")))</f>
        <v/>
      </c>
      <c r="BA232" s="1286" t="str">
        <f>IF($E$30="Enter Duration (wks)","",IF($Y110="Enter Hrs/Wk","",IF($E$30&gt;='FORMULA REFS'!AL$1,$Y110,"")))</f>
        <v/>
      </c>
      <c r="BB232" s="1286" t="str">
        <f>IF($E$30="Enter Duration (wks)","",IF($Y110="Enter Hrs/Wk","",IF($E$30&gt;='FORMULA REFS'!AM$1,$Y110,"")))</f>
        <v/>
      </c>
      <c r="BC232" s="1286" t="str">
        <f>IF($E$30="Enter Duration (wks)","",IF($Y110="Enter Hrs/Wk","",IF($E$30&gt;='FORMULA REFS'!AN$1,$Y110,"")))</f>
        <v/>
      </c>
      <c r="BD232" s="1286" t="str">
        <f>IF($E$30="Enter Duration (wks)","",IF($Y110="Enter Hrs/Wk","",IF($E$30&gt;='FORMULA REFS'!AO$1,$Y110,"")))</f>
        <v/>
      </c>
      <c r="BE232" s="1286" t="str">
        <f>IF($E$30="Enter Duration (wks)","",IF($Y110="Enter Hrs/Wk","",IF($E$30&gt;='FORMULA REFS'!AP$1,$Y110,"")))</f>
        <v/>
      </c>
      <c r="BF232" s="1286" t="str">
        <f>IF($E$30="Enter Duration (wks)","",IF($Y110="Enter Hrs/Wk","",IF($E$30&gt;='FORMULA REFS'!AQ$1,$Y110,"")))</f>
        <v/>
      </c>
      <c r="BG232" s="1286" t="str">
        <f>IF($E$30="Enter Duration (wks)","",IF($Y110="Enter Hrs/Wk","",IF($E$30&gt;='FORMULA REFS'!AR$1,$Y110,"")))</f>
        <v/>
      </c>
      <c r="BH232" s="1286" t="str">
        <f>IF($E$30="Enter Duration (wks)","",IF($Y110="Enter Hrs/Wk","",IF($E$30&gt;='FORMULA REFS'!AS$1,$Y110,"")))</f>
        <v/>
      </c>
      <c r="BI232" s="1286" t="str">
        <f>IF($E$30="Enter Duration (wks)","",IF($Y110="Enter Hrs/Wk","",IF($E$30&gt;='FORMULA REFS'!AT$1,$Y110,"")))</f>
        <v/>
      </c>
      <c r="BJ232" s="1286" t="str">
        <f>IF($E$30="Enter Duration (wks)","",IF($Y110="Enter Hrs/Wk","",IF($E$30&gt;='FORMULA REFS'!AU$1,$Y110,"")))</f>
        <v/>
      </c>
      <c r="BK232" s="1286" t="str">
        <f>IF($E$30="Enter Duration (wks)","",IF($Y110="Enter Hrs/Wk","",IF($E$30&gt;='FORMULA REFS'!AV$1,$Y110,"")))</f>
        <v/>
      </c>
      <c r="BL232" s="1286" t="str">
        <f>IF($E$30="Enter Duration (wks)","",IF($Y110="Enter Hrs/Wk","",IF($E$30&gt;='FORMULA REFS'!AW$1,$Y110,"")))</f>
        <v/>
      </c>
      <c r="BM232" s="1286" t="str">
        <f>IF($E$30="Enter Duration (wks)","",IF($Y110="Enter Hrs/Wk","",IF($E$30&gt;='FORMULA REFS'!AX$1,$Y110,"")))</f>
        <v/>
      </c>
      <c r="BN232" s="1286" t="str">
        <f>IF($E$30="Enter Duration (wks)","",IF($Y110="Enter Hrs/Wk","",IF($E$30&gt;='FORMULA REFS'!AY$1,$Y110,"")))</f>
        <v/>
      </c>
      <c r="BO232" s="1286" t="str">
        <f>IF($E$30="Enter Duration (wks)","",IF($Y110="Enter Hrs/Wk","",IF($E$30&gt;='FORMULA REFS'!AZ$1,$Y110,"")))</f>
        <v/>
      </c>
    </row>
    <row r="233" spans="3:67" hidden="1" outlineLevel="1" x14ac:dyDescent="0.25">
      <c r="C233" s="1291" t="str">
        <f t="shared" si="82"/>
        <v/>
      </c>
      <c r="D233" s="1319" t="str">
        <f t="shared" si="81"/>
        <v/>
      </c>
      <c r="E233" s="1326"/>
      <c r="F233" s="1327" t="str">
        <f>IF($E$30="Enter Duration (wks)","",IF($Y111="Enter Hrs/Wk","",IF($E$30&gt;='FORMULA REFS'!A$1,$Y111,"")))</f>
        <v/>
      </c>
      <c r="G233" s="1328"/>
      <c r="H233" s="1570"/>
      <c r="I233" s="1329" t="str">
        <f>IF($E$30="Enter Duration (wks)","",IF($Y111="Enter Hrs/Wk","",IF($E$30&gt;='FORMULA REFS'!B$1,$Y111,"")))</f>
        <v/>
      </c>
      <c r="J233" s="1323"/>
      <c r="K233" s="1286" t="str">
        <f>IF($E$30="Enter Duration (wks)","",IF($Y111="Enter Hrs/Wk","",IF($E$30&gt;='FORMULA REFS'!C$1,$Y111,"")))</f>
        <v/>
      </c>
      <c r="L233" s="882" t="str">
        <f>IF($E$30="Enter Duration (wks)","",IF($Y111="Enter Hrs/Wk","",IF($E$30&gt;='FORMULA REFS'!D$1,$Y111,"")))</f>
        <v/>
      </c>
      <c r="M233" s="882" t="str">
        <f>IF($E$30="Enter Duration (wks)","",IF($Y111="Enter Hrs/Wk","",IF($E$30&gt;='FORMULA REFS'!E$1,$Y111,"")))</f>
        <v/>
      </c>
      <c r="N233" s="882" t="str">
        <f>IF($E$30="Enter Duration (wks)","",IF($Y111="Enter Hrs/Wk","",IF($E$30&gt;='FORMULA REFS'!F$1,$Y111,"")))</f>
        <v/>
      </c>
      <c r="O233" s="882" t="str">
        <f>IF($E$30="Enter Duration (wks)","",IF($Y111="Enter Hrs/Wk","",IF($E$30&gt;='FORMULA REFS'!G$1,$Y111,"")))</f>
        <v/>
      </c>
      <c r="P233" s="882" t="str">
        <f>IF($E$30="Enter Duration (wks)","",IF($Y111="Enter Hrs/Wk","",IF($E$30&gt;='FORMULA REFS'!H$1,$Y111,"")))</f>
        <v/>
      </c>
      <c r="Q233" s="882" t="str">
        <f>IF($E$30="Enter Duration (wks)","",IF($Y111="Enter Hrs/Wk","",IF($E$30&gt;='FORMULA REFS'!I$1,$Y111,"")))</f>
        <v/>
      </c>
      <c r="R233" s="882" t="str">
        <f>IF($E$30="Enter Duration (wks)","",IF($Y111="Enter Hrs/Wk","",IF($E$30&gt;='FORMULA REFS'!J$1,$Y111,"")))</f>
        <v/>
      </c>
      <c r="S233" s="882" t="str">
        <f>IF($E$30="Enter Duration (wks)","",IF($Y111="Enter Hrs/Wk","",IF($E$30&gt;='FORMULA REFS'!K$1,$Y111,"")))</f>
        <v/>
      </c>
      <c r="T233" s="1323" t="str">
        <f>IF($E$30="Enter Duration (wks)","",IF($Y111="Enter Hrs/Wk","",IF($E$30&gt;='FORMULA REFS'!L$1,$Y111,"")))</f>
        <v/>
      </c>
      <c r="U233" s="882" t="str">
        <f>IF($E$30="Enter Duration (wks)","",IF($Y111="Enter Hrs/Wk","",IF($E$30&gt;='FORMULA REFS'!M$1,$Y111,"")))</f>
        <v/>
      </c>
      <c r="V233" s="882"/>
      <c r="W233" s="882"/>
      <c r="X233" s="1285"/>
      <c r="Y233" s="1285" t="str">
        <f>IF($E$30="Enter Duration (wks)","",IF($Y111="Enter Hrs/Wk","",IF($E$30&gt;='FORMULA REFS'!N$1,$Y111,"")))</f>
        <v/>
      </c>
      <c r="Z233" s="1343" t="str">
        <f>IF($E$30="Enter Duration (wks)","",IF($Y111="Enter Hrs/Wk","",IF($E$30&gt;='FORMULA REFS'!O$1,$Y111,"")))</f>
        <v/>
      </c>
      <c r="AA233" s="882" t="str">
        <f>IF($E$30="Enter Duration (wks)","",IF($Y111="Enter Hrs/Wk","",IF($E$30&gt;='FORMULA REFS'!P$1,$Y111,"")))</f>
        <v/>
      </c>
      <c r="AB233" s="882" t="str">
        <f>IF($E$30="Enter Duration (wks)","",IF($Y111="Enter Hrs/Wk","",IF($E$30&gt;='FORMULA REFS'!Q$1,$Y111,"")))</f>
        <v/>
      </c>
      <c r="AC233" s="882"/>
      <c r="AD233" s="882"/>
      <c r="AE233" s="882"/>
      <c r="AF233" s="882"/>
      <c r="AG233" s="1286" t="str">
        <f>IF($E$30="Enter Duration (wks)","",IF($Y111="Enter Hrs/Wk","",IF($E$30&gt;='FORMULA REFS'!R$1,$Y111,"")))</f>
        <v/>
      </c>
      <c r="AH233" s="1286" t="str">
        <f>IF($E$30="Enter Duration (wks)","",IF($Y111="Enter Hrs/Wk","",IF($E$30&gt;='FORMULA REFS'!S$1,$Y111,"")))</f>
        <v/>
      </c>
      <c r="AI233" s="1286" t="str">
        <f>IF($E$30="Enter Duration (wks)","",IF($Y111="Enter Hrs/Wk","",IF($E$30&gt;='FORMULA REFS'!T$1,$Y111,"")))</f>
        <v/>
      </c>
      <c r="AJ233" s="1286" t="str">
        <f>IF($E$30="Enter Duration (wks)","",IF($Y111="Enter Hrs/Wk","",IF($E$30&gt;='FORMULA REFS'!U$1,$Y111,"")))</f>
        <v/>
      </c>
      <c r="AK233" s="1286" t="str">
        <f>IF($E$30="Enter Duration (wks)","",IF($Y111="Enter Hrs/Wk","",IF($E$30&gt;='FORMULA REFS'!V$1,$Y111,"")))</f>
        <v/>
      </c>
      <c r="AL233" s="1286" t="str">
        <f>IF($E$30="Enter Duration (wks)","",IF($Y111="Enter Hrs/Wk","",IF($E$30&gt;='FORMULA REFS'!W$1,$Y111,"")))</f>
        <v/>
      </c>
      <c r="AM233" s="1286" t="str">
        <f>IF($E$30="Enter Duration (wks)","",IF($Y111="Enter Hrs/Wk","",IF($E$30&gt;='FORMULA REFS'!X$1,$Y111,"")))</f>
        <v/>
      </c>
      <c r="AN233" s="1286" t="str">
        <f>IF($E$30="Enter Duration (wks)","",IF($Y111="Enter Hrs/Wk","",IF($E$30&gt;='FORMULA REFS'!Y$1,$Y111,"")))</f>
        <v/>
      </c>
      <c r="AO233" s="1286" t="str">
        <f>IF($E$30="Enter Duration (wks)","",IF($Y111="Enter Hrs/Wk","",IF($E$30&gt;='FORMULA REFS'!Z$1,$Y111,"")))</f>
        <v/>
      </c>
      <c r="AP233" s="1286" t="str">
        <f>IF($E$30="Enter Duration (wks)","",IF($Y111="Enter Hrs/Wk","",IF($E$30&gt;='FORMULA REFS'!AA$1,$Y111,"")))</f>
        <v/>
      </c>
      <c r="AQ233" s="1286" t="str">
        <f>IF($E$30="Enter Duration (wks)","",IF($Y111="Enter Hrs/Wk","",IF($E$30&gt;='FORMULA REFS'!AB$1,$Y111,"")))</f>
        <v/>
      </c>
      <c r="AR233" s="1286" t="str">
        <f>IF($E$30="Enter Duration (wks)","",IF($Y111="Enter Hrs/Wk","",IF($E$30&gt;='FORMULA REFS'!AC$1,$Y111,"")))</f>
        <v/>
      </c>
      <c r="AS233" s="1286" t="str">
        <f>IF($E$30="Enter Duration (wks)","",IF($Y111="Enter Hrs/Wk","",IF($E$30&gt;='FORMULA REFS'!AD$1,$Y111,"")))</f>
        <v/>
      </c>
      <c r="AT233" s="1286" t="str">
        <f>IF($E$30="Enter Duration (wks)","",IF($Y111="Enter Hrs/Wk","",IF($E$30&gt;='FORMULA REFS'!AE$1,$Y111,"")))</f>
        <v/>
      </c>
      <c r="AU233" s="1286" t="str">
        <f>IF($E$30="Enter Duration (wks)","",IF($Y111="Enter Hrs/Wk","",IF($E$30&gt;='FORMULA REFS'!AF$1,$Y111,"")))</f>
        <v/>
      </c>
      <c r="AV233" s="1286" t="str">
        <f>IF($E$30="Enter Duration (wks)","",IF($Y111="Enter Hrs/Wk","",IF($E$30&gt;='FORMULA REFS'!AG$1,$Y111,"")))</f>
        <v/>
      </c>
      <c r="AW233" s="1286" t="str">
        <f>IF($E$30="Enter Duration (wks)","",IF($Y111="Enter Hrs/Wk","",IF($E$30&gt;='FORMULA REFS'!AH$1,$Y111,"")))</f>
        <v/>
      </c>
      <c r="AX233" s="1286" t="str">
        <f>IF($E$30="Enter Duration (wks)","",IF($Y111="Enter Hrs/Wk","",IF($E$30&gt;='FORMULA REFS'!AI$1,$Y111,"")))</f>
        <v/>
      </c>
      <c r="AY233" s="1286" t="str">
        <f>IF($E$30="Enter Duration (wks)","",IF($Y111="Enter Hrs/Wk","",IF($E$30&gt;='FORMULA REFS'!AJ$1,$Y111,"")))</f>
        <v/>
      </c>
      <c r="AZ233" s="1286" t="str">
        <f>IF($E$30="Enter Duration (wks)","",IF($Y111="Enter Hrs/Wk","",IF($E$30&gt;='FORMULA REFS'!AK$1,$Y111,"")))</f>
        <v/>
      </c>
      <c r="BA233" s="1286" t="str">
        <f>IF($E$30="Enter Duration (wks)","",IF($Y111="Enter Hrs/Wk","",IF($E$30&gt;='FORMULA REFS'!AL$1,$Y111,"")))</f>
        <v/>
      </c>
      <c r="BB233" s="1286" t="str">
        <f>IF($E$30="Enter Duration (wks)","",IF($Y111="Enter Hrs/Wk","",IF($E$30&gt;='FORMULA REFS'!AM$1,$Y111,"")))</f>
        <v/>
      </c>
      <c r="BC233" s="1286" t="str">
        <f>IF($E$30="Enter Duration (wks)","",IF($Y111="Enter Hrs/Wk","",IF($E$30&gt;='FORMULA REFS'!AN$1,$Y111,"")))</f>
        <v/>
      </c>
      <c r="BD233" s="1286" t="str">
        <f>IF($E$30="Enter Duration (wks)","",IF($Y111="Enter Hrs/Wk","",IF($E$30&gt;='FORMULA REFS'!AO$1,$Y111,"")))</f>
        <v/>
      </c>
      <c r="BE233" s="1286" t="str">
        <f>IF($E$30="Enter Duration (wks)","",IF($Y111="Enter Hrs/Wk","",IF($E$30&gt;='FORMULA REFS'!AP$1,$Y111,"")))</f>
        <v/>
      </c>
      <c r="BF233" s="1286" t="str">
        <f>IF($E$30="Enter Duration (wks)","",IF($Y111="Enter Hrs/Wk","",IF($E$30&gt;='FORMULA REFS'!AQ$1,$Y111,"")))</f>
        <v/>
      </c>
      <c r="BG233" s="1286" t="str">
        <f>IF($E$30="Enter Duration (wks)","",IF($Y111="Enter Hrs/Wk","",IF($E$30&gt;='FORMULA REFS'!AR$1,$Y111,"")))</f>
        <v/>
      </c>
      <c r="BH233" s="1286" t="str">
        <f>IF($E$30="Enter Duration (wks)","",IF($Y111="Enter Hrs/Wk","",IF($E$30&gt;='FORMULA REFS'!AS$1,$Y111,"")))</f>
        <v/>
      </c>
      <c r="BI233" s="1286" t="str">
        <f>IF($E$30="Enter Duration (wks)","",IF($Y111="Enter Hrs/Wk","",IF($E$30&gt;='FORMULA REFS'!AT$1,$Y111,"")))</f>
        <v/>
      </c>
      <c r="BJ233" s="1286" t="str">
        <f>IF($E$30="Enter Duration (wks)","",IF($Y111="Enter Hrs/Wk","",IF($E$30&gt;='FORMULA REFS'!AU$1,$Y111,"")))</f>
        <v/>
      </c>
      <c r="BK233" s="1286" t="str">
        <f>IF($E$30="Enter Duration (wks)","",IF($Y111="Enter Hrs/Wk","",IF($E$30&gt;='FORMULA REFS'!AV$1,$Y111,"")))</f>
        <v/>
      </c>
      <c r="BL233" s="1286" t="str">
        <f>IF($E$30="Enter Duration (wks)","",IF($Y111="Enter Hrs/Wk","",IF($E$30&gt;='FORMULA REFS'!AW$1,$Y111,"")))</f>
        <v/>
      </c>
      <c r="BM233" s="1286" t="str">
        <f>IF($E$30="Enter Duration (wks)","",IF($Y111="Enter Hrs/Wk","",IF($E$30&gt;='FORMULA REFS'!AX$1,$Y111,"")))</f>
        <v/>
      </c>
      <c r="BN233" s="1286" t="str">
        <f>IF($E$30="Enter Duration (wks)","",IF($Y111="Enter Hrs/Wk","",IF($E$30&gt;='FORMULA REFS'!AY$1,$Y111,"")))</f>
        <v/>
      </c>
      <c r="BO233" s="1286" t="str">
        <f>IF($E$30="Enter Duration (wks)","",IF($Y111="Enter Hrs/Wk","",IF($E$30&gt;='FORMULA REFS'!AZ$1,$Y111,"")))</f>
        <v/>
      </c>
    </row>
    <row r="234" spans="3:67" hidden="1" outlineLevel="1" x14ac:dyDescent="0.25">
      <c r="C234" s="1291" t="str">
        <f t="shared" si="82"/>
        <v/>
      </c>
      <c r="D234" s="1319" t="str">
        <f t="shared" si="81"/>
        <v/>
      </c>
      <c r="E234" s="1326"/>
      <c r="F234" s="1327" t="str">
        <f>IF($E$30="Enter Duration (wks)","",IF($Y112="Enter Hrs/Wk","",IF($E$30&gt;='FORMULA REFS'!A$1,$Y112,"")))</f>
        <v/>
      </c>
      <c r="G234" s="1328"/>
      <c r="H234" s="1570"/>
      <c r="I234" s="1329" t="str">
        <f>IF($E$30="Enter Duration (wks)","",IF($Y112="Enter Hrs/Wk","",IF($E$30&gt;='FORMULA REFS'!B$1,$Y112,"")))</f>
        <v/>
      </c>
      <c r="J234" s="1323"/>
      <c r="K234" s="1286" t="str">
        <f>IF($E$30="Enter Duration (wks)","",IF($Y112="Enter Hrs/Wk","",IF($E$30&gt;='FORMULA REFS'!C$1,$Y112,"")))</f>
        <v/>
      </c>
      <c r="L234" s="882" t="str">
        <f>IF($E$30="Enter Duration (wks)","",IF($Y112="Enter Hrs/Wk","",IF($E$30&gt;='FORMULA REFS'!D$1,$Y112,"")))</f>
        <v/>
      </c>
      <c r="M234" s="882" t="str">
        <f>IF($E$30="Enter Duration (wks)","",IF($Y112="Enter Hrs/Wk","",IF($E$30&gt;='FORMULA REFS'!E$1,$Y112,"")))</f>
        <v/>
      </c>
      <c r="N234" s="882" t="str">
        <f>IF($E$30="Enter Duration (wks)","",IF($Y112="Enter Hrs/Wk","",IF($E$30&gt;='FORMULA REFS'!F$1,$Y112,"")))</f>
        <v/>
      </c>
      <c r="O234" s="882" t="str">
        <f>IF($E$30="Enter Duration (wks)","",IF($Y112="Enter Hrs/Wk","",IF($E$30&gt;='FORMULA REFS'!G$1,$Y112,"")))</f>
        <v/>
      </c>
      <c r="P234" s="882" t="str">
        <f>IF($E$30="Enter Duration (wks)","",IF($Y112="Enter Hrs/Wk","",IF($E$30&gt;='FORMULA REFS'!H$1,$Y112,"")))</f>
        <v/>
      </c>
      <c r="Q234" s="882" t="str">
        <f>IF($E$30="Enter Duration (wks)","",IF($Y112="Enter Hrs/Wk","",IF($E$30&gt;='FORMULA REFS'!I$1,$Y112,"")))</f>
        <v/>
      </c>
      <c r="R234" s="882" t="str">
        <f>IF($E$30="Enter Duration (wks)","",IF($Y112="Enter Hrs/Wk","",IF($E$30&gt;='FORMULA REFS'!J$1,$Y112,"")))</f>
        <v/>
      </c>
      <c r="S234" s="882" t="str">
        <f>IF($E$30="Enter Duration (wks)","",IF($Y112="Enter Hrs/Wk","",IF($E$30&gt;='FORMULA REFS'!K$1,$Y112,"")))</f>
        <v/>
      </c>
      <c r="T234" s="1323" t="str">
        <f>IF($E$30="Enter Duration (wks)","",IF($Y112="Enter Hrs/Wk","",IF($E$30&gt;='FORMULA REFS'!L$1,$Y112,"")))</f>
        <v/>
      </c>
      <c r="U234" s="882" t="str">
        <f>IF($E$30="Enter Duration (wks)","",IF($Y112="Enter Hrs/Wk","",IF($E$30&gt;='FORMULA REFS'!M$1,$Y112,"")))</f>
        <v/>
      </c>
      <c r="V234" s="882"/>
      <c r="W234" s="882"/>
      <c r="X234" s="1285"/>
      <c r="Y234" s="1285" t="str">
        <f>IF($E$30="Enter Duration (wks)","",IF($Y112="Enter Hrs/Wk","",IF($E$30&gt;='FORMULA REFS'!N$1,$Y112,"")))</f>
        <v/>
      </c>
      <c r="Z234" s="1343" t="str">
        <f>IF($E$30="Enter Duration (wks)","",IF($Y112="Enter Hrs/Wk","",IF($E$30&gt;='FORMULA REFS'!O$1,$Y112,"")))</f>
        <v/>
      </c>
      <c r="AA234" s="882" t="str">
        <f>IF($E$30="Enter Duration (wks)","",IF($Y112="Enter Hrs/Wk","",IF($E$30&gt;='FORMULA REFS'!P$1,$Y112,"")))</f>
        <v/>
      </c>
      <c r="AB234" s="882" t="str">
        <f>IF($E$30="Enter Duration (wks)","",IF($Y112="Enter Hrs/Wk","",IF($E$30&gt;='FORMULA REFS'!Q$1,$Y112,"")))</f>
        <v/>
      </c>
      <c r="AC234" s="882"/>
      <c r="AD234" s="882"/>
      <c r="AE234" s="882"/>
      <c r="AF234" s="882"/>
      <c r="AG234" s="1286" t="str">
        <f>IF($E$30="Enter Duration (wks)","",IF($Y112="Enter Hrs/Wk","",IF($E$30&gt;='FORMULA REFS'!R$1,$Y112,"")))</f>
        <v/>
      </c>
      <c r="AH234" s="1286" t="str">
        <f>IF($E$30="Enter Duration (wks)","",IF($Y112="Enter Hrs/Wk","",IF($E$30&gt;='FORMULA REFS'!S$1,$Y112,"")))</f>
        <v/>
      </c>
      <c r="AI234" s="1286" t="str">
        <f>IF($E$30="Enter Duration (wks)","",IF($Y112="Enter Hrs/Wk","",IF($E$30&gt;='FORMULA REFS'!T$1,$Y112,"")))</f>
        <v/>
      </c>
      <c r="AJ234" s="1286" t="str">
        <f>IF($E$30="Enter Duration (wks)","",IF($Y112="Enter Hrs/Wk","",IF($E$30&gt;='FORMULA REFS'!U$1,$Y112,"")))</f>
        <v/>
      </c>
      <c r="AK234" s="1286" t="str">
        <f>IF($E$30="Enter Duration (wks)","",IF($Y112="Enter Hrs/Wk","",IF($E$30&gt;='FORMULA REFS'!V$1,$Y112,"")))</f>
        <v/>
      </c>
      <c r="AL234" s="1286" t="str">
        <f>IF($E$30="Enter Duration (wks)","",IF($Y112="Enter Hrs/Wk","",IF($E$30&gt;='FORMULA REFS'!W$1,$Y112,"")))</f>
        <v/>
      </c>
      <c r="AM234" s="1286" t="str">
        <f>IF($E$30="Enter Duration (wks)","",IF($Y112="Enter Hrs/Wk","",IF($E$30&gt;='FORMULA REFS'!X$1,$Y112,"")))</f>
        <v/>
      </c>
      <c r="AN234" s="1286" t="str">
        <f>IF($E$30="Enter Duration (wks)","",IF($Y112="Enter Hrs/Wk","",IF($E$30&gt;='FORMULA REFS'!Y$1,$Y112,"")))</f>
        <v/>
      </c>
      <c r="AO234" s="1286" t="str">
        <f>IF($E$30="Enter Duration (wks)","",IF($Y112="Enter Hrs/Wk","",IF($E$30&gt;='FORMULA REFS'!Z$1,$Y112,"")))</f>
        <v/>
      </c>
      <c r="AP234" s="1286" t="str">
        <f>IF($E$30="Enter Duration (wks)","",IF($Y112="Enter Hrs/Wk","",IF($E$30&gt;='FORMULA REFS'!AA$1,$Y112,"")))</f>
        <v/>
      </c>
      <c r="AQ234" s="1286" t="str">
        <f>IF($E$30="Enter Duration (wks)","",IF($Y112="Enter Hrs/Wk","",IF($E$30&gt;='FORMULA REFS'!AB$1,$Y112,"")))</f>
        <v/>
      </c>
      <c r="AR234" s="1286" t="str">
        <f>IF($E$30="Enter Duration (wks)","",IF($Y112="Enter Hrs/Wk","",IF($E$30&gt;='FORMULA REFS'!AC$1,$Y112,"")))</f>
        <v/>
      </c>
      <c r="AS234" s="1286" t="str">
        <f>IF($E$30="Enter Duration (wks)","",IF($Y112="Enter Hrs/Wk","",IF($E$30&gt;='FORMULA REFS'!AD$1,$Y112,"")))</f>
        <v/>
      </c>
      <c r="AT234" s="1286" t="str">
        <f>IF($E$30="Enter Duration (wks)","",IF($Y112="Enter Hrs/Wk","",IF($E$30&gt;='FORMULA REFS'!AE$1,$Y112,"")))</f>
        <v/>
      </c>
      <c r="AU234" s="1286" t="str">
        <f>IF($E$30="Enter Duration (wks)","",IF($Y112="Enter Hrs/Wk","",IF($E$30&gt;='FORMULA REFS'!AF$1,$Y112,"")))</f>
        <v/>
      </c>
      <c r="AV234" s="1286" t="str">
        <f>IF($E$30="Enter Duration (wks)","",IF($Y112="Enter Hrs/Wk","",IF($E$30&gt;='FORMULA REFS'!AG$1,$Y112,"")))</f>
        <v/>
      </c>
      <c r="AW234" s="1286" t="str">
        <f>IF($E$30="Enter Duration (wks)","",IF($Y112="Enter Hrs/Wk","",IF($E$30&gt;='FORMULA REFS'!AH$1,$Y112,"")))</f>
        <v/>
      </c>
      <c r="AX234" s="1286" t="str">
        <f>IF($E$30="Enter Duration (wks)","",IF($Y112="Enter Hrs/Wk","",IF($E$30&gt;='FORMULA REFS'!AI$1,$Y112,"")))</f>
        <v/>
      </c>
      <c r="AY234" s="1286" t="str">
        <f>IF($E$30="Enter Duration (wks)","",IF($Y112="Enter Hrs/Wk","",IF($E$30&gt;='FORMULA REFS'!AJ$1,$Y112,"")))</f>
        <v/>
      </c>
      <c r="AZ234" s="1286" t="str">
        <f>IF($E$30="Enter Duration (wks)","",IF($Y112="Enter Hrs/Wk","",IF($E$30&gt;='FORMULA REFS'!AK$1,$Y112,"")))</f>
        <v/>
      </c>
      <c r="BA234" s="1286" t="str">
        <f>IF($E$30="Enter Duration (wks)","",IF($Y112="Enter Hrs/Wk","",IF($E$30&gt;='FORMULA REFS'!AL$1,$Y112,"")))</f>
        <v/>
      </c>
      <c r="BB234" s="1286" t="str">
        <f>IF($E$30="Enter Duration (wks)","",IF($Y112="Enter Hrs/Wk","",IF($E$30&gt;='FORMULA REFS'!AM$1,$Y112,"")))</f>
        <v/>
      </c>
      <c r="BC234" s="1286" t="str">
        <f>IF($E$30="Enter Duration (wks)","",IF($Y112="Enter Hrs/Wk","",IF($E$30&gt;='FORMULA REFS'!AN$1,$Y112,"")))</f>
        <v/>
      </c>
      <c r="BD234" s="1286" t="str">
        <f>IF($E$30="Enter Duration (wks)","",IF($Y112="Enter Hrs/Wk","",IF($E$30&gt;='FORMULA REFS'!AO$1,$Y112,"")))</f>
        <v/>
      </c>
      <c r="BE234" s="1286" t="str">
        <f>IF($E$30="Enter Duration (wks)","",IF($Y112="Enter Hrs/Wk","",IF($E$30&gt;='FORMULA REFS'!AP$1,$Y112,"")))</f>
        <v/>
      </c>
      <c r="BF234" s="1286" t="str">
        <f>IF($E$30="Enter Duration (wks)","",IF($Y112="Enter Hrs/Wk","",IF($E$30&gt;='FORMULA REFS'!AQ$1,$Y112,"")))</f>
        <v/>
      </c>
      <c r="BG234" s="1286" t="str">
        <f>IF($E$30="Enter Duration (wks)","",IF($Y112="Enter Hrs/Wk","",IF($E$30&gt;='FORMULA REFS'!AR$1,$Y112,"")))</f>
        <v/>
      </c>
      <c r="BH234" s="1286" t="str">
        <f>IF($E$30="Enter Duration (wks)","",IF($Y112="Enter Hrs/Wk","",IF($E$30&gt;='FORMULA REFS'!AS$1,$Y112,"")))</f>
        <v/>
      </c>
      <c r="BI234" s="1286" t="str">
        <f>IF($E$30="Enter Duration (wks)","",IF($Y112="Enter Hrs/Wk","",IF($E$30&gt;='FORMULA REFS'!AT$1,$Y112,"")))</f>
        <v/>
      </c>
      <c r="BJ234" s="1286" t="str">
        <f>IF($E$30="Enter Duration (wks)","",IF($Y112="Enter Hrs/Wk","",IF($E$30&gt;='FORMULA REFS'!AU$1,$Y112,"")))</f>
        <v/>
      </c>
      <c r="BK234" s="1286" t="str">
        <f>IF($E$30="Enter Duration (wks)","",IF($Y112="Enter Hrs/Wk","",IF($E$30&gt;='FORMULA REFS'!AV$1,$Y112,"")))</f>
        <v/>
      </c>
      <c r="BL234" s="1286" t="str">
        <f>IF($E$30="Enter Duration (wks)","",IF($Y112="Enter Hrs/Wk","",IF($E$30&gt;='FORMULA REFS'!AW$1,$Y112,"")))</f>
        <v/>
      </c>
      <c r="BM234" s="1286" t="str">
        <f>IF($E$30="Enter Duration (wks)","",IF($Y112="Enter Hrs/Wk","",IF($E$30&gt;='FORMULA REFS'!AX$1,$Y112,"")))</f>
        <v/>
      </c>
      <c r="BN234" s="1286" t="str">
        <f>IF($E$30="Enter Duration (wks)","",IF($Y112="Enter Hrs/Wk","",IF($E$30&gt;='FORMULA REFS'!AY$1,$Y112,"")))</f>
        <v/>
      </c>
      <c r="BO234" s="1286" t="str">
        <f>IF($E$30="Enter Duration (wks)","",IF($Y112="Enter Hrs/Wk","",IF($E$30&gt;='FORMULA REFS'!AZ$1,$Y112,"")))</f>
        <v/>
      </c>
    </row>
    <row r="235" spans="3:67" hidden="1" outlineLevel="1" x14ac:dyDescent="0.25">
      <c r="C235" s="1291" t="str">
        <f t="shared" ref="C235:C266" si="83">IF(ISBLANK(C113),"",C113)</f>
        <v/>
      </c>
      <c r="D235" s="1319" t="str">
        <f t="shared" si="81"/>
        <v/>
      </c>
      <c r="E235" s="1326"/>
      <c r="F235" s="1327" t="str">
        <f>IF($E$30="Enter Duration (wks)","",IF($Y113="Enter Hrs/Wk","",IF($E$30&gt;='FORMULA REFS'!A$1,$Y113,"")))</f>
        <v/>
      </c>
      <c r="G235" s="1328"/>
      <c r="H235" s="1570"/>
      <c r="I235" s="1329" t="str">
        <f>IF($E$30="Enter Duration (wks)","",IF($Y113="Enter Hrs/Wk","",IF($E$30&gt;='FORMULA REFS'!B$1,$Y113,"")))</f>
        <v/>
      </c>
      <c r="J235" s="1323"/>
      <c r="K235" s="1286" t="str">
        <f>IF($E$30="Enter Duration (wks)","",IF($Y113="Enter Hrs/Wk","",IF($E$30&gt;='FORMULA REFS'!C$1,$Y113,"")))</f>
        <v/>
      </c>
      <c r="L235" s="882" t="str">
        <f>IF($E$30="Enter Duration (wks)","",IF($Y113="Enter Hrs/Wk","",IF($E$30&gt;='FORMULA REFS'!D$1,$Y113,"")))</f>
        <v/>
      </c>
      <c r="M235" s="882" t="str">
        <f>IF($E$30="Enter Duration (wks)","",IF($Y113="Enter Hrs/Wk","",IF($E$30&gt;='FORMULA REFS'!E$1,$Y113,"")))</f>
        <v/>
      </c>
      <c r="N235" s="882" t="str">
        <f>IF($E$30="Enter Duration (wks)","",IF($Y113="Enter Hrs/Wk","",IF($E$30&gt;='FORMULA REFS'!F$1,$Y113,"")))</f>
        <v/>
      </c>
      <c r="O235" s="882" t="str">
        <f>IF($E$30="Enter Duration (wks)","",IF($Y113="Enter Hrs/Wk","",IF($E$30&gt;='FORMULA REFS'!G$1,$Y113,"")))</f>
        <v/>
      </c>
      <c r="P235" s="882" t="str">
        <f>IF($E$30="Enter Duration (wks)","",IF($Y113="Enter Hrs/Wk","",IF($E$30&gt;='FORMULA REFS'!H$1,$Y113,"")))</f>
        <v/>
      </c>
      <c r="Q235" s="882" t="str">
        <f>IF($E$30="Enter Duration (wks)","",IF($Y113="Enter Hrs/Wk","",IF($E$30&gt;='FORMULA REFS'!I$1,$Y113,"")))</f>
        <v/>
      </c>
      <c r="R235" s="882" t="str">
        <f>IF($E$30="Enter Duration (wks)","",IF($Y113="Enter Hrs/Wk","",IF($E$30&gt;='FORMULA REFS'!J$1,$Y113,"")))</f>
        <v/>
      </c>
      <c r="S235" s="882" t="str">
        <f>IF($E$30="Enter Duration (wks)","",IF($Y113="Enter Hrs/Wk","",IF($E$30&gt;='FORMULA REFS'!K$1,$Y113,"")))</f>
        <v/>
      </c>
      <c r="T235" s="1323" t="str">
        <f>IF($E$30="Enter Duration (wks)","",IF($Y113="Enter Hrs/Wk","",IF($E$30&gt;='FORMULA REFS'!L$1,$Y113,"")))</f>
        <v/>
      </c>
      <c r="U235" s="882" t="str">
        <f>IF($E$30="Enter Duration (wks)","",IF($Y113="Enter Hrs/Wk","",IF($E$30&gt;='FORMULA REFS'!M$1,$Y113,"")))</f>
        <v/>
      </c>
      <c r="V235" s="882"/>
      <c r="W235" s="882"/>
      <c r="X235" s="1285"/>
      <c r="Y235" s="1285" t="str">
        <f>IF($E$30="Enter Duration (wks)","",IF($Y113="Enter Hrs/Wk","",IF($E$30&gt;='FORMULA REFS'!N$1,$Y113,"")))</f>
        <v/>
      </c>
      <c r="Z235" s="1343" t="str">
        <f>IF($E$30="Enter Duration (wks)","",IF($Y113="Enter Hrs/Wk","",IF($E$30&gt;='FORMULA REFS'!O$1,$Y113,"")))</f>
        <v/>
      </c>
      <c r="AA235" s="882" t="str">
        <f>IF($E$30="Enter Duration (wks)","",IF($Y113="Enter Hrs/Wk","",IF($E$30&gt;='FORMULA REFS'!P$1,$Y113,"")))</f>
        <v/>
      </c>
      <c r="AB235" s="882" t="str">
        <f>IF($E$30="Enter Duration (wks)","",IF($Y113="Enter Hrs/Wk","",IF($E$30&gt;='FORMULA REFS'!Q$1,$Y113,"")))</f>
        <v/>
      </c>
      <c r="AC235" s="882"/>
      <c r="AD235" s="882"/>
      <c r="AE235" s="882"/>
      <c r="AF235" s="882"/>
      <c r="AG235" s="1286" t="str">
        <f>IF($E$30="Enter Duration (wks)","",IF($Y113="Enter Hrs/Wk","",IF($E$30&gt;='FORMULA REFS'!R$1,$Y113,"")))</f>
        <v/>
      </c>
      <c r="AH235" s="1286" t="str">
        <f>IF($E$30="Enter Duration (wks)","",IF($Y113="Enter Hrs/Wk","",IF($E$30&gt;='FORMULA REFS'!S$1,$Y113,"")))</f>
        <v/>
      </c>
      <c r="AI235" s="1286" t="str">
        <f>IF($E$30="Enter Duration (wks)","",IF($Y113="Enter Hrs/Wk","",IF($E$30&gt;='FORMULA REFS'!T$1,$Y113,"")))</f>
        <v/>
      </c>
      <c r="AJ235" s="1286" t="str">
        <f>IF($E$30="Enter Duration (wks)","",IF($Y113="Enter Hrs/Wk","",IF($E$30&gt;='FORMULA REFS'!U$1,$Y113,"")))</f>
        <v/>
      </c>
      <c r="AK235" s="1286" t="str">
        <f>IF($E$30="Enter Duration (wks)","",IF($Y113="Enter Hrs/Wk","",IF($E$30&gt;='FORMULA REFS'!V$1,$Y113,"")))</f>
        <v/>
      </c>
      <c r="AL235" s="1286" t="str">
        <f>IF($E$30="Enter Duration (wks)","",IF($Y113="Enter Hrs/Wk","",IF($E$30&gt;='FORMULA REFS'!W$1,$Y113,"")))</f>
        <v/>
      </c>
      <c r="AM235" s="1286" t="str">
        <f>IF($E$30="Enter Duration (wks)","",IF($Y113="Enter Hrs/Wk","",IF($E$30&gt;='FORMULA REFS'!X$1,$Y113,"")))</f>
        <v/>
      </c>
      <c r="AN235" s="1286" t="str">
        <f>IF($E$30="Enter Duration (wks)","",IF($Y113="Enter Hrs/Wk","",IF($E$30&gt;='FORMULA REFS'!Y$1,$Y113,"")))</f>
        <v/>
      </c>
      <c r="AO235" s="1286" t="str">
        <f>IF($E$30="Enter Duration (wks)","",IF($Y113="Enter Hrs/Wk","",IF($E$30&gt;='FORMULA REFS'!Z$1,$Y113,"")))</f>
        <v/>
      </c>
      <c r="AP235" s="1286" t="str">
        <f>IF($E$30="Enter Duration (wks)","",IF($Y113="Enter Hrs/Wk","",IF($E$30&gt;='FORMULA REFS'!AA$1,$Y113,"")))</f>
        <v/>
      </c>
      <c r="AQ235" s="1286" t="str">
        <f>IF($E$30="Enter Duration (wks)","",IF($Y113="Enter Hrs/Wk","",IF($E$30&gt;='FORMULA REFS'!AB$1,$Y113,"")))</f>
        <v/>
      </c>
      <c r="AR235" s="1286" t="str">
        <f>IF($E$30="Enter Duration (wks)","",IF($Y113="Enter Hrs/Wk","",IF($E$30&gt;='FORMULA REFS'!AC$1,$Y113,"")))</f>
        <v/>
      </c>
      <c r="AS235" s="1286" t="str">
        <f>IF($E$30="Enter Duration (wks)","",IF($Y113="Enter Hrs/Wk","",IF($E$30&gt;='FORMULA REFS'!AD$1,$Y113,"")))</f>
        <v/>
      </c>
      <c r="AT235" s="1286" t="str">
        <f>IF($E$30="Enter Duration (wks)","",IF($Y113="Enter Hrs/Wk","",IF($E$30&gt;='FORMULA REFS'!AE$1,$Y113,"")))</f>
        <v/>
      </c>
      <c r="AU235" s="1286" t="str">
        <f>IF($E$30="Enter Duration (wks)","",IF($Y113="Enter Hrs/Wk","",IF($E$30&gt;='FORMULA REFS'!AF$1,$Y113,"")))</f>
        <v/>
      </c>
      <c r="AV235" s="1286" t="str">
        <f>IF($E$30="Enter Duration (wks)","",IF($Y113="Enter Hrs/Wk","",IF($E$30&gt;='FORMULA REFS'!AG$1,$Y113,"")))</f>
        <v/>
      </c>
      <c r="AW235" s="1286" t="str">
        <f>IF($E$30="Enter Duration (wks)","",IF($Y113="Enter Hrs/Wk","",IF($E$30&gt;='FORMULA REFS'!AH$1,$Y113,"")))</f>
        <v/>
      </c>
      <c r="AX235" s="1286" t="str">
        <f>IF($E$30="Enter Duration (wks)","",IF($Y113="Enter Hrs/Wk","",IF($E$30&gt;='FORMULA REFS'!AI$1,$Y113,"")))</f>
        <v/>
      </c>
      <c r="AY235" s="1286" t="str">
        <f>IF($E$30="Enter Duration (wks)","",IF($Y113="Enter Hrs/Wk","",IF($E$30&gt;='FORMULA REFS'!AJ$1,$Y113,"")))</f>
        <v/>
      </c>
      <c r="AZ235" s="1286" t="str">
        <f>IF($E$30="Enter Duration (wks)","",IF($Y113="Enter Hrs/Wk","",IF($E$30&gt;='FORMULA REFS'!AK$1,$Y113,"")))</f>
        <v/>
      </c>
      <c r="BA235" s="1286" t="str">
        <f>IF($E$30="Enter Duration (wks)","",IF($Y113="Enter Hrs/Wk","",IF($E$30&gt;='FORMULA REFS'!AL$1,$Y113,"")))</f>
        <v/>
      </c>
      <c r="BB235" s="1286" t="str">
        <f>IF($E$30="Enter Duration (wks)","",IF($Y113="Enter Hrs/Wk","",IF($E$30&gt;='FORMULA REFS'!AM$1,$Y113,"")))</f>
        <v/>
      </c>
      <c r="BC235" s="1286" t="str">
        <f>IF($E$30="Enter Duration (wks)","",IF($Y113="Enter Hrs/Wk","",IF($E$30&gt;='FORMULA REFS'!AN$1,$Y113,"")))</f>
        <v/>
      </c>
      <c r="BD235" s="1286" t="str">
        <f>IF($E$30="Enter Duration (wks)","",IF($Y113="Enter Hrs/Wk","",IF($E$30&gt;='FORMULA REFS'!AO$1,$Y113,"")))</f>
        <v/>
      </c>
      <c r="BE235" s="1286" t="str">
        <f>IF($E$30="Enter Duration (wks)","",IF($Y113="Enter Hrs/Wk","",IF($E$30&gt;='FORMULA REFS'!AP$1,$Y113,"")))</f>
        <v/>
      </c>
      <c r="BF235" s="1286" t="str">
        <f>IF($E$30="Enter Duration (wks)","",IF($Y113="Enter Hrs/Wk","",IF($E$30&gt;='FORMULA REFS'!AQ$1,$Y113,"")))</f>
        <v/>
      </c>
      <c r="BG235" s="1286" t="str">
        <f>IF($E$30="Enter Duration (wks)","",IF($Y113="Enter Hrs/Wk","",IF($E$30&gt;='FORMULA REFS'!AR$1,$Y113,"")))</f>
        <v/>
      </c>
      <c r="BH235" s="1286" t="str">
        <f>IF($E$30="Enter Duration (wks)","",IF($Y113="Enter Hrs/Wk","",IF($E$30&gt;='FORMULA REFS'!AS$1,$Y113,"")))</f>
        <v/>
      </c>
      <c r="BI235" s="1286" t="str">
        <f>IF($E$30="Enter Duration (wks)","",IF($Y113="Enter Hrs/Wk","",IF($E$30&gt;='FORMULA REFS'!AT$1,$Y113,"")))</f>
        <v/>
      </c>
      <c r="BJ235" s="1286" t="str">
        <f>IF($E$30="Enter Duration (wks)","",IF($Y113="Enter Hrs/Wk","",IF($E$30&gt;='FORMULA REFS'!AU$1,$Y113,"")))</f>
        <v/>
      </c>
      <c r="BK235" s="1286" t="str">
        <f>IF($E$30="Enter Duration (wks)","",IF($Y113="Enter Hrs/Wk","",IF($E$30&gt;='FORMULA REFS'!AV$1,$Y113,"")))</f>
        <v/>
      </c>
      <c r="BL235" s="1286" t="str">
        <f>IF($E$30="Enter Duration (wks)","",IF($Y113="Enter Hrs/Wk","",IF($E$30&gt;='FORMULA REFS'!AW$1,$Y113,"")))</f>
        <v/>
      </c>
      <c r="BM235" s="1286" t="str">
        <f>IF($E$30="Enter Duration (wks)","",IF($Y113="Enter Hrs/Wk","",IF($E$30&gt;='FORMULA REFS'!AX$1,$Y113,"")))</f>
        <v/>
      </c>
      <c r="BN235" s="1286" t="str">
        <f>IF($E$30="Enter Duration (wks)","",IF($Y113="Enter Hrs/Wk","",IF($E$30&gt;='FORMULA REFS'!AY$1,$Y113,"")))</f>
        <v/>
      </c>
      <c r="BO235" s="1286" t="str">
        <f>IF($E$30="Enter Duration (wks)","",IF($Y113="Enter Hrs/Wk","",IF($E$30&gt;='FORMULA REFS'!AZ$1,$Y113,"")))</f>
        <v/>
      </c>
    </row>
    <row r="236" spans="3:67" ht="15" hidden="1" customHeight="1" outlineLevel="1" x14ac:dyDescent="0.25">
      <c r="C236" s="1291" t="str">
        <f t="shared" si="83"/>
        <v/>
      </c>
      <c r="D236" s="1319" t="str">
        <f t="shared" si="81"/>
        <v/>
      </c>
      <c r="E236" s="1326"/>
      <c r="F236" s="1327" t="str">
        <f>IF($E$30="Enter Duration (wks)","",IF($Y114="Enter Hrs/Wk","",IF($E$30&gt;='FORMULA REFS'!A$1,$Y114,"")))</f>
        <v/>
      </c>
      <c r="G236" s="1328"/>
      <c r="H236" s="1570"/>
      <c r="I236" s="1329" t="str">
        <f>IF($E$30="Enter Duration (wks)","",IF($Y114="Enter Hrs/Wk","",IF($E$30&gt;='FORMULA REFS'!B$1,$Y114,"")))</f>
        <v/>
      </c>
      <c r="J236" s="1323"/>
      <c r="K236" s="1286" t="str">
        <f>IF($E$30="Enter Duration (wks)","",IF($Y114="Enter Hrs/Wk","",IF($E$30&gt;='FORMULA REFS'!C$1,$Y114,"")))</f>
        <v/>
      </c>
      <c r="L236" s="882" t="str">
        <f>IF($E$30="Enter Duration (wks)","",IF($Y114="Enter Hrs/Wk","",IF($E$30&gt;='FORMULA REFS'!D$1,$Y114,"")))</f>
        <v/>
      </c>
      <c r="M236" s="882" t="str">
        <f>IF($E$30="Enter Duration (wks)","",IF($Y114="Enter Hrs/Wk","",IF($E$30&gt;='FORMULA REFS'!E$1,$Y114,"")))</f>
        <v/>
      </c>
      <c r="N236" s="882" t="str">
        <f>IF($E$30="Enter Duration (wks)","",IF($Y114="Enter Hrs/Wk","",IF($E$30&gt;='FORMULA REFS'!F$1,$Y114,"")))</f>
        <v/>
      </c>
      <c r="O236" s="882" t="str">
        <f>IF($E$30="Enter Duration (wks)","",IF($Y114="Enter Hrs/Wk","",IF($E$30&gt;='FORMULA REFS'!G$1,$Y114,"")))</f>
        <v/>
      </c>
      <c r="P236" s="882" t="str">
        <f>IF($E$30="Enter Duration (wks)","",IF($Y114="Enter Hrs/Wk","",IF($E$30&gt;='FORMULA REFS'!H$1,$Y114,"")))</f>
        <v/>
      </c>
      <c r="Q236" s="882" t="str">
        <f>IF($E$30="Enter Duration (wks)","",IF($Y114="Enter Hrs/Wk","",IF($E$30&gt;='FORMULA REFS'!I$1,$Y114,"")))</f>
        <v/>
      </c>
      <c r="R236" s="882" t="str">
        <f>IF($E$30="Enter Duration (wks)","",IF($Y114="Enter Hrs/Wk","",IF($E$30&gt;='FORMULA REFS'!J$1,$Y114,"")))</f>
        <v/>
      </c>
      <c r="S236" s="882" t="str">
        <f>IF($E$30="Enter Duration (wks)","",IF($Y114="Enter Hrs/Wk","",IF($E$30&gt;='FORMULA REFS'!K$1,$Y114,"")))</f>
        <v/>
      </c>
      <c r="T236" s="1323" t="str">
        <f>IF($E$30="Enter Duration (wks)","",IF($Y114="Enter Hrs/Wk","",IF($E$30&gt;='FORMULA REFS'!L$1,$Y114,"")))</f>
        <v/>
      </c>
      <c r="U236" s="882" t="str">
        <f>IF($E$30="Enter Duration (wks)","",IF($Y114="Enter Hrs/Wk","",IF($E$30&gt;='FORMULA REFS'!M$1,$Y114,"")))</f>
        <v/>
      </c>
      <c r="V236" s="882"/>
      <c r="W236" s="882"/>
      <c r="X236" s="1285"/>
      <c r="Y236" s="1285" t="str">
        <f>IF($E$30="Enter Duration (wks)","",IF($Y114="Enter Hrs/Wk","",IF($E$30&gt;='FORMULA REFS'!N$1,$Y114,"")))</f>
        <v/>
      </c>
      <c r="Z236" s="1343" t="str">
        <f>IF($E$30="Enter Duration (wks)","",IF($Y114="Enter Hrs/Wk","",IF($E$30&gt;='FORMULA REFS'!O$1,$Y114,"")))</f>
        <v/>
      </c>
      <c r="AA236" s="882" t="str">
        <f>IF($E$30="Enter Duration (wks)","",IF($Y114="Enter Hrs/Wk","",IF($E$30&gt;='FORMULA REFS'!P$1,$Y114,"")))</f>
        <v/>
      </c>
      <c r="AB236" s="882" t="str">
        <f>IF($E$30="Enter Duration (wks)","",IF($Y114="Enter Hrs/Wk","",IF($E$30&gt;='FORMULA REFS'!Q$1,$Y114,"")))</f>
        <v/>
      </c>
      <c r="AC236" s="882"/>
      <c r="AD236" s="882"/>
      <c r="AE236" s="882"/>
      <c r="AF236" s="882"/>
      <c r="AG236" s="1286" t="str">
        <f>IF($E$30="Enter Duration (wks)","",IF($Y114="Enter Hrs/Wk","",IF($E$30&gt;='FORMULA REFS'!R$1,$Y114,"")))</f>
        <v/>
      </c>
      <c r="AH236" s="1286" t="str">
        <f>IF($E$30="Enter Duration (wks)","",IF($Y114="Enter Hrs/Wk","",IF($E$30&gt;='FORMULA REFS'!S$1,$Y114,"")))</f>
        <v/>
      </c>
      <c r="AI236" s="1286" t="str">
        <f>IF($E$30="Enter Duration (wks)","",IF($Y114="Enter Hrs/Wk","",IF($E$30&gt;='FORMULA REFS'!T$1,$Y114,"")))</f>
        <v/>
      </c>
      <c r="AJ236" s="1286" t="str">
        <f>IF($E$30="Enter Duration (wks)","",IF($Y114="Enter Hrs/Wk","",IF($E$30&gt;='FORMULA REFS'!U$1,$Y114,"")))</f>
        <v/>
      </c>
      <c r="AK236" s="1286" t="str">
        <f>IF($E$30="Enter Duration (wks)","",IF($Y114="Enter Hrs/Wk","",IF($E$30&gt;='FORMULA REFS'!V$1,$Y114,"")))</f>
        <v/>
      </c>
      <c r="AL236" s="1286" t="str">
        <f>IF($E$30="Enter Duration (wks)","",IF($Y114="Enter Hrs/Wk","",IF($E$30&gt;='FORMULA REFS'!W$1,$Y114,"")))</f>
        <v/>
      </c>
      <c r="AM236" s="1286" t="str">
        <f>IF($E$30="Enter Duration (wks)","",IF($Y114="Enter Hrs/Wk","",IF($E$30&gt;='FORMULA REFS'!X$1,$Y114,"")))</f>
        <v/>
      </c>
      <c r="AN236" s="1286" t="str">
        <f>IF($E$30="Enter Duration (wks)","",IF($Y114="Enter Hrs/Wk","",IF($E$30&gt;='FORMULA REFS'!Y$1,$Y114,"")))</f>
        <v/>
      </c>
      <c r="AO236" s="1286" t="str">
        <f>IF($E$30="Enter Duration (wks)","",IF($Y114="Enter Hrs/Wk","",IF($E$30&gt;='FORMULA REFS'!Z$1,$Y114,"")))</f>
        <v/>
      </c>
      <c r="AP236" s="1286" t="str">
        <f>IF($E$30="Enter Duration (wks)","",IF($Y114="Enter Hrs/Wk","",IF($E$30&gt;='FORMULA REFS'!AA$1,$Y114,"")))</f>
        <v/>
      </c>
      <c r="AQ236" s="1286" t="str">
        <f>IF($E$30="Enter Duration (wks)","",IF($Y114="Enter Hrs/Wk","",IF($E$30&gt;='FORMULA REFS'!AB$1,$Y114,"")))</f>
        <v/>
      </c>
      <c r="AR236" s="1286" t="str">
        <f>IF($E$30="Enter Duration (wks)","",IF($Y114="Enter Hrs/Wk","",IF($E$30&gt;='FORMULA REFS'!AC$1,$Y114,"")))</f>
        <v/>
      </c>
      <c r="AS236" s="1286" t="str">
        <f>IF($E$30="Enter Duration (wks)","",IF($Y114="Enter Hrs/Wk","",IF($E$30&gt;='FORMULA REFS'!AD$1,$Y114,"")))</f>
        <v/>
      </c>
      <c r="AT236" s="1286" t="str">
        <f>IF($E$30="Enter Duration (wks)","",IF($Y114="Enter Hrs/Wk","",IF($E$30&gt;='FORMULA REFS'!AE$1,$Y114,"")))</f>
        <v/>
      </c>
      <c r="AU236" s="1286" t="str">
        <f>IF($E$30="Enter Duration (wks)","",IF($Y114="Enter Hrs/Wk","",IF($E$30&gt;='FORMULA REFS'!AF$1,$Y114,"")))</f>
        <v/>
      </c>
      <c r="AV236" s="1286" t="str">
        <f>IF($E$30="Enter Duration (wks)","",IF($Y114="Enter Hrs/Wk","",IF($E$30&gt;='FORMULA REFS'!AG$1,$Y114,"")))</f>
        <v/>
      </c>
      <c r="AW236" s="1286" t="str">
        <f>IF($E$30="Enter Duration (wks)","",IF($Y114="Enter Hrs/Wk","",IF($E$30&gt;='FORMULA REFS'!AH$1,$Y114,"")))</f>
        <v/>
      </c>
      <c r="AX236" s="1286" t="str">
        <f>IF($E$30="Enter Duration (wks)","",IF($Y114="Enter Hrs/Wk","",IF($E$30&gt;='FORMULA REFS'!AI$1,$Y114,"")))</f>
        <v/>
      </c>
      <c r="AY236" s="1286" t="str">
        <f>IF($E$30="Enter Duration (wks)","",IF($Y114="Enter Hrs/Wk","",IF($E$30&gt;='FORMULA REFS'!AJ$1,$Y114,"")))</f>
        <v/>
      </c>
      <c r="AZ236" s="1286" t="str">
        <f>IF($E$30="Enter Duration (wks)","",IF($Y114="Enter Hrs/Wk","",IF($E$30&gt;='FORMULA REFS'!AK$1,$Y114,"")))</f>
        <v/>
      </c>
      <c r="BA236" s="1286" t="str">
        <f>IF($E$30="Enter Duration (wks)","",IF($Y114="Enter Hrs/Wk","",IF($E$30&gt;='FORMULA REFS'!AL$1,$Y114,"")))</f>
        <v/>
      </c>
      <c r="BB236" s="1286" t="str">
        <f>IF($E$30="Enter Duration (wks)","",IF($Y114="Enter Hrs/Wk","",IF($E$30&gt;='FORMULA REFS'!AM$1,$Y114,"")))</f>
        <v/>
      </c>
      <c r="BC236" s="1286" t="str">
        <f>IF($E$30="Enter Duration (wks)","",IF($Y114="Enter Hrs/Wk","",IF($E$30&gt;='FORMULA REFS'!AN$1,$Y114,"")))</f>
        <v/>
      </c>
      <c r="BD236" s="1286" t="str">
        <f>IF($E$30="Enter Duration (wks)","",IF($Y114="Enter Hrs/Wk","",IF($E$30&gt;='FORMULA REFS'!AO$1,$Y114,"")))</f>
        <v/>
      </c>
      <c r="BE236" s="1286" t="str">
        <f>IF($E$30="Enter Duration (wks)","",IF($Y114="Enter Hrs/Wk","",IF($E$30&gt;='FORMULA REFS'!AP$1,$Y114,"")))</f>
        <v/>
      </c>
      <c r="BF236" s="1286" t="str">
        <f>IF($E$30="Enter Duration (wks)","",IF($Y114="Enter Hrs/Wk","",IF($E$30&gt;='FORMULA REFS'!AQ$1,$Y114,"")))</f>
        <v/>
      </c>
      <c r="BG236" s="1286" t="str">
        <f>IF($E$30="Enter Duration (wks)","",IF($Y114="Enter Hrs/Wk","",IF($E$30&gt;='FORMULA REFS'!AR$1,$Y114,"")))</f>
        <v/>
      </c>
      <c r="BH236" s="1286" t="str">
        <f>IF($E$30="Enter Duration (wks)","",IF($Y114="Enter Hrs/Wk","",IF($E$30&gt;='FORMULA REFS'!AS$1,$Y114,"")))</f>
        <v/>
      </c>
      <c r="BI236" s="1286" t="str">
        <f>IF($E$30="Enter Duration (wks)","",IF($Y114="Enter Hrs/Wk","",IF($E$30&gt;='FORMULA REFS'!AT$1,$Y114,"")))</f>
        <v/>
      </c>
      <c r="BJ236" s="1286" t="str">
        <f>IF($E$30="Enter Duration (wks)","",IF($Y114="Enter Hrs/Wk","",IF($E$30&gt;='FORMULA REFS'!AU$1,$Y114,"")))</f>
        <v/>
      </c>
      <c r="BK236" s="1286" t="str">
        <f>IF($E$30="Enter Duration (wks)","",IF($Y114="Enter Hrs/Wk","",IF($E$30&gt;='FORMULA REFS'!AV$1,$Y114,"")))</f>
        <v/>
      </c>
      <c r="BL236" s="1286" t="str">
        <f>IF($E$30="Enter Duration (wks)","",IF($Y114="Enter Hrs/Wk","",IF($E$30&gt;='FORMULA REFS'!AW$1,$Y114,"")))</f>
        <v/>
      </c>
      <c r="BM236" s="1286" t="str">
        <f>IF($E$30="Enter Duration (wks)","",IF($Y114="Enter Hrs/Wk","",IF($E$30&gt;='FORMULA REFS'!AX$1,$Y114,"")))</f>
        <v/>
      </c>
      <c r="BN236" s="1286" t="str">
        <f>IF($E$30="Enter Duration (wks)","",IF($Y114="Enter Hrs/Wk","",IF($E$30&gt;='FORMULA REFS'!AY$1,$Y114,"")))</f>
        <v/>
      </c>
      <c r="BO236" s="1286" t="str">
        <f>IF($E$30="Enter Duration (wks)","",IF($Y114="Enter Hrs/Wk","",IF($E$30&gt;='FORMULA REFS'!AZ$1,$Y114,"")))</f>
        <v/>
      </c>
    </row>
    <row r="237" spans="3:67" hidden="1" outlineLevel="1" x14ac:dyDescent="0.25">
      <c r="C237" s="1291" t="str">
        <f t="shared" si="83"/>
        <v/>
      </c>
      <c r="D237" s="1319" t="str">
        <f t="shared" si="81"/>
        <v/>
      </c>
      <c r="E237" s="1326"/>
      <c r="F237" s="1327" t="str">
        <f>IF($E$30="Enter Duration (wks)","",IF($Y115="Enter Hrs/Wk","",IF($E$30&gt;='FORMULA REFS'!A$1,$Y115,"")))</f>
        <v/>
      </c>
      <c r="G237" s="1328"/>
      <c r="H237" s="1570"/>
      <c r="I237" s="1329" t="str">
        <f>IF($E$30="Enter Duration (wks)","",IF($Y115="Enter Hrs/Wk","",IF($E$30&gt;='FORMULA REFS'!B$1,$Y115,"")))</f>
        <v/>
      </c>
      <c r="J237" s="1323"/>
      <c r="K237" s="1286" t="str">
        <f>IF($E$30="Enter Duration (wks)","",IF($Y115="Enter Hrs/Wk","",IF($E$30&gt;='FORMULA REFS'!C$1,$Y115,"")))</f>
        <v/>
      </c>
      <c r="L237" s="882" t="str">
        <f>IF($E$30="Enter Duration (wks)","",IF($Y115="Enter Hrs/Wk","",IF($E$30&gt;='FORMULA REFS'!D$1,$Y115,"")))</f>
        <v/>
      </c>
      <c r="M237" s="882" t="str">
        <f>IF($E$30="Enter Duration (wks)","",IF($Y115="Enter Hrs/Wk","",IF($E$30&gt;='FORMULA REFS'!E$1,$Y115,"")))</f>
        <v/>
      </c>
      <c r="N237" s="882" t="str">
        <f>IF($E$30="Enter Duration (wks)","",IF($Y115="Enter Hrs/Wk","",IF($E$30&gt;='FORMULA REFS'!F$1,$Y115,"")))</f>
        <v/>
      </c>
      <c r="O237" s="882" t="str">
        <f>IF($E$30="Enter Duration (wks)","",IF($Y115="Enter Hrs/Wk","",IF($E$30&gt;='FORMULA REFS'!G$1,$Y115,"")))</f>
        <v/>
      </c>
      <c r="P237" s="882" t="str">
        <f>IF($E$30="Enter Duration (wks)","",IF($Y115="Enter Hrs/Wk","",IF($E$30&gt;='FORMULA REFS'!H$1,$Y115,"")))</f>
        <v/>
      </c>
      <c r="Q237" s="882" t="str">
        <f>IF($E$30="Enter Duration (wks)","",IF($Y115="Enter Hrs/Wk","",IF($E$30&gt;='FORMULA REFS'!I$1,$Y115,"")))</f>
        <v/>
      </c>
      <c r="R237" s="882" t="str">
        <f>IF($E$30="Enter Duration (wks)","",IF($Y115="Enter Hrs/Wk","",IF($E$30&gt;='FORMULA REFS'!J$1,$Y115,"")))</f>
        <v/>
      </c>
      <c r="S237" s="882" t="str">
        <f>IF($E$30="Enter Duration (wks)","",IF($Y115="Enter Hrs/Wk","",IF($E$30&gt;='FORMULA REFS'!K$1,$Y115,"")))</f>
        <v/>
      </c>
      <c r="T237" s="1323" t="str">
        <f>IF($E$30="Enter Duration (wks)","",IF($Y115="Enter Hrs/Wk","",IF($E$30&gt;='FORMULA REFS'!L$1,$Y115,"")))</f>
        <v/>
      </c>
      <c r="U237" s="882" t="str">
        <f>IF($E$30="Enter Duration (wks)","",IF($Y115="Enter Hrs/Wk","",IF($E$30&gt;='FORMULA REFS'!M$1,$Y115,"")))</f>
        <v/>
      </c>
      <c r="V237" s="882"/>
      <c r="W237" s="882"/>
      <c r="X237" s="1285"/>
      <c r="Y237" s="1285" t="str">
        <f>IF($E$30="Enter Duration (wks)","",IF($Y115="Enter Hrs/Wk","",IF($E$30&gt;='FORMULA REFS'!N$1,$Y115,"")))</f>
        <v/>
      </c>
      <c r="Z237" s="1343" t="str">
        <f>IF($E$30="Enter Duration (wks)","",IF($Y115="Enter Hrs/Wk","",IF($E$30&gt;='FORMULA REFS'!O$1,$Y115,"")))</f>
        <v/>
      </c>
      <c r="AA237" s="882" t="str">
        <f>IF($E$30="Enter Duration (wks)","",IF($Y115="Enter Hrs/Wk","",IF($E$30&gt;='FORMULA REFS'!P$1,$Y115,"")))</f>
        <v/>
      </c>
      <c r="AB237" s="882" t="str">
        <f>IF($E$30="Enter Duration (wks)","",IF($Y115="Enter Hrs/Wk","",IF($E$30&gt;='FORMULA REFS'!Q$1,$Y115,"")))</f>
        <v/>
      </c>
      <c r="AC237" s="882"/>
      <c r="AD237" s="882"/>
      <c r="AE237" s="882"/>
      <c r="AF237" s="882"/>
      <c r="AG237" s="1286" t="str">
        <f>IF($E$30="Enter Duration (wks)","",IF($Y115="Enter Hrs/Wk","",IF($E$30&gt;='FORMULA REFS'!R$1,$Y115,"")))</f>
        <v/>
      </c>
      <c r="AH237" s="1286" t="str">
        <f>IF($E$30="Enter Duration (wks)","",IF($Y115="Enter Hrs/Wk","",IF($E$30&gt;='FORMULA REFS'!S$1,$Y115,"")))</f>
        <v/>
      </c>
      <c r="AI237" s="1286" t="str">
        <f>IF($E$30="Enter Duration (wks)","",IF($Y115="Enter Hrs/Wk","",IF($E$30&gt;='FORMULA REFS'!T$1,$Y115,"")))</f>
        <v/>
      </c>
      <c r="AJ237" s="1286" t="str">
        <f>IF($E$30="Enter Duration (wks)","",IF($Y115="Enter Hrs/Wk","",IF($E$30&gt;='FORMULA REFS'!U$1,$Y115,"")))</f>
        <v/>
      </c>
      <c r="AK237" s="1286" t="str">
        <f>IF($E$30="Enter Duration (wks)","",IF($Y115="Enter Hrs/Wk","",IF($E$30&gt;='FORMULA REFS'!V$1,$Y115,"")))</f>
        <v/>
      </c>
      <c r="AL237" s="1286" t="str">
        <f>IF($E$30="Enter Duration (wks)","",IF($Y115="Enter Hrs/Wk","",IF($E$30&gt;='FORMULA REFS'!W$1,$Y115,"")))</f>
        <v/>
      </c>
      <c r="AM237" s="1286" t="str">
        <f>IF($E$30="Enter Duration (wks)","",IF($Y115="Enter Hrs/Wk","",IF($E$30&gt;='FORMULA REFS'!X$1,$Y115,"")))</f>
        <v/>
      </c>
      <c r="AN237" s="1286" t="str">
        <f>IF($E$30="Enter Duration (wks)","",IF($Y115="Enter Hrs/Wk","",IF($E$30&gt;='FORMULA REFS'!Y$1,$Y115,"")))</f>
        <v/>
      </c>
      <c r="AO237" s="1286" t="str">
        <f>IF($E$30="Enter Duration (wks)","",IF($Y115="Enter Hrs/Wk","",IF($E$30&gt;='FORMULA REFS'!Z$1,$Y115,"")))</f>
        <v/>
      </c>
      <c r="AP237" s="1286" t="str">
        <f>IF($E$30="Enter Duration (wks)","",IF($Y115="Enter Hrs/Wk","",IF($E$30&gt;='FORMULA REFS'!AA$1,$Y115,"")))</f>
        <v/>
      </c>
      <c r="AQ237" s="1286" t="str">
        <f>IF($E$30="Enter Duration (wks)","",IF($Y115="Enter Hrs/Wk","",IF($E$30&gt;='FORMULA REFS'!AB$1,$Y115,"")))</f>
        <v/>
      </c>
      <c r="AR237" s="1286" t="str">
        <f>IF($E$30="Enter Duration (wks)","",IF($Y115="Enter Hrs/Wk","",IF($E$30&gt;='FORMULA REFS'!AC$1,$Y115,"")))</f>
        <v/>
      </c>
      <c r="AS237" s="1286" t="str">
        <f>IF($E$30="Enter Duration (wks)","",IF($Y115="Enter Hrs/Wk","",IF($E$30&gt;='FORMULA REFS'!AD$1,$Y115,"")))</f>
        <v/>
      </c>
      <c r="AT237" s="1286" t="str">
        <f>IF($E$30="Enter Duration (wks)","",IF($Y115="Enter Hrs/Wk","",IF($E$30&gt;='FORMULA REFS'!AE$1,$Y115,"")))</f>
        <v/>
      </c>
      <c r="AU237" s="1286" t="str">
        <f>IF($E$30="Enter Duration (wks)","",IF($Y115="Enter Hrs/Wk","",IF($E$30&gt;='FORMULA REFS'!AF$1,$Y115,"")))</f>
        <v/>
      </c>
      <c r="AV237" s="1286" t="str">
        <f>IF($E$30="Enter Duration (wks)","",IF($Y115="Enter Hrs/Wk","",IF($E$30&gt;='FORMULA REFS'!AG$1,$Y115,"")))</f>
        <v/>
      </c>
      <c r="AW237" s="1286" t="str">
        <f>IF($E$30="Enter Duration (wks)","",IF($Y115="Enter Hrs/Wk","",IF($E$30&gt;='FORMULA REFS'!AH$1,$Y115,"")))</f>
        <v/>
      </c>
      <c r="AX237" s="1286" t="str">
        <f>IF($E$30="Enter Duration (wks)","",IF($Y115="Enter Hrs/Wk","",IF($E$30&gt;='FORMULA REFS'!AI$1,$Y115,"")))</f>
        <v/>
      </c>
      <c r="AY237" s="1286" t="str">
        <f>IF($E$30="Enter Duration (wks)","",IF($Y115="Enter Hrs/Wk","",IF($E$30&gt;='FORMULA REFS'!AJ$1,$Y115,"")))</f>
        <v/>
      </c>
      <c r="AZ237" s="1286" t="str">
        <f>IF($E$30="Enter Duration (wks)","",IF($Y115="Enter Hrs/Wk","",IF($E$30&gt;='FORMULA REFS'!AK$1,$Y115,"")))</f>
        <v/>
      </c>
      <c r="BA237" s="1286" t="str">
        <f>IF($E$30="Enter Duration (wks)","",IF($Y115="Enter Hrs/Wk","",IF($E$30&gt;='FORMULA REFS'!AL$1,$Y115,"")))</f>
        <v/>
      </c>
      <c r="BB237" s="1286" t="str">
        <f>IF($E$30="Enter Duration (wks)","",IF($Y115="Enter Hrs/Wk","",IF($E$30&gt;='FORMULA REFS'!AM$1,$Y115,"")))</f>
        <v/>
      </c>
      <c r="BC237" s="1286" t="str">
        <f>IF($E$30="Enter Duration (wks)","",IF($Y115="Enter Hrs/Wk","",IF($E$30&gt;='FORMULA REFS'!AN$1,$Y115,"")))</f>
        <v/>
      </c>
      <c r="BD237" s="1286" t="str">
        <f>IF($E$30="Enter Duration (wks)","",IF($Y115="Enter Hrs/Wk","",IF($E$30&gt;='FORMULA REFS'!AO$1,$Y115,"")))</f>
        <v/>
      </c>
      <c r="BE237" s="1286" t="str">
        <f>IF($E$30="Enter Duration (wks)","",IF($Y115="Enter Hrs/Wk","",IF($E$30&gt;='FORMULA REFS'!AP$1,$Y115,"")))</f>
        <v/>
      </c>
      <c r="BF237" s="1286" t="str">
        <f>IF($E$30="Enter Duration (wks)","",IF($Y115="Enter Hrs/Wk","",IF($E$30&gt;='FORMULA REFS'!AQ$1,$Y115,"")))</f>
        <v/>
      </c>
      <c r="BG237" s="1286" t="str">
        <f>IF($E$30="Enter Duration (wks)","",IF($Y115="Enter Hrs/Wk","",IF($E$30&gt;='FORMULA REFS'!AR$1,$Y115,"")))</f>
        <v/>
      </c>
      <c r="BH237" s="1286" t="str">
        <f>IF($E$30="Enter Duration (wks)","",IF($Y115="Enter Hrs/Wk","",IF($E$30&gt;='FORMULA REFS'!AS$1,$Y115,"")))</f>
        <v/>
      </c>
      <c r="BI237" s="1286" t="str">
        <f>IF($E$30="Enter Duration (wks)","",IF($Y115="Enter Hrs/Wk","",IF($E$30&gt;='FORMULA REFS'!AT$1,$Y115,"")))</f>
        <v/>
      </c>
      <c r="BJ237" s="1286" t="str">
        <f>IF($E$30="Enter Duration (wks)","",IF($Y115="Enter Hrs/Wk","",IF($E$30&gt;='FORMULA REFS'!AU$1,$Y115,"")))</f>
        <v/>
      </c>
      <c r="BK237" s="1286" t="str">
        <f>IF($E$30="Enter Duration (wks)","",IF($Y115="Enter Hrs/Wk","",IF($E$30&gt;='FORMULA REFS'!AV$1,$Y115,"")))</f>
        <v/>
      </c>
      <c r="BL237" s="1286" t="str">
        <f>IF($E$30="Enter Duration (wks)","",IF($Y115="Enter Hrs/Wk","",IF($E$30&gt;='FORMULA REFS'!AW$1,$Y115,"")))</f>
        <v/>
      </c>
      <c r="BM237" s="1286" t="str">
        <f>IF($E$30="Enter Duration (wks)","",IF($Y115="Enter Hrs/Wk","",IF($E$30&gt;='FORMULA REFS'!AX$1,$Y115,"")))</f>
        <v/>
      </c>
      <c r="BN237" s="1286" t="str">
        <f>IF($E$30="Enter Duration (wks)","",IF($Y115="Enter Hrs/Wk","",IF($E$30&gt;='FORMULA REFS'!AY$1,$Y115,"")))</f>
        <v/>
      </c>
      <c r="BO237" s="1286" t="str">
        <f>IF($E$30="Enter Duration (wks)","",IF($Y115="Enter Hrs/Wk","",IF($E$30&gt;='FORMULA REFS'!AZ$1,$Y115,"")))</f>
        <v/>
      </c>
    </row>
    <row r="238" spans="3:67" hidden="1" outlineLevel="1" x14ac:dyDescent="0.25">
      <c r="C238" s="1291" t="str">
        <f t="shared" si="83"/>
        <v/>
      </c>
      <c r="D238" s="1319" t="str">
        <f t="shared" ref="D238:D269" si="84">IF(K116="","",K116)</f>
        <v/>
      </c>
      <c r="E238" s="1326"/>
      <c r="F238" s="1327" t="str">
        <f>IF($E$30="Enter Duration (wks)","",IF($Y116="Enter Hrs/Wk","",IF($E$30&gt;='FORMULA REFS'!A$1,$Y116,"")))</f>
        <v/>
      </c>
      <c r="G238" s="1328"/>
      <c r="H238" s="1570"/>
      <c r="I238" s="1329" t="str">
        <f>IF($E$30="Enter Duration (wks)","",IF($Y116="Enter Hrs/Wk","",IF($E$30&gt;='FORMULA REFS'!B$1,$Y116,"")))</f>
        <v/>
      </c>
      <c r="J238" s="1323"/>
      <c r="K238" s="1286" t="str">
        <f>IF($E$30="Enter Duration (wks)","",IF($Y116="Enter Hrs/Wk","",IF($E$30&gt;='FORMULA REFS'!C$1,$Y116,"")))</f>
        <v/>
      </c>
      <c r="L238" s="882" t="str">
        <f>IF($E$30="Enter Duration (wks)","",IF($Y116="Enter Hrs/Wk","",IF($E$30&gt;='FORMULA REFS'!D$1,$Y116,"")))</f>
        <v/>
      </c>
      <c r="M238" s="882" t="str">
        <f>IF($E$30="Enter Duration (wks)","",IF($Y116="Enter Hrs/Wk","",IF($E$30&gt;='FORMULA REFS'!E$1,$Y116,"")))</f>
        <v/>
      </c>
      <c r="N238" s="882" t="str">
        <f>IF($E$30="Enter Duration (wks)","",IF($Y116="Enter Hrs/Wk","",IF($E$30&gt;='FORMULA REFS'!F$1,$Y116,"")))</f>
        <v/>
      </c>
      <c r="O238" s="882" t="str">
        <f>IF($E$30="Enter Duration (wks)","",IF($Y116="Enter Hrs/Wk","",IF($E$30&gt;='FORMULA REFS'!G$1,$Y116,"")))</f>
        <v/>
      </c>
      <c r="P238" s="882" t="str">
        <f>IF($E$30="Enter Duration (wks)","",IF($Y116="Enter Hrs/Wk","",IF($E$30&gt;='FORMULA REFS'!H$1,$Y116,"")))</f>
        <v/>
      </c>
      <c r="Q238" s="882" t="str">
        <f>IF($E$30="Enter Duration (wks)","",IF($Y116="Enter Hrs/Wk","",IF($E$30&gt;='FORMULA REFS'!I$1,$Y116,"")))</f>
        <v/>
      </c>
      <c r="R238" s="882" t="str">
        <f>IF($E$30="Enter Duration (wks)","",IF($Y116="Enter Hrs/Wk","",IF($E$30&gt;='FORMULA REFS'!J$1,$Y116,"")))</f>
        <v/>
      </c>
      <c r="S238" s="882" t="str">
        <f>IF($E$30="Enter Duration (wks)","",IF($Y116="Enter Hrs/Wk","",IF($E$30&gt;='FORMULA REFS'!K$1,$Y116,"")))</f>
        <v/>
      </c>
      <c r="T238" s="1323" t="str">
        <f>IF($E$30="Enter Duration (wks)","",IF($Y116="Enter Hrs/Wk","",IF($E$30&gt;='FORMULA REFS'!L$1,$Y116,"")))</f>
        <v/>
      </c>
      <c r="U238" s="882" t="str">
        <f>IF($E$30="Enter Duration (wks)","",IF($Y116="Enter Hrs/Wk","",IF($E$30&gt;='FORMULA REFS'!M$1,$Y116,"")))</f>
        <v/>
      </c>
      <c r="V238" s="882"/>
      <c r="W238" s="882"/>
      <c r="X238" s="1285"/>
      <c r="Y238" s="1285" t="str">
        <f>IF($E$30="Enter Duration (wks)","",IF($Y116="Enter Hrs/Wk","",IF($E$30&gt;='FORMULA REFS'!N$1,$Y116,"")))</f>
        <v/>
      </c>
      <c r="Z238" s="1343" t="str">
        <f>IF($E$30="Enter Duration (wks)","",IF($Y116="Enter Hrs/Wk","",IF($E$30&gt;='FORMULA REFS'!O$1,$Y116,"")))</f>
        <v/>
      </c>
      <c r="AA238" s="882" t="str">
        <f>IF($E$30="Enter Duration (wks)","",IF($Y116="Enter Hrs/Wk","",IF($E$30&gt;='FORMULA REFS'!P$1,$Y116,"")))</f>
        <v/>
      </c>
      <c r="AB238" s="882" t="str">
        <f>IF($E$30="Enter Duration (wks)","",IF($Y116="Enter Hrs/Wk","",IF($E$30&gt;='FORMULA REFS'!Q$1,$Y116,"")))</f>
        <v/>
      </c>
      <c r="AC238" s="882"/>
      <c r="AD238" s="882"/>
      <c r="AE238" s="882"/>
      <c r="AF238" s="882"/>
      <c r="AG238" s="1286" t="str">
        <f>IF($E$30="Enter Duration (wks)","",IF($Y116="Enter Hrs/Wk","",IF($E$30&gt;='FORMULA REFS'!R$1,$Y116,"")))</f>
        <v/>
      </c>
      <c r="AH238" s="1286" t="str">
        <f>IF($E$30="Enter Duration (wks)","",IF($Y116="Enter Hrs/Wk","",IF($E$30&gt;='FORMULA REFS'!S$1,$Y116,"")))</f>
        <v/>
      </c>
      <c r="AI238" s="1286" t="str">
        <f>IF($E$30="Enter Duration (wks)","",IF($Y116="Enter Hrs/Wk","",IF($E$30&gt;='FORMULA REFS'!T$1,$Y116,"")))</f>
        <v/>
      </c>
      <c r="AJ238" s="1286" t="str">
        <f>IF($E$30="Enter Duration (wks)","",IF($Y116="Enter Hrs/Wk","",IF($E$30&gt;='FORMULA REFS'!U$1,$Y116,"")))</f>
        <v/>
      </c>
      <c r="AK238" s="1286" t="str">
        <f>IF($E$30="Enter Duration (wks)","",IF($Y116="Enter Hrs/Wk","",IF($E$30&gt;='FORMULA REFS'!V$1,$Y116,"")))</f>
        <v/>
      </c>
      <c r="AL238" s="1286" t="str">
        <f>IF($E$30="Enter Duration (wks)","",IF($Y116="Enter Hrs/Wk","",IF($E$30&gt;='FORMULA REFS'!W$1,$Y116,"")))</f>
        <v/>
      </c>
      <c r="AM238" s="1286" t="str">
        <f>IF($E$30="Enter Duration (wks)","",IF($Y116="Enter Hrs/Wk","",IF($E$30&gt;='FORMULA REFS'!X$1,$Y116,"")))</f>
        <v/>
      </c>
      <c r="AN238" s="1286" t="str">
        <f>IF($E$30="Enter Duration (wks)","",IF($Y116="Enter Hrs/Wk","",IF($E$30&gt;='FORMULA REFS'!Y$1,$Y116,"")))</f>
        <v/>
      </c>
      <c r="AO238" s="1286" t="str">
        <f>IF($E$30="Enter Duration (wks)","",IF($Y116="Enter Hrs/Wk","",IF($E$30&gt;='FORMULA REFS'!Z$1,$Y116,"")))</f>
        <v/>
      </c>
      <c r="AP238" s="1286" t="str">
        <f>IF($E$30="Enter Duration (wks)","",IF($Y116="Enter Hrs/Wk","",IF($E$30&gt;='FORMULA REFS'!AA$1,$Y116,"")))</f>
        <v/>
      </c>
      <c r="AQ238" s="1286" t="str">
        <f>IF($E$30="Enter Duration (wks)","",IF($Y116="Enter Hrs/Wk","",IF($E$30&gt;='FORMULA REFS'!AB$1,$Y116,"")))</f>
        <v/>
      </c>
      <c r="AR238" s="1286" t="str">
        <f>IF($E$30="Enter Duration (wks)","",IF($Y116="Enter Hrs/Wk","",IF($E$30&gt;='FORMULA REFS'!AC$1,$Y116,"")))</f>
        <v/>
      </c>
      <c r="AS238" s="1286" t="str">
        <f>IF($E$30="Enter Duration (wks)","",IF($Y116="Enter Hrs/Wk","",IF($E$30&gt;='FORMULA REFS'!AD$1,$Y116,"")))</f>
        <v/>
      </c>
      <c r="AT238" s="1286" t="str">
        <f>IF($E$30="Enter Duration (wks)","",IF($Y116="Enter Hrs/Wk","",IF($E$30&gt;='FORMULA REFS'!AE$1,$Y116,"")))</f>
        <v/>
      </c>
      <c r="AU238" s="1286" t="str">
        <f>IF($E$30="Enter Duration (wks)","",IF($Y116="Enter Hrs/Wk","",IF($E$30&gt;='FORMULA REFS'!AF$1,$Y116,"")))</f>
        <v/>
      </c>
      <c r="AV238" s="1286" t="str">
        <f>IF($E$30="Enter Duration (wks)","",IF($Y116="Enter Hrs/Wk","",IF($E$30&gt;='FORMULA REFS'!AG$1,$Y116,"")))</f>
        <v/>
      </c>
      <c r="AW238" s="1286" t="str">
        <f>IF($E$30="Enter Duration (wks)","",IF($Y116="Enter Hrs/Wk","",IF($E$30&gt;='FORMULA REFS'!AH$1,$Y116,"")))</f>
        <v/>
      </c>
      <c r="AX238" s="1286" t="str">
        <f>IF($E$30="Enter Duration (wks)","",IF($Y116="Enter Hrs/Wk","",IF($E$30&gt;='FORMULA REFS'!AI$1,$Y116,"")))</f>
        <v/>
      </c>
      <c r="AY238" s="1286" t="str">
        <f>IF($E$30="Enter Duration (wks)","",IF($Y116="Enter Hrs/Wk","",IF($E$30&gt;='FORMULA REFS'!AJ$1,$Y116,"")))</f>
        <v/>
      </c>
      <c r="AZ238" s="1286" t="str">
        <f>IF($E$30="Enter Duration (wks)","",IF($Y116="Enter Hrs/Wk","",IF($E$30&gt;='FORMULA REFS'!AK$1,$Y116,"")))</f>
        <v/>
      </c>
      <c r="BA238" s="1286" t="str">
        <f>IF($E$30="Enter Duration (wks)","",IF($Y116="Enter Hrs/Wk","",IF($E$30&gt;='FORMULA REFS'!AL$1,$Y116,"")))</f>
        <v/>
      </c>
      <c r="BB238" s="1286" t="str">
        <f>IF($E$30="Enter Duration (wks)","",IF($Y116="Enter Hrs/Wk","",IF($E$30&gt;='FORMULA REFS'!AM$1,$Y116,"")))</f>
        <v/>
      </c>
      <c r="BC238" s="1286" t="str">
        <f>IF($E$30="Enter Duration (wks)","",IF($Y116="Enter Hrs/Wk","",IF($E$30&gt;='FORMULA REFS'!AN$1,$Y116,"")))</f>
        <v/>
      </c>
      <c r="BD238" s="1286" t="str">
        <f>IF($E$30="Enter Duration (wks)","",IF($Y116="Enter Hrs/Wk","",IF($E$30&gt;='FORMULA REFS'!AO$1,$Y116,"")))</f>
        <v/>
      </c>
      <c r="BE238" s="1286" t="str">
        <f>IF($E$30="Enter Duration (wks)","",IF($Y116="Enter Hrs/Wk","",IF($E$30&gt;='FORMULA REFS'!AP$1,$Y116,"")))</f>
        <v/>
      </c>
      <c r="BF238" s="1286" t="str">
        <f>IF($E$30="Enter Duration (wks)","",IF($Y116="Enter Hrs/Wk","",IF($E$30&gt;='FORMULA REFS'!AQ$1,$Y116,"")))</f>
        <v/>
      </c>
      <c r="BG238" s="1286" t="str">
        <f>IF($E$30="Enter Duration (wks)","",IF($Y116="Enter Hrs/Wk","",IF($E$30&gt;='FORMULA REFS'!AR$1,$Y116,"")))</f>
        <v/>
      </c>
      <c r="BH238" s="1286" t="str">
        <f>IF($E$30="Enter Duration (wks)","",IF($Y116="Enter Hrs/Wk","",IF($E$30&gt;='FORMULA REFS'!AS$1,$Y116,"")))</f>
        <v/>
      </c>
      <c r="BI238" s="1286" t="str">
        <f>IF($E$30="Enter Duration (wks)","",IF($Y116="Enter Hrs/Wk","",IF($E$30&gt;='FORMULA REFS'!AT$1,$Y116,"")))</f>
        <v/>
      </c>
      <c r="BJ238" s="1286" t="str">
        <f>IF($E$30="Enter Duration (wks)","",IF($Y116="Enter Hrs/Wk","",IF($E$30&gt;='FORMULA REFS'!AU$1,$Y116,"")))</f>
        <v/>
      </c>
      <c r="BK238" s="1286" t="str">
        <f>IF($E$30="Enter Duration (wks)","",IF($Y116="Enter Hrs/Wk","",IF($E$30&gt;='FORMULA REFS'!AV$1,$Y116,"")))</f>
        <v/>
      </c>
      <c r="BL238" s="1286" t="str">
        <f>IF($E$30="Enter Duration (wks)","",IF($Y116="Enter Hrs/Wk","",IF($E$30&gt;='FORMULA REFS'!AW$1,$Y116,"")))</f>
        <v/>
      </c>
      <c r="BM238" s="1286" t="str">
        <f>IF($E$30="Enter Duration (wks)","",IF($Y116="Enter Hrs/Wk","",IF($E$30&gt;='FORMULA REFS'!AX$1,$Y116,"")))</f>
        <v/>
      </c>
      <c r="BN238" s="1286" t="str">
        <f>IF($E$30="Enter Duration (wks)","",IF($Y116="Enter Hrs/Wk","",IF($E$30&gt;='FORMULA REFS'!AY$1,$Y116,"")))</f>
        <v/>
      </c>
      <c r="BO238" s="1286" t="str">
        <f>IF($E$30="Enter Duration (wks)","",IF($Y116="Enter Hrs/Wk","",IF($E$30&gt;='FORMULA REFS'!AZ$1,$Y116,"")))</f>
        <v/>
      </c>
    </row>
    <row r="239" spans="3:67" hidden="1" outlineLevel="1" x14ac:dyDescent="0.25">
      <c r="C239" s="1291" t="str">
        <f t="shared" si="83"/>
        <v/>
      </c>
      <c r="D239" s="1319" t="str">
        <f t="shared" si="84"/>
        <v/>
      </c>
      <c r="E239" s="1326"/>
      <c r="F239" s="1327" t="str">
        <f>IF($E$30="Enter Duration (wks)","",IF($Y117="Enter Hrs/Wk","",IF($E$30&gt;='FORMULA REFS'!A$1,$Y117,"")))</f>
        <v/>
      </c>
      <c r="G239" s="1328"/>
      <c r="H239" s="1570"/>
      <c r="I239" s="1329" t="str">
        <f>IF($E$30="Enter Duration (wks)","",IF($Y117="Enter Hrs/Wk","",IF($E$30&gt;='FORMULA REFS'!B$1,$Y117,"")))</f>
        <v/>
      </c>
      <c r="J239" s="1323"/>
      <c r="K239" s="1286" t="str">
        <f>IF($E$30="Enter Duration (wks)","",IF($Y117="Enter Hrs/Wk","",IF($E$30&gt;='FORMULA REFS'!C$1,$Y117,"")))</f>
        <v/>
      </c>
      <c r="L239" s="882" t="str">
        <f>IF($E$30="Enter Duration (wks)","",IF($Y117="Enter Hrs/Wk","",IF($E$30&gt;='FORMULA REFS'!D$1,$Y117,"")))</f>
        <v/>
      </c>
      <c r="M239" s="882" t="str">
        <f>IF($E$30="Enter Duration (wks)","",IF($Y117="Enter Hrs/Wk","",IF($E$30&gt;='FORMULA REFS'!E$1,$Y117,"")))</f>
        <v/>
      </c>
      <c r="N239" s="882" t="str">
        <f>IF($E$30="Enter Duration (wks)","",IF($Y117="Enter Hrs/Wk","",IF($E$30&gt;='FORMULA REFS'!F$1,$Y117,"")))</f>
        <v/>
      </c>
      <c r="O239" s="882" t="str">
        <f>IF($E$30="Enter Duration (wks)","",IF($Y117="Enter Hrs/Wk","",IF($E$30&gt;='FORMULA REFS'!G$1,$Y117,"")))</f>
        <v/>
      </c>
      <c r="P239" s="882" t="str">
        <f>IF($E$30="Enter Duration (wks)","",IF($Y117="Enter Hrs/Wk","",IF($E$30&gt;='FORMULA REFS'!H$1,$Y117,"")))</f>
        <v/>
      </c>
      <c r="Q239" s="882" t="str">
        <f>IF($E$30="Enter Duration (wks)","",IF($Y117="Enter Hrs/Wk","",IF($E$30&gt;='FORMULA REFS'!I$1,$Y117,"")))</f>
        <v/>
      </c>
      <c r="R239" s="882" t="str">
        <f>IF($E$30="Enter Duration (wks)","",IF($Y117="Enter Hrs/Wk","",IF($E$30&gt;='FORMULA REFS'!J$1,$Y117,"")))</f>
        <v/>
      </c>
      <c r="S239" s="882" t="str">
        <f>IF($E$30="Enter Duration (wks)","",IF($Y117="Enter Hrs/Wk","",IF($E$30&gt;='FORMULA REFS'!K$1,$Y117,"")))</f>
        <v/>
      </c>
      <c r="T239" s="1323" t="str">
        <f>IF($E$30="Enter Duration (wks)","",IF($Y117="Enter Hrs/Wk","",IF($E$30&gt;='FORMULA REFS'!L$1,$Y117,"")))</f>
        <v/>
      </c>
      <c r="U239" s="882" t="str">
        <f>IF($E$30="Enter Duration (wks)","",IF($Y117="Enter Hrs/Wk","",IF($E$30&gt;='FORMULA REFS'!M$1,$Y117,"")))</f>
        <v/>
      </c>
      <c r="V239" s="882"/>
      <c r="W239" s="882"/>
      <c r="X239" s="1285"/>
      <c r="Y239" s="1285" t="str">
        <f>IF($E$30="Enter Duration (wks)","",IF($Y117="Enter Hrs/Wk","",IF($E$30&gt;='FORMULA REFS'!N$1,$Y117,"")))</f>
        <v/>
      </c>
      <c r="Z239" s="1343" t="str">
        <f>IF($E$30="Enter Duration (wks)","",IF($Y117="Enter Hrs/Wk","",IF($E$30&gt;='FORMULA REFS'!O$1,$Y117,"")))</f>
        <v/>
      </c>
      <c r="AA239" s="882" t="str">
        <f>IF($E$30="Enter Duration (wks)","",IF($Y117="Enter Hrs/Wk","",IF($E$30&gt;='FORMULA REFS'!P$1,$Y117,"")))</f>
        <v/>
      </c>
      <c r="AB239" s="882" t="str">
        <f>IF($E$30="Enter Duration (wks)","",IF($Y117="Enter Hrs/Wk","",IF($E$30&gt;='FORMULA REFS'!Q$1,$Y117,"")))</f>
        <v/>
      </c>
      <c r="AC239" s="882"/>
      <c r="AD239" s="882"/>
      <c r="AE239" s="882"/>
      <c r="AF239" s="882"/>
      <c r="AG239" s="1286" t="str">
        <f>IF($E$30="Enter Duration (wks)","",IF($Y117="Enter Hrs/Wk","",IF($E$30&gt;='FORMULA REFS'!R$1,$Y117,"")))</f>
        <v/>
      </c>
      <c r="AH239" s="1286" t="str">
        <f>IF($E$30="Enter Duration (wks)","",IF($Y117="Enter Hrs/Wk","",IF($E$30&gt;='FORMULA REFS'!S$1,$Y117,"")))</f>
        <v/>
      </c>
      <c r="AI239" s="1286" t="str">
        <f>IF($E$30="Enter Duration (wks)","",IF($Y117="Enter Hrs/Wk","",IF($E$30&gt;='FORMULA REFS'!T$1,$Y117,"")))</f>
        <v/>
      </c>
      <c r="AJ239" s="1286" t="str">
        <f>IF($E$30="Enter Duration (wks)","",IF($Y117="Enter Hrs/Wk","",IF($E$30&gt;='FORMULA REFS'!U$1,$Y117,"")))</f>
        <v/>
      </c>
      <c r="AK239" s="1286" t="str">
        <f>IF($E$30="Enter Duration (wks)","",IF($Y117="Enter Hrs/Wk","",IF($E$30&gt;='FORMULA REFS'!V$1,$Y117,"")))</f>
        <v/>
      </c>
      <c r="AL239" s="1286" t="str">
        <f>IF($E$30="Enter Duration (wks)","",IF($Y117="Enter Hrs/Wk","",IF($E$30&gt;='FORMULA REFS'!W$1,$Y117,"")))</f>
        <v/>
      </c>
      <c r="AM239" s="1286" t="str">
        <f>IF($E$30="Enter Duration (wks)","",IF($Y117="Enter Hrs/Wk","",IF($E$30&gt;='FORMULA REFS'!X$1,$Y117,"")))</f>
        <v/>
      </c>
      <c r="AN239" s="1286" t="str">
        <f>IF($E$30="Enter Duration (wks)","",IF($Y117="Enter Hrs/Wk","",IF($E$30&gt;='FORMULA REFS'!Y$1,$Y117,"")))</f>
        <v/>
      </c>
      <c r="AO239" s="1286" t="str">
        <f>IF($E$30="Enter Duration (wks)","",IF($Y117="Enter Hrs/Wk","",IF($E$30&gt;='FORMULA REFS'!Z$1,$Y117,"")))</f>
        <v/>
      </c>
      <c r="AP239" s="1286" t="str">
        <f>IF($E$30="Enter Duration (wks)","",IF($Y117="Enter Hrs/Wk","",IF($E$30&gt;='FORMULA REFS'!AA$1,$Y117,"")))</f>
        <v/>
      </c>
      <c r="AQ239" s="1286" t="str">
        <f>IF($E$30="Enter Duration (wks)","",IF($Y117="Enter Hrs/Wk","",IF($E$30&gt;='FORMULA REFS'!AB$1,$Y117,"")))</f>
        <v/>
      </c>
      <c r="AR239" s="1286" t="str">
        <f>IF($E$30="Enter Duration (wks)","",IF($Y117="Enter Hrs/Wk","",IF($E$30&gt;='FORMULA REFS'!AC$1,$Y117,"")))</f>
        <v/>
      </c>
      <c r="AS239" s="1286" t="str">
        <f>IF($E$30="Enter Duration (wks)","",IF($Y117="Enter Hrs/Wk","",IF($E$30&gt;='FORMULA REFS'!AD$1,$Y117,"")))</f>
        <v/>
      </c>
      <c r="AT239" s="1286" t="str">
        <f>IF($E$30="Enter Duration (wks)","",IF($Y117="Enter Hrs/Wk","",IF($E$30&gt;='FORMULA REFS'!AE$1,$Y117,"")))</f>
        <v/>
      </c>
      <c r="AU239" s="1286" t="str">
        <f>IF($E$30="Enter Duration (wks)","",IF($Y117="Enter Hrs/Wk","",IF($E$30&gt;='FORMULA REFS'!AF$1,$Y117,"")))</f>
        <v/>
      </c>
      <c r="AV239" s="1286" t="str">
        <f>IF($E$30="Enter Duration (wks)","",IF($Y117="Enter Hrs/Wk","",IF($E$30&gt;='FORMULA REFS'!AG$1,$Y117,"")))</f>
        <v/>
      </c>
      <c r="AW239" s="1286" t="str">
        <f>IF($E$30="Enter Duration (wks)","",IF($Y117="Enter Hrs/Wk","",IF($E$30&gt;='FORMULA REFS'!AH$1,$Y117,"")))</f>
        <v/>
      </c>
      <c r="AX239" s="1286" t="str">
        <f>IF($E$30="Enter Duration (wks)","",IF($Y117="Enter Hrs/Wk","",IF($E$30&gt;='FORMULA REFS'!AI$1,$Y117,"")))</f>
        <v/>
      </c>
      <c r="AY239" s="1286" t="str">
        <f>IF($E$30="Enter Duration (wks)","",IF($Y117="Enter Hrs/Wk","",IF($E$30&gt;='FORMULA REFS'!AJ$1,$Y117,"")))</f>
        <v/>
      </c>
      <c r="AZ239" s="1286" t="str">
        <f>IF($E$30="Enter Duration (wks)","",IF($Y117="Enter Hrs/Wk","",IF($E$30&gt;='FORMULA REFS'!AK$1,$Y117,"")))</f>
        <v/>
      </c>
      <c r="BA239" s="1286" t="str">
        <f>IF($E$30="Enter Duration (wks)","",IF($Y117="Enter Hrs/Wk","",IF($E$30&gt;='FORMULA REFS'!AL$1,$Y117,"")))</f>
        <v/>
      </c>
      <c r="BB239" s="1286" t="str">
        <f>IF($E$30="Enter Duration (wks)","",IF($Y117="Enter Hrs/Wk","",IF($E$30&gt;='FORMULA REFS'!AM$1,$Y117,"")))</f>
        <v/>
      </c>
      <c r="BC239" s="1286" t="str">
        <f>IF($E$30="Enter Duration (wks)","",IF($Y117="Enter Hrs/Wk","",IF($E$30&gt;='FORMULA REFS'!AN$1,$Y117,"")))</f>
        <v/>
      </c>
      <c r="BD239" s="1286" t="str">
        <f>IF($E$30="Enter Duration (wks)","",IF($Y117="Enter Hrs/Wk","",IF($E$30&gt;='FORMULA REFS'!AO$1,$Y117,"")))</f>
        <v/>
      </c>
      <c r="BE239" s="1286" t="str">
        <f>IF($E$30="Enter Duration (wks)","",IF($Y117="Enter Hrs/Wk","",IF($E$30&gt;='FORMULA REFS'!AP$1,$Y117,"")))</f>
        <v/>
      </c>
      <c r="BF239" s="1286" t="str">
        <f>IF($E$30="Enter Duration (wks)","",IF($Y117="Enter Hrs/Wk","",IF($E$30&gt;='FORMULA REFS'!AQ$1,$Y117,"")))</f>
        <v/>
      </c>
      <c r="BG239" s="1286" t="str">
        <f>IF($E$30="Enter Duration (wks)","",IF($Y117="Enter Hrs/Wk","",IF($E$30&gt;='FORMULA REFS'!AR$1,$Y117,"")))</f>
        <v/>
      </c>
      <c r="BH239" s="1286" t="str">
        <f>IF($E$30="Enter Duration (wks)","",IF($Y117="Enter Hrs/Wk","",IF($E$30&gt;='FORMULA REFS'!AS$1,$Y117,"")))</f>
        <v/>
      </c>
      <c r="BI239" s="1286" t="str">
        <f>IF($E$30="Enter Duration (wks)","",IF($Y117="Enter Hrs/Wk","",IF($E$30&gt;='FORMULA REFS'!AT$1,$Y117,"")))</f>
        <v/>
      </c>
      <c r="BJ239" s="1286" t="str">
        <f>IF($E$30="Enter Duration (wks)","",IF($Y117="Enter Hrs/Wk","",IF($E$30&gt;='FORMULA REFS'!AU$1,$Y117,"")))</f>
        <v/>
      </c>
      <c r="BK239" s="1286" t="str">
        <f>IF($E$30="Enter Duration (wks)","",IF($Y117="Enter Hrs/Wk","",IF($E$30&gt;='FORMULA REFS'!AV$1,$Y117,"")))</f>
        <v/>
      </c>
      <c r="BL239" s="1286" t="str">
        <f>IF($E$30="Enter Duration (wks)","",IF($Y117="Enter Hrs/Wk","",IF($E$30&gt;='FORMULA REFS'!AW$1,$Y117,"")))</f>
        <v/>
      </c>
      <c r="BM239" s="1286" t="str">
        <f>IF($E$30="Enter Duration (wks)","",IF($Y117="Enter Hrs/Wk","",IF($E$30&gt;='FORMULA REFS'!AX$1,$Y117,"")))</f>
        <v/>
      </c>
      <c r="BN239" s="1286" t="str">
        <f>IF($E$30="Enter Duration (wks)","",IF($Y117="Enter Hrs/Wk","",IF($E$30&gt;='FORMULA REFS'!AY$1,$Y117,"")))</f>
        <v/>
      </c>
      <c r="BO239" s="1286" t="str">
        <f>IF($E$30="Enter Duration (wks)","",IF($Y117="Enter Hrs/Wk","",IF($E$30&gt;='FORMULA REFS'!AZ$1,$Y117,"")))</f>
        <v/>
      </c>
    </row>
    <row r="240" spans="3:67" hidden="1" outlineLevel="1" x14ac:dyDescent="0.25">
      <c r="C240" s="1291" t="str">
        <f t="shared" si="83"/>
        <v/>
      </c>
      <c r="D240" s="1319" t="str">
        <f t="shared" si="84"/>
        <v/>
      </c>
      <c r="E240" s="1326"/>
      <c r="F240" s="1327" t="str">
        <f>IF($E$30="Enter Duration (wks)","",IF($Y118="Enter Hrs/Wk","",IF($E$30&gt;='FORMULA REFS'!A$1,$Y118,"")))</f>
        <v/>
      </c>
      <c r="G240" s="1328"/>
      <c r="H240" s="1570"/>
      <c r="I240" s="1329" t="str">
        <f>IF($E$30="Enter Duration (wks)","",IF($Y118="Enter Hrs/Wk","",IF($E$30&gt;='FORMULA REFS'!B$1,$Y118,"")))</f>
        <v/>
      </c>
      <c r="J240" s="1323"/>
      <c r="K240" s="1286" t="str">
        <f>IF($E$30="Enter Duration (wks)","",IF($Y118="Enter Hrs/Wk","",IF($E$30&gt;='FORMULA REFS'!C$1,$Y118,"")))</f>
        <v/>
      </c>
      <c r="L240" s="882" t="str">
        <f>IF($E$30="Enter Duration (wks)","",IF($Y118="Enter Hrs/Wk","",IF($E$30&gt;='FORMULA REFS'!D$1,$Y118,"")))</f>
        <v/>
      </c>
      <c r="M240" s="882" t="str">
        <f>IF($E$30="Enter Duration (wks)","",IF($Y118="Enter Hrs/Wk","",IF($E$30&gt;='FORMULA REFS'!E$1,$Y118,"")))</f>
        <v/>
      </c>
      <c r="N240" s="882" t="str">
        <f>IF($E$30="Enter Duration (wks)","",IF($Y118="Enter Hrs/Wk","",IF($E$30&gt;='FORMULA REFS'!F$1,$Y118,"")))</f>
        <v/>
      </c>
      <c r="O240" s="882" t="str">
        <f>IF($E$30="Enter Duration (wks)","",IF($Y118="Enter Hrs/Wk","",IF($E$30&gt;='FORMULA REFS'!G$1,$Y118,"")))</f>
        <v/>
      </c>
      <c r="P240" s="882" t="str">
        <f>IF($E$30="Enter Duration (wks)","",IF($Y118="Enter Hrs/Wk","",IF($E$30&gt;='FORMULA REFS'!H$1,$Y118,"")))</f>
        <v/>
      </c>
      <c r="Q240" s="882" t="str">
        <f>IF($E$30="Enter Duration (wks)","",IF($Y118="Enter Hrs/Wk","",IF($E$30&gt;='FORMULA REFS'!I$1,$Y118,"")))</f>
        <v/>
      </c>
      <c r="R240" s="882" t="str">
        <f>IF($E$30="Enter Duration (wks)","",IF($Y118="Enter Hrs/Wk","",IF($E$30&gt;='FORMULA REFS'!J$1,$Y118,"")))</f>
        <v/>
      </c>
      <c r="S240" s="882" t="str">
        <f>IF($E$30="Enter Duration (wks)","",IF($Y118="Enter Hrs/Wk","",IF($E$30&gt;='FORMULA REFS'!K$1,$Y118,"")))</f>
        <v/>
      </c>
      <c r="T240" s="1323" t="str">
        <f>IF($E$30="Enter Duration (wks)","",IF($Y118="Enter Hrs/Wk","",IF($E$30&gt;='FORMULA REFS'!L$1,$Y118,"")))</f>
        <v/>
      </c>
      <c r="U240" s="882" t="str">
        <f>IF($E$30="Enter Duration (wks)","",IF($Y118="Enter Hrs/Wk","",IF($E$30&gt;='FORMULA REFS'!M$1,$Y118,"")))</f>
        <v/>
      </c>
      <c r="V240" s="882"/>
      <c r="W240" s="882"/>
      <c r="X240" s="1285"/>
      <c r="Y240" s="1285" t="str">
        <f>IF($E$30="Enter Duration (wks)","",IF($Y118="Enter Hrs/Wk","",IF($E$30&gt;='FORMULA REFS'!N$1,$Y118,"")))</f>
        <v/>
      </c>
      <c r="Z240" s="1343" t="str">
        <f>IF($E$30="Enter Duration (wks)","",IF($Y118="Enter Hrs/Wk","",IF($E$30&gt;='FORMULA REFS'!O$1,$Y118,"")))</f>
        <v/>
      </c>
      <c r="AA240" s="882" t="str">
        <f>IF($E$30="Enter Duration (wks)","",IF($Y118="Enter Hrs/Wk","",IF($E$30&gt;='FORMULA REFS'!P$1,$Y118,"")))</f>
        <v/>
      </c>
      <c r="AB240" s="882" t="str">
        <f>IF($E$30="Enter Duration (wks)","",IF($Y118="Enter Hrs/Wk","",IF($E$30&gt;='FORMULA REFS'!Q$1,$Y118,"")))</f>
        <v/>
      </c>
      <c r="AC240" s="882"/>
      <c r="AD240" s="882"/>
      <c r="AE240" s="882"/>
      <c r="AF240" s="882"/>
      <c r="AG240" s="1286" t="str">
        <f>IF($E$30="Enter Duration (wks)","",IF($Y118="Enter Hrs/Wk","",IF($E$30&gt;='FORMULA REFS'!R$1,$Y118,"")))</f>
        <v/>
      </c>
      <c r="AH240" s="1286" t="str">
        <f>IF($E$30="Enter Duration (wks)","",IF($Y118="Enter Hrs/Wk","",IF($E$30&gt;='FORMULA REFS'!S$1,$Y118,"")))</f>
        <v/>
      </c>
      <c r="AI240" s="1286" t="str">
        <f>IF($E$30="Enter Duration (wks)","",IF($Y118="Enter Hrs/Wk","",IF($E$30&gt;='FORMULA REFS'!T$1,$Y118,"")))</f>
        <v/>
      </c>
      <c r="AJ240" s="1286" t="str">
        <f>IF($E$30="Enter Duration (wks)","",IF($Y118="Enter Hrs/Wk","",IF($E$30&gt;='FORMULA REFS'!U$1,$Y118,"")))</f>
        <v/>
      </c>
      <c r="AK240" s="1286" t="str">
        <f>IF($E$30="Enter Duration (wks)","",IF($Y118="Enter Hrs/Wk","",IF($E$30&gt;='FORMULA REFS'!V$1,$Y118,"")))</f>
        <v/>
      </c>
      <c r="AL240" s="1286" t="str">
        <f>IF($E$30="Enter Duration (wks)","",IF($Y118="Enter Hrs/Wk","",IF($E$30&gt;='FORMULA REFS'!W$1,$Y118,"")))</f>
        <v/>
      </c>
      <c r="AM240" s="1286" t="str">
        <f>IF($E$30="Enter Duration (wks)","",IF($Y118="Enter Hrs/Wk","",IF($E$30&gt;='FORMULA REFS'!X$1,$Y118,"")))</f>
        <v/>
      </c>
      <c r="AN240" s="1286" t="str">
        <f>IF($E$30="Enter Duration (wks)","",IF($Y118="Enter Hrs/Wk","",IF($E$30&gt;='FORMULA REFS'!Y$1,$Y118,"")))</f>
        <v/>
      </c>
      <c r="AO240" s="1286" t="str">
        <f>IF($E$30="Enter Duration (wks)","",IF($Y118="Enter Hrs/Wk","",IF($E$30&gt;='FORMULA REFS'!Z$1,$Y118,"")))</f>
        <v/>
      </c>
      <c r="AP240" s="1286" t="str">
        <f>IF($E$30="Enter Duration (wks)","",IF($Y118="Enter Hrs/Wk","",IF($E$30&gt;='FORMULA REFS'!AA$1,$Y118,"")))</f>
        <v/>
      </c>
      <c r="AQ240" s="1286" t="str">
        <f>IF($E$30="Enter Duration (wks)","",IF($Y118="Enter Hrs/Wk","",IF($E$30&gt;='FORMULA REFS'!AB$1,$Y118,"")))</f>
        <v/>
      </c>
      <c r="AR240" s="1286" t="str">
        <f>IF($E$30="Enter Duration (wks)","",IF($Y118="Enter Hrs/Wk","",IF($E$30&gt;='FORMULA REFS'!AC$1,$Y118,"")))</f>
        <v/>
      </c>
      <c r="AS240" s="1286" t="str">
        <f>IF($E$30="Enter Duration (wks)","",IF($Y118="Enter Hrs/Wk","",IF($E$30&gt;='FORMULA REFS'!AD$1,$Y118,"")))</f>
        <v/>
      </c>
      <c r="AT240" s="1286" t="str">
        <f>IF($E$30="Enter Duration (wks)","",IF($Y118="Enter Hrs/Wk","",IF($E$30&gt;='FORMULA REFS'!AE$1,$Y118,"")))</f>
        <v/>
      </c>
      <c r="AU240" s="1286" t="str">
        <f>IF($E$30="Enter Duration (wks)","",IF($Y118="Enter Hrs/Wk","",IF($E$30&gt;='FORMULA REFS'!AF$1,$Y118,"")))</f>
        <v/>
      </c>
      <c r="AV240" s="1286" t="str">
        <f>IF($E$30="Enter Duration (wks)","",IF($Y118="Enter Hrs/Wk","",IF($E$30&gt;='FORMULA REFS'!AG$1,$Y118,"")))</f>
        <v/>
      </c>
      <c r="AW240" s="1286" t="str">
        <f>IF($E$30="Enter Duration (wks)","",IF($Y118="Enter Hrs/Wk","",IF($E$30&gt;='FORMULA REFS'!AH$1,$Y118,"")))</f>
        <v/>
      </c>
      <c r="AX240" s="1286" t="str">
        <f>IF($E$30="Enter Duration (wks)","",IF($Y118="Enter Hrs/Wk","",IF($E$30&gt;='FORMULA REFS'!AI$1,$Y118,"")))</f>
        <v/>
      </c>
      <c r="AY240" s="1286" t="str">
        <f>IF($E$30="Enter Duration (wks)","",IF($Y118="Enter Hrs/Wk","",IF($E$30&gt;='FORMULA REFS'!AJ$1,$Y118,"")))</f>
        <v/>
      </c>
      <c r="AZ240" s="1286" t="str">
        <f>IF($E$30="Enter Duration (wks)","",IF($Y118="Enter Hrs/Wk","",IF($E$30&gt;='FORMULA REFS'!AK$1,$Y118,"")))</f>
        <v/>
      </c>
      <c r="BA240" s="1286" t="str">
        <f>IF($E$30="Enter Duration (wks)","",IF($Y118="Enter Hrs/Wk","",IF($E$30&gt;='FORMULA REFS'!AL$1,$Y118,"")))</f>
        <v/>
      </c>
      <c r="BB240" s="1286" t="str">
        <f>IF($E$30="Enter Duration (wks)","",IF($Y118="Enter Hrs/Wk","",IF($E$30&gt;='FORMULA REFS'!AM$1,$Y118,"")))</f>
        <v/>
      </c>
      <c r="BC240" s="1286" t="str">
        <f>IF($E$30="Enter Duration (wks)","",IF($Y118="Enter Hrs/Wk","",IF($E$30&gt;='FORMULA REFS'!AN$1,$Y118,"")))</f>
        <v/>
      </c>
      <c r="BD240" s="1286" t="str">
        <f>IF($E$30="Enter Duration (wks)","",IF($Y118="Enter Hrs/Wk","",IF($E$30&gt;='FORMULA REFS'!AO$1,$Y118,"")))</f>
        <v/>
      </c>
      <c r="BE240" s="1286" t="str">
        <f>IF($E$30="Enter Duration (wks)","",IF($Y118="Enter Hrs/Wk","",IF($E$30&gt;='FORMULA REFS'!AP$1,$Y118,"")))</f>
        <v/>
      </c>
      <c r="BF240" s="1286" t="str">
        <f>IF($E$30="Enter Duration (wks)","",IF($Y118="Enter Hrs/Wk","",IF($E$30&gt;='FORMULA REFS'!AQ$1,$Y118,"")))</f>
        <v/>
      </c>
      <c r="BG240" s="1286" t="str">
        <f>IF($E$30="Enter Duration (wks)","",IF($Y118="Enter Hrs/Wk","",IF($E$30&gt;='FORMULA REFS'!AR$1,$Y118,"")))</f>
        <v/>
      </c>
      <c r="BH240" s="1286" t="str">
        <f>IF($E$30="Enter Duration (wks)","",IF($Y118="Enter Hrs/Wk","",IF($E$30&gt;='FORMULA REFS'!AS$1,$Y118,"")))</f>
        <v/>
      </c>
      <c r="BI240" s="1286" t="str">
        <f>IF($E$30="Enter Duration (wks)","",IF($Y118="Enter Hrs/Wk","",IF($E$30&gt;='FORMULA REFS'!AT$1,$Y118,"")))</f>
        <v/>
      </c>
      <c r="BJ240" s="1286" t="str">
        <f>IF($E$30="Enter Duration (wks)","",IF($Y118="Enter Hrs/Wk","",IF($E$30&gt;='FORMULA REFS'!AU$1,$Y118,"")))</f>
        <v/>
      </c>
      <c r="BK240" s="1286" t="str">
        <f>IF($E$30="Enter Duration (wks)","",IF($Y118="Enter Hrs/Wk","",IF($E$30&gt;='FORMULA REFS'!AV$1,$Y118,"")))</f>
        <v/>
      </c>
      <c r="BL240" s="1286" t="str">
        <f>IF($E$30="Enter Duration (wks)","",IF($Y118="Enter Hrs/Wk","",IF($E$30&gt;='FORMULA REFS'!AW$1,$Y118,"")))</f>
        <v/>
      </c>
      <c r="BM240" s="1286" t="str">
        <f>IF($E$30="Enter Duration (wks)","",IF($Y118="Enter Hrs/Wk","",IF($E$30&gt;='FORMULA REFS'!AX$1,$Y118,"")))</f>
        <v/>
      </c>
      <c r="BN240" s="1286" t="str">
        <f>IF($E$30="Enter Duration (wks)","",IF($Y118="Enter Hrs/Wk","",IF($E$30&gt;='FORMULA REFS'!AY$1,$Y118,"")))</f>
        <v/>
      </c>
      <c r="BO240" s="1286" t="str">
        <f>IF($E$30="Enter Duration (wks)","",IF($Y118="Enter Hrs/Wk","",IF($E$30&gt;='FORMULA REFS'!AZ$1,$Y118,"")))</f>
        <v/>
      </c>
    </row>
    <row r="241" spans="3:75" hidden="1" outlineLevel="1" x14ac:dyDescent="0.25">
      <c r="C241" s="1291" t="str">
        <f t="shared" si="83"/>
        <v/>
      </c>
      <c r="D241" s="1319" t="str">
        <f t="shared" si="84"/>
        <v/>
      </c>
      <c r="E241" s="1326"/>
      <c r="F241" s="1327" t="str">
        <f>IF($E$30="Enter Duration (wks)","",IF($Y119="Enter Hrs/Wk","",IF($E$30&gt;='FORMULA REFS'!A$1,$Y119,"")))</f>
        <v/>
      </c>
      <c r="G241" s="1328"/>
      <c r="H241" s="1570"/>
      <c r="I241" s="1329" t="str">
        <f>IF($E$30="Enter Duration (wks)","",IF($Y119="Enter Hrs/Wk","",IF($E$30&gt;='FORMULA REFS'!B$1,$Y119,"")))</f>
        <v/>
      </c>
      <c r="J241" s="1323"/>
      <c r="K241" s="1286" t="str">
        <f>IF($E$30="Enter Duration (wks)","",IF($Y119="Enter Hrs/Wk","",IF($E$30&gt;='FORMULA REFS'!C$1,$Y119,"")))</f>
        <v/>
      </c>
      <c r="L241" s="882" t="str">
        <f>IF($E$30="Enter Duration (wks)","",IF($Y119="Enter Hrs/Wk","",IF($E$30&gt;='FORMULA REFS'!D$1,$Y119,"")))</f>
        <v/>
      </c>
      <c r="M241" s="882" t="str">
        <f>IF($E$30="Enter Duration (wks)","",IF($Y119="Enter Hrs/Wk","",IF($E$30&gt;='FORMULA REFS'!E$1,$Y119,"")))</f>
        <v/>
      </c>
      <c r="N241" s="882" t="str">
        <f>IF($E$30="Enter Duration (wks)","",IF($Y119="Enter Hrs/Wk","",IF($E$30&gt;='FORMULA REFS'!F$1,$Y119,"")))</f>
        <v/>
      </c>
      <c r="O241" s="882" t="str">
        <f>IF($E$30="Enter Duration (wks)","",IF($Y119="Enter Hrs/Wk","",IF($E$30&gt;='FORMULA REFS'!G$1,$Y119,"")))</f>
        <v/>
      </c>
      <c r="P241" s="882" t="str">
        <f>IF($E$30="Enter Duration (wks)","",IF($Y119="Enter Hrs/Wk","",IF($E$30&gt;='FORMULA REFS'!H$1,$Y119,"")))</f>
        <v/>
      </c>
      <c r="Q241" s="882" t="str">
        <f>IF($E$30="Enter Duration (wks)","",IF($Y119="Enter Hrs/Wk","",IF($E$30&gt;='FORMULA REFS'!I$1,$Y119,"")))</f>
        <v/>
      </c>
      <c r="R241" s="882" t="str">
        <f>IF($E$30="Enter Duration (wks)","",IF($Y119="Enter Hrs/Wk","",IF($E$30&gt;='FORMULA REFS'!J$1,$Y119,"")))</f>
        <v/>
      </c>
      <c r="S241" s="882" t="str">
        <f>IF($E$30="Enter Duration (wks)","",IF($Y119="Enter Hrs/Wk","",IF($E$30&gt;='FORMULA REFS'!K$1,$Y119,"")))</f>
        <v/>
      </c>
      <c r="T241" s="1323" t="str">
        <f>IF($E$30="Enter Duration (wks)","",IF($Y119="Enter Hrs/Wk","",IF($E$30&gt;='FORMULA REFS'!L$1,$Y119,"")))</f>
        <v/>
      </c>
      <c r="U241" s="882" t="str">
        <f>IF($E$30="Enter Duration (wks)","",IF($Y119="Enter Hrs/Wk","",IF($E$30&gt;='FORMULA REFS'!M$1,$Y119,"")))</f>
        <v/>
      </c>
      <c r="V241" s="882"/>
      <c r="W241" s="882"/>
      <c r="X241" s="1285"/>
      <c r="Y241" s="1285" t="str">
        <f>IF($E$30="Enter Duration (wks)","",IF($Y119="Enter Hrs/Wk","",IF($E$30&gt;='FORMULA REFS'!N$1,$Y119,"")))</f>
        <v/>
      </c>
      <c r="Z241" s="1343" t="str">
        <f>IF($E$30="Enter Duration (wks)","",IF($Y119="Enter Hrs/Wk","",IF($E$30&gt;='FORMULA REFS'!O$1,$Y119,"")))</f>
        <v/>
      </c>
      <c r="AA241" s="882" t="str">
        <f>IF($E$30="Enter Duration (wks)","",IF($Y119="Enter Hrs/Wk","",IF($E$30&gt;='FORMULA REFS'!P$1,$Y119,"")))</f>
        <v/>
      </c>
      <c r="AB241" s="882" t="str">
        <f>IF($E$30="Enter Duration (wks)","",IF($Y119="Enter Hrs/Wk","",IF($E$30&gt;='FORMULA REFS'!Q$1,$Y119,"")))</f>
        <v/>
      </c>
      <c r="AC241" s="882"/>
      <c r="AD241" s="882"/>
      <c r="AE241" s="882"/>
      <c r="AF241" s="882"/>
      <c r="AG241" s="1286" t="str">
        <f>IF($E$30="Enter Duration (wks)","",IF($Y119="Enter Hrs/Wk","",IF($E$30&gt;='FORMULA REFS'!R$1,$Y119,"")))</f>
        <v/>
      </c>
      <c r="AH241" s="1286" t="str">
        <f>IF($E$30="Enter Duration (wks)","",IF($Y119="Enter Hrs/Wk","",IF($E$30&gt;='FORMULA REFS'!S$1,$Y119,"")))</f>
        <v/>
      </c>
      <c r="AI241" s="1286" t="str">
        <f>IF($E$30="Enter Duration (wks)","",IF($Y119="Enter Hrs/Wk","",IF($E$30&gt;='FORMULA REFS'!T$1,$Y119,"")))</f>
        <v/>
      </c>
      <c r="AJ241" s="1286" t="str">
        <f>IF($E$30="Enter Duration (wks)","",IF($Y119="Enter Hrs/Wk","",IF($E$30&gt;='FORMULA REFS'!U$1,$Y119,"")))</f>
        <v/>
      </c>
      <c r="AK241" s="1286" t="str">
        <f>IF($E$30="Enter Duration (wks)","",IF($Y119="Enter Hrs/Wk","",IF($E$30&gt;='FORMULA REFS'!V$1,$Y119,"")))</f>
        <v/>
      </c>
      <c r="AL241" s="1286" t="str">
        <f>IF($E$30="Enter Duration (wks)","",IF($Y119="Enter Hrs/Wk","",IF($E$30&gt;='FORMULA REFS'!W$1,$Y119,"")))</f>
        <v/>
      </c>
      <c r="AM241" s="1286" t="str">
        <f>IF($E$30="Enter Duration (wks)","",IF($Y119="Enter Hrs/Wk","",IF($E$30&gt;='FORMULA REFS'!X$1,$Y119,"")))</f>
        <v/>
      </c>
      <c r="AN241" s="1286" t="str">
        <f>IF($E$30="Enter Duration (wks)","",IF($Y119="Enter Hrs/Wk","",IF($E$30&gt;='FORMULA REFS'!Y$1,$Y119,"")))</f>
        <v/>
      </c>
      <c r="AO241" s="1286" t="str">
        <f>IF($E$30="Enter Duration (wks)","",IF($Y119="Enter Hrs/Wk","",IF($E$30&gt;='FORMULA REFS'!Z$1,$Y119,"")))</f>
        <v/>
      </c>
      <c r="AP241" s="1286" t="str">
        <f>IF($E$30="Enter Duration (wks)","",IF($Y119="Enter Hrs/Wk","",IF($E$30&gt;='FORMULA REFS'!AA$1,$Y119,"")))</f>
        <v/>
      </c>
      <c r="AQ241" s="1286" t="str">
        <f>IF($E$30="Enter Duration (wks)","",IF($Y119="Enter Hrs/Wk","",IF($E$30&gt;='FORMULA REFS'!AB$1,$Y119,"")))</f>
        <v/>
      </c>
      <c r="AR241" s="1286" t="str">
        <f>IF($E$30="Enter Duration (wks)","",IF($Y119="Enter Hrs/Wk","",IF($E$30&gt;='FORMULA REFS'!AC$1,$Y119,"")))</f>
        <v/>
      </c>
      <c r="AS241" s="1286" t="str">
        <f>IF($E$30="Enter Duration (wks)","",IF($Y119="Enter Hrs/Wk","",IF($E$30&gt;='FORMULA REFS'!AD$1,$Y119,"")))</f>
        <v/>
      </c>
      <c r="AT241" s="1286" t="str">
        <f>IF($E$30="Enter Duration (wks)","",IF($Y119="Enter Hrs/Wk","",IF($E$30&gt;='FORMULA REFS'!AE$1,$Y119,"")))</f>
        <v/>
      </c>
      <c r="AU241" s="1286" t="str">
        <f>IF($E$30="Enter Duration (wks)","",IF($Y119="Enter Hrs/Wk","",IF($E$30&gt;='FORMULA REFS'!AF$1,$Y119,"")))</f>
        <v/>
      </c>
      <c r="AV241" s="1286" t="str">
        <f>IF($E$30="Enter Duration (wks)","",IF($Y119="Enter Hrs/Wk","",IF($E$30&gt;='FORMULA REFS'!AG$1,$Y119,"")))</f>
        <v/>
      </c>
      <c r="AW241" s="1286" t="str">
        <f>IF($E$30="Enter Duration (wks)","",IF($Y119="Enter Hrs/Wk","",IF($E$30&gt;='FORMULA REFS'!AH$1,$Y119,"")))</f>
        <v/>
      </c>
      <c r="AX241" s="1286" t="str">
        <f>IF($E$30="Enter Duration (wks)","",IF($Y119="Enter Hrs/Wk","",IF($E$30&gt;='FORMULA REFS'!AI$1,$Y119,"")))</f>
        <v/>
      </c>
      <c r="AY241" s="1286" t="str">
        <f>IF($E$30="Enter Duration (wks)","",IF($Y119="Enter Hrs/Wk","",IF($E$30&gt;='FORMULA REFS'!AJ$1,$Y119,"")))</f>
        <v/>
      </c>
      <c r="AZ241" s="1286" t="str">
        <f>IF($E$30="Enter Duration (wks)","",IF($Y119="Enter Hrs/Wk","",IF($E$30&gt;='FORMULA REFS'!AK$1,$Y119,"")))</f>
        <v/>
      </c>
      <c r="BA241" s="1286" t="str">
        <f>IF($E$30="Enter Duration (wks)","",IF($Y119="Enter Hrs/Wk","",IF($E$30&gt;='FORMULA REFS'!AL$1,$Y119,"")))</f>
        <v/>
      </c>
      <c r="BB241" s="1286" t="str">
        <f>IF($E$30="Enter Duration (wks)","",IF($Y119="Enter Hrs/Wk","",IF($E$30&gt;='FORMULA REFS'!AM$1,$Y119,"")))</f>
        <v/>
      </c>
      <c r="BC241" s="1286" t="str">
        <f>IF($E$30="Enter Duration (wks)","",IF($Y119="Enter Hrs/Wk","",IF($E$30&gt;='FORMULA REFS'!AN$1,$Y119,"")))</f>
        <v/>
      </c>
      <c r="BD241" s="1286" t="str">
        <f>IF($E$30="Enter Duration (wks)","",IF($Y119="Enter Hrs/Wk","",IF($E$30&gt;='FORMULA REFS'!AO$1,$Y119,"")))</f>
        <v/>
      </c>
      <c r="BE241" s="1286" t="str">
        <f>IF($E$30="Enter Duration (wks)","",IF($Y119="Enter Hrs/Wk","",IF($E$30&gt;='FORMULA REFS'!AP$1,$Y119,"")))</f>
        <v/>
      </c>
      <c r="BF241" s="1286" t="str">
        <f>IF($E$30="Enter Duration (wks)","",IF($Y119="Enter Hrs/Wk","",IF($E$30&gt;='FORMULA REFS'!AQ$1,$Y119,"")))</f>
        <v/>
      </c>
      <c r="BG241" s="1286" t="str">
        <f>IF($E$30="Enter Duration (wks)","",IF($Y119="Enter Hrs/Wk","",IF($E$30&gt;='FORMULA REFS'!AR$1,$Y119,"")))</f>
        <v/>
      </c>
      <c r="BH241" s="1286" t="str">
        <f>IF($E$30="Enter Duration (wks)","",IF($Y119="Enter Hrs/Wk","",IF($E$30&gt;='FORMULA REFS'!AS$1,$Y119,"")))</f>
        <v/>
      </c>
      <c r="BI241" s="1286" t="str">
        <f>IF($E$30="Enter Duration (wks)","",IF($Y119="Enter Hrs/Wk","",IF($E$30&gt;='FORMULA REFS'!AT$1,$Y119,"")))</f>
        <v/>
      </c>
      <c r="BJ241" s="1286" t="str">
        <f>IF($E$30="Enter Duration (wks)","",IF($Y119="Enter Hrs/Wk","",IF($E$30&gt;='FORMULA REFS'!AU$1,$Y119,"")))</f>
        <v/>
      </c>
      <c r="BK241" s="1286" t="str">
        <f>IF($E$30="Enter Duration (wks)","",IF($Y119="Enter Hrs/Wk","",IF($E$30&gt;='FORMULA REFS'!AV$1,$Y119,"")))</f>
        <v/>
      </c>
      <c r="BL241" s="1286" t="str">
        <f>IF($E$30="Enter Duration (wks)","",IF($Y119="Enter Hrs/Wk","",IF($E$30&gt;='FORMULA REFS'!AW$1,$Y119,"")))</f>
        <v/>
      </c>
      <c r="BM241" s="1286" t="str">
        <f>IF($E$30="Enter Duration (wks)","",IF($Y119="Enter Hrs/Wk","",IF($E$30&gt;='FORMULA REFS'!AX$1,$Y119,"")))</f>
        <v/>
      </c>
      <c r="BN241" s="1286" t="str">
        <f>IF($E$30="Enter Duration (wks)","",IF($Y119="Enter Hrs/Wk","",IF($E$30&gt;='FORMULA REFS'!AY$1,$Y119,"")))</f>
        <v/>
      </c>
      <c r="BO241" s="1286" t="str">
        <f>IF($E$30="Enter Duration (wks)","",IF($Y119="Enter Hrs/Wk","",IF($E$30&gt;='FORMULA REFS'!AZ$1,$Y119,"")))</f>
        <v/>
      </c>
    </row>
    <row r="242" spans="3:75" hidden="1" outlineLevel="1" x14ac:dyDescent="0.25">
      <c r="C242" s="1291" t="str">
        <f t="shared" si="83"/>
        <v/>
      </c>
      <c r="D242" s="1319" t="str">
        <f t="shared" si="84"/>
        <v/>
      </c>
      <c r="E242" s="1326"/>
      <c r="F242" s="1327" t="str">
        <f>IF($E$30="Enter Duration (wks)","",IF($Y120="Enter Hrs/Wk","",IF($E$30&gt;='FORMULA REFS'!A$1,$Y120,"")))</f>
        <v/>
      </c>
      <c r="G242" s="1328"/>
      <c r="H242" s="1570"/>
      <c r="I242" s="1329" t="str">
        <f>IF($E$30="Enter Duration (wks)","",IF($Y120="Enter Hrs/Wk","",IF($E$30&gt;='FORMULA REFS'!B$1,$Y120,"")))</f>
        <v/>
      </c>
      <c r="J242" s="1323"/>
      <c r="K242" s="1286" t="str">
        <f>IF($E$30="Enter Duration (wks)","",IF($Y120="Enter Hrs/Wk","",IF($E$30&gt;='FORMULA REFS'!C$1,$Y120,"")))</f>
        <v/>
      </c>
      <c r="L242" s="882" t="str">
        <f>IF($E$30="Enter Duration (wks)","",IF($Y120="Enter Hrs/Wk","",IF($E$30&gt;='FORMULA REFS'!D$1,$Y120,"")))</f>
        <v/>
      </c>
      <c r="M242" s="882" t="str">
        <f>IF($E$30="Enter Duration (wks)","",IF($Y120="Enter Hrs/Wk","",IF($E$30&gt;='FORMULA REFS'!E$1,$Y120,"")))</f>
        <v/>
      </c>
      <c r="N242" s="882" t="str">
        <f>IF($E$30="Enter Duration (wks)","",IF($Y120="Enter Hrs/Wk","",IF($E$30&gt;='FORMULA REFS'!F$1,$Y120,"")))</f>
        <v/>
      </c>
      <c r="O242" s="882" t="str">
        <f>IF($E$30="Enter Duration (wks)","",IF($Y120="Enter Hrs/Wk","",IF($E$30&gt;='FORMULA REFS'!G$1,$Y120,"")))</f>
        <v/>
      </c>
      <c r="P242" s="882" t="str">
        <f>IF($E$30="Enter Duration (wks)","",IF($Y120="Enter Hrs/Wk","",IF($E$30&gt;='FORMULA REFS'!H$1,$Y120,"")))</f>
        <v/>
      </c>
      <c r="Q242" s="882" t="str">
        <f>IF($E$30="Enter Duration (wks)","",IF($Y120="Enter Hrs/Wk","",IF($E$30&gt;='FORMULA REFS'!I$1,$Y120,"")))</f>
        <v/>
      </c>
      <c r="R242" s="882" t="str">
        <f>IF($E$30="Enter Duration (wks)","",IF($Y120="Enter Hrs/Wk","",IF($E$30&gt;='FORMULA REFS'!J$1,$Y120,"")))</f>
        <v/>
      </c>
      <c r="S242" s="882" t="str">
        <f>IF($E$30="Enter Duration (wks)","",IF($Y120="Enter Hrs/Wk","",IF($E$30&gt;='FORMULA REFS'!K$1,$Y120,"")))</f>
        <v/>
      </c>
      <c r="T242" s="1323" t="str">
        <f>IF($E$30="Enter Duration (wks)","",IF($Y120="Enter Hrs/Wk","",IF($E$30&gt;='FORMULA REFS'!L$1,$Y120,"")))</f>
        <v/>
      </c>
      <c r="U242" s="882" t="str">
        <f>IF($E$30="Enter Duration (wks)","",IF($Y120="Enter Hrs/Wk","",IF($E$30&gt;='FORMULA REFS'!M$1,$Y120,"")))</f>
        <v/>
      </c>
      <c r="V242" s="882"/>
      <c r="W242" s="882"/>
      <c r="X242" s="1285"/>
      <c r="Y242" s="1285" t="str">
        <f>IF($E$30="Enter Duration (wks)","",IF($Y120="Enter Hrs/Wk","",IF($E$30&gt;='FORMULA REFS'!N$1,$Y120,"")))</f>
        <v/>
      </c>
      <c r="Z242" s="1343" t="str">
        <f>IF($E$30="Enter Duration (wks)","",IF($Y120="Enter Hrs/Wk","",IF($E$30&gt;='FORMULA REFS'!O$1,$Y120,"")))</f>
        <v/>
      </c>
      <c r="AA242" s="882" t="str">
        <f>IF($E$30="Enter Duration (wks)","",IF($Y120="Enter Hrs/Wk","",IF($E$30&gt;='FORMULA REFS'!P$1,$Y120,"")))</f>
        <v/>
      </c>
      <c r="AB242" s="882" t="str">
        <f>IF($E$30="Enter Duration (wks)","",IF($Y120="Enter Hrs/Wk","",IF($E$30&gt;='FORMULA REFS'!Q$1,$Y120,"")))</f>
        <v/>
      </c>
      <c r="AC242" s="882"/>
      <c r="AD242" s="882"/>
      <c r="AE242" s="882"/>
      <c r="AF242" s="882"/>
      <c r="AG242" s="1286" t="str">
        <f>IF($E$30="Enter Duration (wks)","",IF($Y120="Enter Hrs/Wk","",IF($E$30&gt;='FORMULA REFS'!R$1,$Y120,"")))</f>
        <v/>
      </c>
      <c r="AH242" s="1286" t="str">
        <f>IF($E$30="Enter Duration (wks)","",IF($Y120="Enter Hrs/Wk","",IF($E$30&gt;='FORMULA REFS'!S$1,$Y120,"")))</f>
        <v/>
      </c>
      <c r="AI242" s="1286" t="str">
        <f>IF($E$30="Enter Duration (wks)","",IF($Y120="Enter Hrs/Wk","",IF($E$30&gt;='FORMULA REFS'!T$1,$Y120,"")))</f>
        <v/>
      </c>
      <c r="AJ242" s="1286" t="str">
        <f>IF($E$30="Enter Duration (wks)","",IF($Y120="Enter Hrs/Wk","",IF($E$30&gt;='FORMULA REFS'!U$1,$Y120,"")))</f>
        <v/>
      </c>
      <c r="AK242" s="1286" t="str">
        <f>IF($E$30="Enter Duration (wks)","",IF($Y120="Enter Hrs/Wk","",IF($E$30&gt;='FORMULA REFS'!V$1,$Y120,"")))</f>
        <v/>
      </c>
      <c r="AL242" s="1286" t="str">
        <f>IF($E$30="Enter Duration (wks)","",IF($Y120="Enter Hrs/Wk","",IF($E$30&gt;='FORMULA REFS'!W$1,$Y120,"")))</f>
        <v/>
      </c>
      <c r="AM242" s="1286" t="str">
        <f>IF($E$30="Enter Duration (wks)","",IF($Y120="Enter Hrs/Wk","",IF($E$30&gt;='FORMULA REFS'!X$1,$Y120,"")))</f>
        <v/>
      </c>
      <c r="AN242" s="1286" t="str">
        <f>IF($E$30="Enter Duration (wks)","",IF($Y120="Enter Hrs/Wk","",IF($E$30&gt;='FORMULA REFS'!Y$1,$Y120,"")))</f>
        <v/>
      </c>
      <c r="AO242" s="1286" t="str">
        <f>IF($E$30="Enter Duration (wks)","",IF($Y120="Enter Hrs/Wk","",IF($E$30&gt;='FORMULA REFS'!Z$1,$Y120,"")))</f>
        <v/>
      </c>
      <c r="AP242" s="1286" t="str">
        <f>IF($E$30="Enter Duration (wks)","",IF($Y120="Enter Hrs/Wk","",IF($E$30&gt;='FORMULA REFS'!AA$1,$Y120,"")))</f>
        <v/>
      </c>
      <c r="AQ242" s="1286" t="str">
        <f>IF($E$30="Enter Duration (wks)","",IF($Y120="Enter Hrs/Wk","",IF($E$30&gt;='FORMULA REFS'!AB$1,$Y120,"")))</f>
        <v/>
      </c>
      <c r="AR242" s="1286" t="str">
        <f>IF($E$30="Enter Duration (wks)","",IF($Y120="Enter Hrs/Wk","",IF($E$30&gt;='FORMULA REFS'!AC$1,$Y120,"")))</f>
        <v/>
      </c>
      <c r="AS242" s="1286" t="str">
        <f>IF($E$30="Enter Duration (wks)","",IF($Y120="Enter Hrs/Wk","",IF($E$30&gt;='FORMULA REFS'!AD$1,$Y120,"")))</f>
        <v/>
      </c>
      <c r="AT242" s="1286" t="str">
        <f>IF($E$30="Enter Duration (wks)","",IF($Y120="Enter Hrs/Wk","",IF($E$30&gt;='FORMULA REFS'!AE$1,$Y120,"")))</f>
        <v/>
      </c>
      <c r="AU242" s="1286" t="str">
        <f>IF($E$30="Enter Duration (wks)","",IF($Y120="Enter Hrs/Wk","",IF($E$30&gt;='FORMULA REFS'!AF$1,$Y120,"")))</f>
        <v/>
      </c>
      <c r="AV242" s="1286" t="str">
        <f>IF($E$30="Enter Duration (wks)","",IF($Y120="Enter Hrs/Wk","",IF($E$30&gt;='FORMULA REFS'!AG$1,$Y120,"")))</f>
        <v/>
      </c>
      <c r="AW242" s="1286" t="str">
        <f>IF($E$30="Enter Duration (wks)","",IF($Y120="Enter Hrs/Wk","",IF($E$30&gt;='FORMULA REFS'!AH$1,$Y120,"")))</f>
        <v/>
      </c>
      <c r="AX242" s="1286" t="str">
        <f>IF($E$30="Enter Duration (wks)","",IF($Y120="Enter Hrs/Wk","",IF($E$30&gt;='FORMULA REFS'!AI$1,$Y120,"")))</f>
        <v/>
      </c>
      <c r="AY242" s="1286" t="str">
        <f>IF($E$30="Enter Duration (wks)","",IF($Y120="Enter Hrs/Wk","",IF($E$30&gt;='FORMULA REFS'!AJ$1,$Y120,"")))</f>
        <v/>
      </c>
      <c r="AZ242" s="1286" t="str">
        <f>IF($E$30="Enter Duration (wks)","",IF($Y120="Enter Hrs/Wk","",IF($E$30&gt;='FORMULA REFS'!AK$1,$Y120,"")))</f>
        <v/>
      </c>
      <c r="BA242" s="1286" t="str">
        <f>IF($E$30="Enter Duration (wks)","",IF($Y120="Enter Hrs/Wk","",IF($E$30&gt;='FORMULA REFS'!AL$1,$Y120,"")))</f>
        <v/>
      </c>
      <c r="BB242" s="1286" t="str">
        <f>IF($E$30="Enter Duration (wks)","",IF($Y120="Enter Hrs/Wk","",IF($E$30&gt;='FORMULA REFS'!AM$1,$Y120,"")))</f>
        <v/>
      </c>
      <c r="BC242" s="1286" t="str">
        <f>IF($E$30="Enter Duration (wks)","",IF($Y120="Enter Hrs/Wk","",IF($E$30&gt;='FORMULA REFS'!AN$1,$Y120,"")))</f>
        <v/>
      </c>
      <c r="BD242" s="1286" t="str">
        <f>IF($E$30="Enter Duration (wks)","",IF($Y120="Enter Hrs/Wk","",IF($E$30&gt;='FORMULA REFS'!AO$1,$Y120,"")))</f>
        <v/>
      </c>
      <c r="BE242" s="1286" t="str">
        <f>IF($E$30="Enter Duration (wks)","",IF($Y120="Enter Hrs/Wk","",IF($E$30&gt;='FORMULA REFS'!AP$1,$Y120,"")))</f>
        <v/>
      </c>
      <c r="BF242" s="1286" t="str">
        <f>IF($E$30="Enter Duration (wks)","",IF($Y120="Enter Hrs/Wk","",IF($E$30&gt;='FORMULA REFS'!AQ$1,$Y120,"")))</f>
        <v/>
      </c>
      <c r="BG242" s="1286" t="str">
        <f>IF($E$30="Enter Duration (wks)","",IF($Y120="Enter Hrs/Wk","",IF($E$30&gt;='FORMULA REFS'!AR$1,$Y120,"")))</f>
        <v/>
      </c>
      <c r="BH242" s="1286" t="str">
        <f>IF($E$30="Enter Duration (wks)","",IF($Y120="Enter Hrs/Wk","",IF($E$30&gt;='FORMULA REFS'!AS$1,$Y120,"")))</f>
        <v/>
      </c>
      <c r="BI242" s="1286" t="str">
        <f>IF($E$30="Enter Duration (wks)","",IF($Y120="Enter Hrs/Wk","",IF($E$30&gt;='FORMULA REFS'!AT$1,$Y120,"")))</f>
        <v/>
      </c>
      <c r="BJ242" s="1286" t="str">
        <f>IF($E$30="Enter Duration (wks)","",IF($Y120="Enter Hrs/Wk","",IF($E$30&gt;='FORMULA REFS'!AU$1,$Y120,"")))</f>
        <v/>
      </c>
      <c r="BK242" s="1286" t="str">
        <f>IF($E$30="Enter Duration (wks)","",IF($Y120="Enter Hrs/Wk","",IF($E$30&gt;='FORMULA REFS'!AV$1,$Y120,"")))</f>
        <v/>
      </c>
      <c r="BL242" s="1286" t="str">
        <f>IF($E$30="Enter Duration (wks)","",IF($Y120="Enter Hrs/Wk","",IF($E$30&gt;='FORMULA REFS'!AW$1,$Y120,"")))</f>
        <v/>
      </c>
      <c r="BM242" s="1286" t="str">
        <f>IF($E$30="Enter Duration (wks)","",IF($Y120="Enter Hrs/Wk","",IF($E$30&gt;='FORMULA REFS'!AX$1,$Y120,"")))</f>
        <v/>
      </c>
      <c r="BN242" s="1286" t="str">
        <f>IF($E$30="Enter Duration (wks)","",IF($Y120="Enter Hrs/Wk","",IF($E$30&gt;='FORMULA REFS'!AY$1,$Y120,"")))</f>
        <v/>
      </c>
      <c r="BO242" s="1286" t="str">
        <f>IF($E$30="Enter Duration (wks)","",IF($Y120="Enter Hrs/Wk","",IF($E$30&gt;='FORMULA REFS'!AZ$1,$Y120,"")))</f>
        <v/>
      </c>
    </row>
    <row r="243" spans="3:75" hidden="1" outlineLevel="1" x14ac:dyDescent="0.25">
      <c r="C243" s="1291" t="str">
        <f t="shared" si="83"/>
        <v/>
      </c>
      <c r="D243" s="1319" t="str">
        <f t="shared" si="84"/>
        <v/>
      </c>
      <c r="E243" s="1326"/>
      <c r="F243" s="1327" t="str">
        <f>IF($E$30="Enter Duration (wks)","",IF($Y121="Enter Hrs/Wk","",IF($E$30&gt;='FORMULA REFS'!A$1,$Y121,"")))</f>
        <v/>
      </c>
      <c r="G243" s="1328"/>
      <c r="H243" s="1570"/>
      <c r="I243" s="1329" t="str">
        <f>IF($E$30="Enter Duration (wks)","",IF($Y121="Enter Hrs/Wk","",IF($E$30&gt;='FORMULA REFS'!B$1,$Y121,"")))</f>
        <v/>
      </c>
      <c r="J243" s="1323"/>
      <c r="K243" s="1286" t="str">
        <f>IF($E$30="Enter Duration (wks)","",IF($Y121="Enter Hrs/Wk","",IF($E$30&gt;='FORMULA REFS'!C$1,$Y121,"")))</f>
        <v/>
      </c>
      <c r="L243" s="882" t="str">
        <f>IF($E$30="Enter Duration (wks)","",IF($Y121="Enter Hrs/Wk","",IF($E$30&gt;='FORMULA REFS'!D$1,$Y121,"")))</f>
        <v/>
      </c>
      <c r="M243" s="882" t="str">
        <f>IF($E$30="Enter Duration (wks)","",IF($Y121="Enter Hrs/Wk","",IF($E$30&gt;='FORMULA REFS'!E$1,$Y121,"")))</f>
        <v/>
      </c>
      <c r="N243" s="882" t="str">
        <f>IF($E$30="Enter Duration (wks)","",IF($Y121="Enter Hrs/Wk","",IF($E$30&gt;='FORMULA REFS'!F$1,$Y121,"")))</f>
        <v/>
      </c>
      <c r="O243" s="882" t="str">
        <f>IF($E$30="Enter Duration (wks)","",IF($Y121="Enter Hrs/Wk","",IF($E$30&gt;='FORMULA REFS'!G$1,$Y121,"")))</f>
        <v/>
      </c>
      <c r="P243" s="882" t="str">
        <f>IF($E$30="Enter Duration (wks)","",IF($Y121="Enter Hrs/Wk","",IF($E$30&gt;='FORMULA REFS'!H$1,$Y121,"")))</f>
        <v/>
      </c>
      <c r="Q243" s="882" t="str">
        <f>IF($E$30="Enter Duration (wks)","",IF($Y121="Enter Hrs/Wk","",IF($E$30&gt;='FORMULA REFS'!I$1,$Y121,"")))</f>
        <v/>
      </c>
      <c r="R243" s="882" t="str">
        <f>IF($E$30="Enter Duration (wks)","",IF($Y121="Enter Hrs/Wk","",IF($E$30&gt;='FORMULA REFS'!J$1,$Y121,"")))</f>
        <v/>
      </c>
      <c r="S243" s="882" t="str">
        <f>IF($E$30="Enter Duration (wks)","",IF($Y121="Enter Hrs/Wk","",IF($E$30&gt;='FORMULA REFS'!K$1,$Y121,"")))</f>
        <v/>
      </c>
      <c r="T243" s="1323" t="str">
        <f>IF($E$30="Enter Duration (wks)","",IF($Y121="Enter Hrs/Wk","",IF($E$30&gt;='FORMULA REFS'!L$1,$Y121,"")))</f>
        <v/>
      </c>
      <c r="U243" s="882" t="str">
        <f>IF($E$30="Enter Duration (wks)","",IF($Y121="Enter Hrs/Wk","",IF($E$30&gt;='FORMULA REFS'!M$1,$Y121,"")))</f>
        <v/>
      </c>
      <c r="V243" s="882"/>
      <c r="W243" s="882"/>
      <c r="X243" s="1285"/>
      <c r="Y243" s="1285" t="str">
        <f>IF($E$30="Enter Duration (wks)","",IF($Y121="Enter Hrs/Wk","",IF($E$30&gt;='FORMULA REFS'!N$1,$Y121,"")))</f>
        <v/>
      </c>
      <c r="Z243" s="1343" t="str">
        <f>IF($E$30="Enter Duration (wks)","",IF($Y121="Enter Hrs/Wk","",IF($E$30&gt;='FORMULA REFS'!O$1,$Y121,"")))</f>
        <v/>
      </c>
      <c r="AA243" s="882" t="str">
        <f>IF($E$30="Enter Duration (wks)","",IF($Y121="Enter Hrs/Wk","",IF($E$30&gt;='FORMULA REFS'!P$1,$Y121,"")))</f>
        <v/>
      </c>
      <c r="AB243" s="882" t="str">
        <f>IF($E$30="Enter Duration (wks)","",IF($Y121="Enter Hrs/Wk","",IF($E$30&gt;='FORMULA REFS'!Q$1,$Y121,"")))</f>
        <v/>
      </c>
      <c r="AC243" s="882"/>
      <c r="AD243" s="882"/>
      <c r="AE243" s="882"/>
      <c r="AF243" s="882"/>
      <c r="AG243" s="1286" t="str">
        <f>IF($E$30="Enter Duration (wks)","",IF($Y121="Enter Hrs/Wk","",IF($E$30&gt;='FORMULA REFS'!R$1,$Y121,"")))</f>
        <v/>
      </c>
      <c r="AH243" s="1286" t="str">
        <f>IF($E$30="Enter Duration (wks)","",IF($Y121="Enter Hrs/Wk","",IF($E$30&gt;='FORMULA REFS'!S$1,$Y121,"")))</f>
        <v/>
      </c>
      <c r="AI243" s="1286" t="str">
        <f>IF($E$30="Enter Duration (wks)","",IF($Y121="Enter Hrs/Wk","",IF($E$30&gt;='FORMULA REFS'!T$1,$Y121,"")))</f>
        <v/>
      </c>
      <c r="AJ243" s="1286" t="str">
        <f>IF($E$30="Enter Duration (wks)","",IF($Y121="Enter Hrs/Wk","",IF($E$30&gt;='FORMULA REFS'!U$1,$Y121,"")))</f>
        <v/>
      </c>
      <c r="AK243" s="1286" t="str">
        <f>IF($E$30="Enter Duration (wks)","",IF($Y121="Enter Hrs/Wk","",IF($E$30&gt;='FORMULA REFS'!V$1,$Y121,"")))</f>
        <v/>
      </c>
      <c r="AL243" s="1286" t="str">
        <f>IF($E$30="Enter Duration (wks)","",IF($Y121="Enter Hrs/Wk","",IF($E$30&gt;='FORMULA REFS'!W$1,$Y121,"")))</f>
        <v/>
      </c>
      <c r="AM243" s="1286" t="str">
        <f>IF($E$30="Enter Duration (wks)","",IF($Y121="Enter Hrs/Wk","",IF($E$30&gt;='FORMULA REFS'!X$1,$Y121,"")))</f>
        <v/>
      </c>
      <c r="AN243" s="1286" t="str">
        <f>IF($E$30="Enter Duration (wks)","",IF($Y121="Enter Hrs/Wk","",IF($E$30&gt;='FORMULA REFS'!Y$1,$Y121,"")))</f>
        <v/>
      </c>
      <c r="AO243" s="1286" t="str">
        <f>IF($E$30="Enter Duration (wks)","",IF($Y121="Enter Hrs/Wk","",IF($E$30&gt;='FORMULA REFS'!Z$1,$Y121,"")))</f>
        <v/>
      </c>
      <c r="AP243" s="1286" t="str">
        <f>IF($E$30="Enter Duration (wks)","",IF($Y121="Enter Hrs/Wk","",IF($E$30&gt;='FORMULA REFS'!AA$1,$Y121,"")))</f>
        <v/>
      </c>
      <c r="AQ243" s="1286" t="str">
        <f>IF($E$30="Enter Duration (wks)","",IF($Y121="Enter Hrs/Wk","",IF($E$30&gt;='FORMULA REFS'!AB$1,$Y121,"")))</f>
        <v/>
      </c>
      <c r="AR243" s="1286" t="str">
        <f>IF($E$30="Enter Duration (wks)","",IF($Y121="Enter Hrs/Wk","",IF($E$30&gt;='FORMULA REFS'!AC$1,$Y121,"")))</f>
        <v/>
      </c>
      <c r="AS243" s="1286" t="str">
        <f>IF($E$30="Enter Duration (wks)","",IF($Y121="Enter Hrs/Wk","",IF($E$30&gt;='FORMULA REFS'!AD$1,$Y121,"")))</f>
        <v/>
      </c>
      <c r="AT243" s="1286" t="str">
        <f>IF($E$30="Enter Duration (wks)","",IF($Y121="Enter Hrs/Wk","",IF($E$30&gt;='FORMULA REFS'!AE$1,$Y121,"")))</f>
        <v/>
      </c>
      <c r="AU243" s="1286" t="str">
        <f>IF($E$30="Enter Duration (wks)","",IF($Y121="Enter Hrs/Wk","",IF($E$30&gt;='FORMULA REFS'!AF$1,$Y121,"")))</f>
        <v/>
      </c>
      <c r="AV243" s="1286" t="str">
        <f>IF($E$30="Enter Duration (wks)","",IF($Y121="Enter Hrs/Wk","",IF($E$30&gt;='FORMULA REFS'!AG$1,$Y121,"")))</f>
        <v/>
      </c>
      <c r="AW243" s="1286" t="str">
        <f>IF($E$30="Enter Duration (wks)","",IF($Y121="Enter Hrs/Wk","",IF($E$30&gt;='FORMULA REFS'!AH$1,$Y121,"")))</f>
        <v/>
      </c>
      <c r="AX243" s="1286" t="str">
        <f>IF($E$30="Enter Duration (wks)","",IF($Y121="Enter Hrs/Wk","",IF($E$30&gt;='FORMULA REFS'!AI$1,$Y121,"")))</f>
        <v/>
      </c>
      <c r="AY243" s="1286" t="str">
        <f>IF($E$30="Enter Duration (wks)","",IF($Y121="Enter Hrs/Wk","",IF($E$30&gt;='FORMULA REFS'!AJ$1,$Y121,"")))</f>
        <v/>
      </c>
      <c r="AZ243" s="1286" t="str">
        <f>IF($E$30="Enter Duration (wks)","",IF($Y121="Enter Hrs/Wk","",IF($E$30&gt;='FORMULA REFS'!AK$1,$Y121,"")))</f>
        <v/>
      </c>
      <c r="BA243" s="1286" t="str">
        <f>IF($E$30="Enter Duration (wks)","",IF($Y121="Enter Hrs/Wk","",IF($E$30&gt;='FORMULA REFS'!AL$1,$Y121,"")))</f>
        <v/>
      </c>
      <c r="BB243" s="1286" t="str">
        <f>IF($E$30="Enter Duration (wks)","",IF($Y121="Enter Hrs/Wk","",IF($E$30&gt;='FORMULA REFS'!AM$1,$Y121,"")))</f>
        <v/>
      </c>
      <c r="BC243" s="1286" t="str">
        <f>IF($E$30="Enter Duration (wks)","",IF($Y121="Enter Hrs/Wk","",IF($E$30&gt;='FORMULA REFS'!AN$1,$Y121,"")))</f>
        <v/>
      </c>
      <c r="BD243" s="1286" t="str">
        <f>IF($E$30="Enter Duration (wks)","",IF($Y121="Enter Hrs/Wk","",IF($E$30&gt;='FORMULA REFS'!AO$1,$Y121,"")))</f>
        <v/>
      </c>
      <c r="BE243" s="1286" t="str">
        <f>IF($E$30="Enter Duration (wks)","",IF($Y121="Enter Hrs/Wk","",IF($E$30&gt;='FORMULA REFS'!AP$1,$Y121,"")))</f>
        <v/>
      </c>
      <c r="BF243" s="1286" t="str">
        <f>IF($E$30="Enter Duration (wks)","",IF($Y121="Enter Hrs/Wk","",IF($E$30&gt;='FORMULA REFS'!AQ$1,$Y121,"")))</f>
        <v/>
      </c>
      <c r="BG243" s="1286" t="str">
        <f>IF($E$30="Enter Duration (wks)","",IF($Y121="Enter Hrs/Wk","",IF($E$30&gt;='FORMULA REFS'!AR$1,$Y121,"")))</f>
        <v/>
      </c>
      <c r="BH243" s="1286" t="str">
        <f>IF($E$30="Enter Duration (wks)","",IF($Y121="Enter Hrs/Wk","",IF($E$30&gt;='FORMULA REFS'!AS$1,$Y121,"")))</f>
        <v/>
      </c>
      <c r="BI243" s="1286" t="str">
        <f>IF($E$30="Enter Duration (wks)","",IF($Y121="Enter Hrs/Wk","",IF($E$30&gt;='FORMULA REFS'!AT$1,$Y121,"")))</f>
        <v/>
      </c>
      <c r="BJ243" s="1286" t="str">
        <f>IF($E$30="Enter Duration (wks)","",IF($Y121="Enter Hrs/Wk","",IF($E$30&gt;='FORMULA REFS'!AU$1,$Y121,"")))</f>
        <v/>
      </c>
      <c r="BK243" s="1286" t="str">
        <f>IF($E$30="Enter Duration (wks)","",IF($Y121="Enter Hrs/Wk","",IF($E$30&gt;='FORMULA REFS'!AV$1,$Y121,"")))</f>
        <v/>
      </c>
      <c r="BL243" s="1286" t="str">
        <f>IF($E$30="Enter Duration (wks)","",IF($Y121="Enter Hrs/Wk","",IF($E$30&gt;='FORMULA REFS'!AW$1,$Y121,"")))</f>
        <v/>
      </c>
      <c r="BM243" s="1286" t="str">
        <f>IF($E$30="Enter Duration (wks)","",IF($Y121="Enter Hrs/Wk","",IF($E$30&gt;='FORMULA REFS'!AX$1,$Y121,"")))</f>
        <v/>
      </c>
      <c r="BN243" s="1286" t="str">
        <f>IF($E$30="Enter Duration (wks)","",IF($Y121="Enter Hrs/Wk","",IF($E$30&gt;='FORMULA REFS'!AY$1,$Y121,"")))</f>
        <v/>
      </c>
      <c r="BO243" s="1286" t="str">
        <f>IF($E$30="Enter Duration (wks)","",IF($Y121="Enter Hrs/Wk","",IF($E$30&gt;='FORMULA REFS'!AZ$1,$Y121,"")))</f>
        <v/>
      </c>
    </row>
    <row r="244" spans="3:75" hidden="1" outlineLevel="1" x14ac:dyDescent="0.25">
      <c r="C244" s="1291" t="str">
        <f t="shared" si="83"/>
        <v/>
      </c>
      <c r="D244" s="1319" t="str">
        <f t="shared" si="84"/>
        <v/>
      </c>
      <c r="E244" s="1326"/>
      <c r="F244" s="1327" t="str">
        <f>IF($E$30="Enter Duration (wks)","",IF($Y122="Enter Hrs/Wk","",IF($E$30&gt;='FORMULA REFS'!A$1,$Y122,"")))</f>
        <v/>
      </c>
      <c r="G244" s="1328"/>
      <c r="H244" s="1570"/>
      <c r="I244" s="1329" t="str">
        <f>IF($E$30="Enter Duration (wks)","",IF($Y122="Enter Hrs/Wk","",IF($E$30&gt;='FORMULA REFS'!B$1,$Y122,"")))</f>
        <v/>
      </c>
      <c r="J244" s="1323"/>
      <c r="K244" s="1286" t="str">
        <f>IF($E$30="Enter Duration (wks)","",IF($Y122="Enter Hrs/Wk","",IF($E$30&gt;='FORMULA REFS'!C$1,$Y122,"")))</f>
        <v/>
      </c>
      <c r="L244" s="882" t="str">
        <f>IF($E$30="Enter Duration (wks)","",IF($Y122="Enter Hrs/Wk","",IF($E$30&gt;='FORMULA REFS'!D$1,$Y122,"")))</f>
        <v/>
      </c>
      <c r="M244" s="882" t="str">
        <f>IF($E$30="Enter Duration (wks)","",IF($Y122="Enter Hrs/Wk","",IF($E$30&gt;='FORMULA REFS'!E$1,$Y122,"")))</f>
        <v/>
      </c>
      <c r="N244" s="882" t="str">
        <f>IF($E$30="Enter Duration (wks)","",IF($Y122="Enter Hrs/Wk","",IF($E$30&gt;='FORMULA REFS'!F$1,$Y122,"")))</f>
        <v/>
      </c>
      <c r="O244" s="882" t="str">
        <f>IF($E$30="Enter Duration (wks)","",IF($Y122="Enter Hrs/Wk","",IF($E$30&gt;='FORMULA REFS'!G$1,$Y122,"")))</f>
        <v/>
      </c>
      <c r="P244" s="882" t="str">
        <f>IF($E$30="Enter Duration (wks)","",IF($Y122="Enter Hrs/Wk","",IF($E$30&gt;='FORMULA REFS'!H$1,$Y122,"")))</f>
        <v/>
      </c>
      <c r="Q244" s="882" t="str">
        <f>IF($E$30="Enter Duration (wks)","",IF($Y122="Enter Hrs/Wk","",IF($E$30&gt;='FORMULA REFS'!I$1,$Y122,"")))</f>
        <v/>
      </c>
      <c r="R244" s="882" t="str">
        <f>IF($E$30="Enter Duration (wks)","",IF($Y122="Enter Hrs/Wk","",IF($E$30&gt;='FORMULA REFS'!J$1,$Y122,"")))</f>
        <v/>
      </c>
      <c r="S244" s="882" t="str">
        <f>IF($E$30="Enter Duration (wks)","",IF($Y122="Enter Hrs/Wk","",IF($E$30&gt;='FORMULA REFS'!K$1,$Y122,"")))</f>
        <v/>
      </c>
      <c r="T244" s="1323" t="str">
        <f>IF($E$30="Enter Duration (wks)","",IF($Y122="Enter Hrs/Wk","",IF($E$30&gt;='FORMULA REFS'!L$1,$Y122,"")))</f>
        <v/>
      </c>
      <c r="U244" s="882" t="str">
        <f>IF($E$30="Enter Duration (wks)","",IF($Y122="Enter Hrs/Wk","",IF($E$30&gt;='FORMULA REFS'!M$1,$Y122,"")))</f>
        <v/>
      </c>
      <c r="V244" s="882"/>
      <c r="W244" s="882"/>
      <c r="X244" s="1285"/>
      <c r="Y244" s="1285" t="str">
        <f>IF($E$30="Enter Duration (wks)","",IF($Y122="Enter Hrs/Wk","",IF($E$30&gt;='FORMULA REFS'!N$1,$Y122,"")))</f>
        <v/>
      </c>
      <c r="Z244" s="1343" t="str">
        <f>IF($E$30="Enter Duration (wks)","",IF($Y122="Enter Hrs/Wk","",IF($E$30&gt;='FORMULA REFS'!O$1,$Y122,"")))</f>
        <v/>
      </c>
      <c r="AA244" s="882" t="str">
        <f>IF($E$30="Enter Duration (wks)","",IF($Y122="Enter Hrs/Wk","",IF($E$30&gt;='FORMULA REFS'!P$1,$Y122,"")))</f>
        <v/>
      </c>
      <c r="AB244" s="882" t="str">
        <f>IF($E$30="Enter Duration (wks)","",IF($Y122="Enter Hrs/Wk","",IF($E$30&gt;='FORMULA REFS'!Q$1,$Y122,"")))</f>
        <v/>
      </c>
      <c r="AC244" s="882"/>
      <c r="AD244" s="882"/>
      <c r="AE244" s="882"/>
      <c r="AF244" s="882"/>
      <c r="AG244" s="1286" t="str">
        <f>IF($E$30="Enter Duration (wks)","",IF($Y122="Enter Hrs/Wk","",IF($E$30&gt;='FORMULA REFS'!R$1,$Y122,"")))</f>
        <v/>
      </c>
      <c r="AH244" s="1286" t="str">
        <f>IF($E$30="Enter Duration (wks)","",IF($Y122="Enter Hrs/Wk","",IF($E$30&gt;='FORMULA REFS'!S$1,$Y122,"")))</f>
        <v/>
      </c>
      <c r="AI244" s="1286" t="str">
        <f>IF($E$30="Enter Duration (wks)","",IF($Y122="Enter Hrs/Wk","",IF($E$30&gt;='FORMULA REFS'!T$1,$Y122,"")))</f>
        <v/>
      </c>
      <c r="AJ244" s="1286" t="str">
        <f>IF($E$30="Enter Duration (wks)","",IF($Y122="Enter Hrs/Wk","",IF($E$30&gt;='FORMULA REFS'!U$1,$Y122,"")))</f>
        <v/>
      </c>
      <c r="AK244" s="1286" t="str">
        <f>IF($E$30="Enter Duration (wks)","",IF($Y122="Enter Hrs/Wk","",IF($E$30&gt;='FORMULA REFS'!V$1,$Y122,"")))</f>
        <v/>
      </c>
      <c r="AL244" s="1286" t="str">
        <f>IF($E$30="Enter Duration (wks)","",IF($Y122="Enter Hrs/Wk","",IF($E$30&gt;='FORMULA REFS'!W$1,$Y122,"")))</f>
        <v/>
      </c>
      <c r="AM244" s="1286" t="str">
        <f>IF($E$30="Enter Duration (wks)","",IF($Y122="Enter Hrs/Wk","",IF($E$30&gt;='FORMULA REFS'!X$1,$Y122,"")))</f>
        <v/>
      </c>
      <c r="AN244" s="1286" t="str">
        <f>IF($E$30="Enter Duration (wks)","",IF($Y122="Enter Hrs/Wk","",IF($E$30&gt;='FORMULA REFS'!Y$1,$Y122,"")))</f>
        <v/>
      </c>
      <c r="AO244" s="1286" t="str">
        <f>IF($E$30="Enter Duration (wks)","",IF($Y122="Enter Hrs/Wk","",IF($E$30&gt;='FORMULA REFS'!Z$1,$Y122,"")))</f>
        <v/>
      </c>
      <c r="AP244" s="1286" t="str">
        <f>IF($E$30="Enter Duration (wks)","",IF($Y122="Enter Hrs/Wk","",IF($E$30&gt;='FORMULA REFS'!AA$1,$Y122,"")))</f>
        <v/>
      </c>
      <c r="AQ244" s="1286" t="str">
        <f>IF($E$30="Enter Duration (wks)","",IF($Y122="Enter Hrs/Wk","",IF($E$30&gt;='FORMULA REFS'!AB$1,$Y122,"")))</f>
        <v/>
      </c>
      <c r="AR244" s="1286" t="str">
        <f>IF($E$30="Enter Duration (wks)","",IF($Y122="Enter Hrs/Wk","",IF($E$30&gt;='FORMULA REFS'!AC$1,$Y122,"")))</f>
        <v/>
      </c>
      <c r="AS244" s="1286" t="str">
        <f>IF($E$30="Enter Duration (wks)","",IF($Y122="Enter Hrs/Wk","",IF($E$30&gt;='FORMULA REFS'!AD$1,$Y122,"")))</f>
        <v/>
      </c>
      <c r="AT244" s="1286" t="str">
        <f>IF($E$30="Enter Duration (wks)","",IF($Y122="Enter Hrs/Wk","",IF($E$30&gt;='FORMULA REFS'!AE$1,$Y122,"")))</f>
        <v/>
      </c>
      <c r="AU244" s="1286" t="str">
        <f>IF($E$30="Enter Duration (wks)","",IF($Y122="Enter Hrs/Wk","",IF($E$30&gt;='FORMULA REFS'!AF$1,$Y122,"")))</f>
        <v/>
      </c>
      <c r="AV244" s="1286" t="str">
        <f>IF($E$30="Enter Duration (wks)","",IF($Y122="Enter Hrs/Wk","",IF($E$30&gt;='FORMULA REFS'!AG$1,$Y122,"")))</f>
        <v/>
      </c>
      <c r="AW244" s="1286" t="str">
        <f>IF($E$30="Enter Duration (wks)","",IF($Y122="Enter Hrs/Wk","",IF($E$30&gt;='FORMULA REFS'!AH$1,$Y122,"")))</f>
        <v/>
      </c>
      <c r="AX244" s="1286" t="str">
        <f>IF($E$30="Enter Duration (wks)","",IF($Y122="Enter Hrs/Wk","",IF($E$30&gt;='FORMULA REFS'!AI$1,$Y122,"")))</f>
        <v/>
      </c>
      <c r="AY244" s="1286" t="str">
        <f>IF($E$30="Enter Duration (wks)","",IF($Y122="Enter Hrs/Wk","",IF($E$30&gt;='FORMULA REFS'!AJ$1,$Y122,"")))</f>
        <v/>
      </c>
      <c r="AZ244" s="1286" t="str">
        <f>IF($E$30="Enter Duration (wks)","",IF($Y122="Enter Hrs/Wk","",IF($E$30&gt;='FORMULA REFS'!AK$1,$Y122,"")))</f>
        <v/>
      </c>
      <c r="BA244" s="1286" t="str">
        <f>IF($E$30="Enter Duration (wks)","",IF($Y122="Enter Hrs/Wk","",IF($E$30&gt;='FORMULA REFS'!AL$1,$Y122,"")))</f>
        <v/>
      </c>
      <c r="BB244" s="1286" t="str">
        <f>IF($E$30="Enter Duration (wks)","",IF($Y122="Enter Hrs/Wk","",IF($E$30&gt;='FORMULA REFS'!AM$1,$Y122,"")))</f>
        <v/>
      </c>
      <c r="BC244" s="1286" t="str">
        <f>IF($E$30="Enter Duration (wks)","",IF($Y122="Enter Hrs/Wk","",IF($E$30&gt;='FORMULA REFS'!AN$1,$Y122,"")))</f>
        <v/>
      </c>
      <c r="BD244" s="1286" t="str">
        <f>IF($E$30="Enter Duration (wks)","",IF($Y122="Enter Hrs/Wk","",IF($E$30&gt;='FORMULA REFS'!AO$1,$Y122,"")))</f>
        <v/>
      </c>
      <c r="BE244" s="1286" t="str">
        <f>IF($E$30="Enter Duration (wks)","",IF($Y122="Enter Hrs/Wk","",IF($E$30&gt;='FORMULA REFS'!AP$1,$Y122,"")))</f>
        <v/>
      </c>
      <c r="BF244" s="1286" t="str">
        <f>IF($E$30="Enter Duration (wks)","",IF($Y122="Enter Hrs/Wk","",IF($E$30&gt;='FORMULA REFS'!AQ$1,$Y122,"")))</f>
        <v/>
      </c>
      <c r="BG244" s="1286" t="str">
        <f>IF($E$30="Enter Duration (wks)","",IF($Y122="Enter Hrs/Wk","",IF($E$30&gt;='FORMULA REFS'!AR$1,$Y122,"")))</f>
        <v/>
      </c>
      <c r="BH244" s="1286" t="str">
        <f>IF($E$30="Enter Duration (wks)","",IF($Y122="Enter Hrs/Wk","",IF($E$30&gt;='FORMULA REFS'!AS$1,$Y122,"")))</f>
        <v/>
      </c>
      <c r="BI244" s="1286" t="str">
        <f>IF($E$30="Enter Duration (wks)","",IF($Y122="Enter Hrs/Wk","",IF($E$30&gt;='FORMULA REFS'!AT$1,$Y122,"")))</f>
        <v/>
      </c>
      <c r="BJ244" s="1286" t="str">
        <f>IF($E$30="Enter Duration (wks)","",IF($Y122="Enter Hrs/Wk","",IF($E$30&gt;='FORMULA REFS'!AU$1,$Y122,"")))</f>
        <v/>
      </c>
      <c r="BK244" s="1286" t="str">
        <f>IF($E$30="Enter Duration (wks)","",IF($Y122="Enter Hrs/Wk","",IF($E$30&gt;='FORMULA REFS'!AV$1,$Y122,"")))</f>
        <v/>
      </c>
      <c r="BL244" s="1286" t="str">
        <f>IF($E$30="Enter Duration (wks)","",IF($Y122="Enter Hrs/Wk","",IF($E$30&gt;='FORMULA REFS'!AW$1,$Y122,"")))</f>
        <v/>
      </c>
      <c r="BM244" s="1286" t="str">
        <f>IF($E$30="Enter Duration (wks)","",IF($Y122="Enter Hrs/Wk","",IF($E$30&gt;='FORMULA REFS'!AX$1,$Y122,"")))</f>
        <v/>
      </c>
      <c r="BN244" s="1286" t="str">
        <f>IF($E$30="Enter Duration (wks)","",IF($Y122="Enter Hrs/Wk","",IF($E$30&gt;='FORMULA REFS'!AY$1,$Y122,"")))</f>
        <v/>
      </c>
      <c r="BO244" s="1286" t="str">
        <f>IF($E$30="Enter Duration (wks)","",IF($Y122="Enter Hrs/Wk","",IF($E$30&gt;='FORMULA REFS'!AZ$1,$Y122,"")))</f>
        <v/>
      </c>
    </row>
    <row r="245" spans="3:75" hidden="1" outlineLevel="1" x14ac:dyDescent="0.25">
      <c r="C245" s="1291" t="str">
        <f t="shared" si="83"/>
        <v/>
      </c>
      <c r="D245" s="1319" t="str">
        <f t="shared" si="84"/>
        <v/>
      </c>
      <c r="E245" s="1326"/>
      <c r="F245" s="1327" t="str">
        <f>IF($E$30="Enter Duration (wks)","",IF($Y123="Enter Hrs/Wk","",IF($E$30&gt;='FORMULA REFS'!A$1,$Y123,"")))</f>
        <v/>
      </c>
      <c r="G245" s="1328"/>
      <c r="H245" s="1570"/>
      <c r="I245" s="1329" t="str">
        <f>IF($E$30="Enter Duration (wks)","",IF($Y123="Enter Hrs/Wk","",IF($E$30&gt;='FORMULA REFS'!B$1,$Y123,"")))</f>
        <v/>
      </c>
      <c r="J245" s="1323"/>
      <c r="K245" s="1286" t="str">
        <f>IF($E$30="Enter Duration (wks)","",IF($Y123="Enter Hrs/Wk","",IF($E$30&gt;='FORMULA REFS'!C$1,$Y123,"")))</f>
        <v/>
      </c>
      <c r="L245" s="882" t="str">
        <f>IF($E$30="Enter Duration (wks)","",IF($Y123="Enter Hrs/Wk","",IF($E$30&gt;='FORMULA REFS'!D$1,$Y123,"")))</f>
        <v/>
      </c>
      <c r="M245" s="882" t="str">
        <f>IF($E$30="Enter Duration (wks)","",IF($Y123="Enter Hrs/Wk","",IF($E$30&gt;='FORMULA REFS'!E$1,$Y123,"")))</f>
        <v/>
      </c>
      <c r="N245" s="882" t="str">
        <f>IF($E$30="Enter Duration (wks)","",IF($Y123="Enter Hrs/Wk","",IF($E$30&gt;='FORMULA REFS'!F$1,$Y123,"")))</f>
        <v/>
      </c>
      <c r="O245" s="882" t="str">
        <f>IF($E$30="Enter Duration (wks)","",IF($Y123="Enter Hrs/Wk","",IF($E$30&gt;='FORMULA REFS'!G$1,$Y123,"")))</f>
        <v/>
      </c>
      <c r="P245" s="882" t="str">
        <f>IF($E$30="Enter Duration (wks)","",IF($Y123="Enter Hrs/Wk","",IF($E$30&gt;='FORMULA REFS'!H$1,$Y123,"")))</f>
        <v/>
      </c>
      <c r="Q245" s="882" t="str">
        <f>IF($E$30="Enter Duration (wks)","",IF($Y123="Enter Hrs/Wk","",IF($E$30&gt;='FORMULA REFS'!I$1,$Y123,"")))</f>
        <v/>
      </c>
      <c r="R245" s="882" t="str">
        <f>IF($E$30="Enter Duration (wks)","",IF($Y123="Enter Hrs/Wk","",IF($E$30&gt;='FORMULA REFS'!J$1,$Y123,"")))</f>
        <v/>
      </c>
      <c r="S245" s="882" t="str">
        <f>IF($E$30="Enter Duration (wks)","",IF($Y123="Enter Hrs/Wk","",IF($E$30&gt;='FORMULA REFS'!K$1,$Y123,"")))</f>
        <v/>
      </c>
      <c r="T245" s="1323" t="str">
        <f>IF($E$30="Enter Duration (wks)","",IF($Y123="Enter Hrs/Wk","",IF($E$30&gt;='FORMULA REFS'!L$1,$Y123,"")))</f>
        <v/>
      </c>
      <c r="U245" s="882" t="str">
        <f>IF($E$30="Enter Duration (wks)","",IF($Y123="Enter Hrs/Wk","",IF($E$30&gt;='FORMULA REFS'!M$1,$Y123,"")))</f>
        <v/>
      </c>
      <c r="V245" s="882"/>
      <c r="W245" s="882"/>
      <c r="X245" s="1285"/>
      <c r="Y245" s="1285" t="str">
        <f>IF($E$30="Enter Duration (wks)","",IF($Y123="Enter Hrs/Wk","",IF($E$30&gt;='FORMULA REFS'!N$1,$Y123,"")))</f>
        <v/>
      </c>
      <c r="Z245" s="1343" t="str">
        <f>IF($E$30="Enter Duration (wks)","",IF($Y123="Enter Hrs/Wk","",IF($E$30&gt;='FORMULA REFS'!O$1,$Y123,"")))</f>
        <v/>
      </c>
      <c r="AA245" s="882" t="str">
        <f>IF($E$30="Enter Duration (wks)","",IF($Y123="Enter Hrs/Wk","",IF($E$30&gt;='FORMULA REFS'!P$1,$Y123,"")))</f>
        <v/>
      </c>
      <c r="AB245" s="882" t="str">
        <f>IF($E$30="Enter Duration (wks)","",IF($Y123="Enter Hrs/Wk","",IF($E$30&gt;='FORMULA REFS'!Q$1,$Y123,"")))</f>
        <v/>
      </c>
      <c r="AC245" s="882"/>
      <c r="AD245" s="882"/>
      <c r="AE245" s="882"/>
      <c r="AF245" s="882"/>
      <c r="AG245" s="1286" t="str">
        <f>IF($E$30="Enter Duration (wks)","",IF($Y123="Enter Hrs/Wk","",IF($E$30&gt;='FORMULA REFS'!R$1,$Y123,"")))</f>
        <v/>
      </c>
      <c r="AH245" s="1286" t="str">
        <f>IF($E$30="Enter Duration (wks)","",IF($Y123="Enter Hrs/Wk","",IF($E$30&gt;='FORMULA REFS'!S$1,$Y123,"")))</f>
        <v/>
      </c>
      <c r="AI245" s="1286" t="str">
        <f>IF($E$30="Enter Duration (wks)","",IF($Y123="Enter Hrs/Wk","",IF($E$30&gt;='FORMULA REFS'!T$1,$Y123,"")))</f>
        <v/>
      </c>
      <c r="AJ245" s="1286" t="str">
        <f>IF($E$30="Enter Duration (wks)","",IF($Y123="Enter Hrs/Wk","",IF($E$30&gt;='FORMULA REFS'!U$1,$Y123,"")))</f>
        <v/>
      </c>
      <c r="AK245" s="1286" t="str">
        <f>IF($E$30="Enter Duration (wks)","",IF($Y123="Enter Hrs/Wk","",IF($E$30&gt;='FORMULA REFS'!V$1,$Y123,"")))</f>
        <v/>
      </c>
      <c r="AL245" s="1286" t="str">
        <f>IF($E$30="Enter Duration (wks)","",IF($Y123="Enter Hrs/Wk","",IF($E$30&gt;='FORMULA REFS'!W$1,$Y123,"")))</f>
        <v/>
      </c>
      <c r="AM245" s="1286" t="str">
        <f>IF($E$30="Enter Duration (wks)","",IF($Y123="Enter Hrs/Wk","",IF($E$30&gt;='FORMULA REFS'!X$1,$Y123,"")))</f>
        <v/>
      </c>
      <c r="AN245" s="1286" t="str">
        <f>IF($E$30="Enter Duration (wks)","",IF($Y123="Enter Hrs/Wk","",IF($E$30&gt;='FORMULA REFS'!Y$1,$Y123,"")))</f>
        <v/>
      </c>
      <c r="AO245" s="1286" t="str">
        <f>IF($E$30="Enter Duration (wks)","",IF($Y123="Enter Hrs/Wk","",IF($E$30&gt;='FORMULA REFS'!Z$1,$Y123,"")))</f>
        <v/>
      </c>
      <c r="AP245" s="1286" t="str">
        <f>IF($E$30="Enter Duration (wks)","",IF($Y123="Enter Hrs/Wk","",IF($E$30&gt;='FORMULA REFS'!AA$1,$Y123,"")))</f>
        <v/>
      </c>
      <c r="AQ245" s="1286" t="str">
        <f>IF($E$30="Enter Duration (wks)","",IF($Y123="Enter Hrs/Wk","",IF($E$30&gt;='FORMULA REFS'!AB$1,$Y123,"")))</f>
        <v/>
      </c>
      <c r="AR245" s="1286" t="str">
        <f>IF($E$30="Enter Duration (wks)","",IF($Y123="Enter Hrs/Wk","",IF($E$30&gt;='FORMULA REFS'!AC$1,$Y123,"")))</f>
        <v/>
      </c>
      <c r="AS245" s="1286" t="str">
        <f>IF($E$30="Enter Duration (wks)","",IF($Y123="Enter Hrs/Wk","",IF($E$30&gt;='FORMULA REFS'!AD$1,$Y123,"")))</f>
        <v/>
      </c>
      <c r="AT245" s="1286" t="str">
        <f>IF($E$30="Enter Duration (wks)","",IF($Y123="Enter Hrs/Wk","",IF($E$30&gt;='FORMULA REFS'!AE$1,$Y123,"")))</f>
        <v/>
      </c>
      <c r="AU245" s="1286" t="str">
        <f>IF($E$30="Enter Duration (wks)","",IF($Y123="Enter Hrs/Wk","",IF($E$30&gt;='FORMULA REFS'!AF$1,$Y123,"")))</f>
        <v/>
      </c>
      <c r="AV245" s="1286" t="str">
        <f>IF($E$30="Enter Duration (wks)","",IF($Y123="Enter Hrs/Wk","",IF($E$30&gt;='FORMULA REFS'!AG$1,$Y123,"")))</f>
        <v/>
      </c>
      <c r="AW245" s="1286" t="str">
        <f>IF($E$30="Enter Duration (wks)","",IF($Y123="Enter Hrs/Wk","",IF($E$30&gt;='FORMULA REFS'!AH$1,$Y123,"")))</f>
        <v/>
      </c>
      <c r="AX245" s="1286" t="str">
        <f>IF($E$30="Enter Duration (wks)","",IF($Y123="Enter Hrs/Wk","",IF($E$30&gt;='FORMULA REFS'!AI$1,$Y123,"")))</f>
        <v/>
      </c>
      <c r="AY245" s="1286" t="str">
        <f>IF($E$30="Enter Duration (wks)","",IF($Y123="Enter Hrs/Wk","",IF($E$30&gt;='FORMULA REFS'!AJ$1,$Y123,"")))</f>
        <v/>
      </c>
      <c r="AZ245" s="1286" t="str">
        <f>IF($E$30="Enter Duration (wks)","",IF($Y123="Enter Hrs/Wk","",IF($E$30&gt;='FORMULA REFS'!AK$1,$Y123,"")))</f>
        <v/>
      </c>
      <c r="BA245" s="1286" t="str">
        <f>IF($E$30="Enter Duration (wks)","",IF($Y123="Enter Hrs/Wk","",IF($E$30&gt;='FORMULA REFS'!AL$1,$Y123,"")))</f>
        <v/>
      </c>
      <c r="BB245" s="1286" t="str">
        <f>IF($E$30="Enter Duration (wks)","",IF($Y123="Enter Hrs/Wk","",IF($E$30&gt;='FORMULA REFS'!AM$1,$Y123,"")))</f>
        <v/>
      </c>
      <c r="BC245" s="1286" t="str">
        <f>IF($E$30="Enter Duration (wks)","",IF($Y123="Enter Hrs/Wk","",IF($E$30&gt;='FORMULA REFS'!AN$1,$Y123,"")))</f>
        <v/>
      </c>
      <c r="BD245" s="1286" t="str">
        <f>IF($E$30="Enter Duration (wks)","",IF($Y123="Enter Hrs/Wk","",IF($E$30&gt;='FORMULA REFS'!AO$1,$Y123,"")))</f>
        <v/>
      </c>
      <c r="BE245" s="1286" t="str">
        <f>IF($E$30="Enter Duration (wks)","",IF($Y123="Enter Hrs/Wk","",IF($E$30&gt;='FORMULA REFS'!AP$1,$Y123,"")))</f>
        <v/>
      </c>
      <c r="BF245" s="1286" t="str">
        <f>IF($E$30="Enter Duration (wks)","",IF($Y123="Enter Hrs/Wk","",IF($E$30&gt;='FORMULA REFS'!AQ$1,$Y123,"")))</f>
        <v/>
      </c>
      <c r="BG245" s="1286" t="str">
        <f>IF($E$30="Enter Duration (wks)","",IF($Y123="Enter Hrs/Wk","",IF($E$30&gt;='FORMULA REFS'!AR$1,$Y123,"")))</f>
        <v/>
      </c>
      <c r="BH245" s="1286" t="str">
        <f>IF($E$30="Enter Duration (wks)","",IF($Y123="Enter Hrs/Wk","",IF($E$30&gt;='FORMULA REFS'!AS$1,$Y123,"")))</f>
        <v/>
      </c>
      <c r="BI245" s="1286" t="str">
        <f>IF($E$30="Enter Duration (wks)","",IF($Y123="Enter Hrs/Wk","",IF($E$30&gt;='FORMULA REFS'!AT$1,$Y123,"")))</f>
        <v/>
      </c>
      <c r="BJ245" s="1286" t="str">
        <f>IF($E$30="Enter Duration (wks)","",IF($Y123="Enter Hrs/Wk","",IF($E$30&gt;='FORMULA REFS'!AU$1,$Y123,"")))</f>
        <v/>
      </c>
      <c r="BK245" s="1286" t="str">
        <f>IF($E$30="Enter Duration (wks)","",IF($Y123="Enter Hrs/Wk","",IF($E$30&gt;='FORMULA REFS'!AV$1,$Y123,"")))</f>
        <v/>
      </c>
      <c r="BL245" s="1286" t="str">
        <f>IF($E$30="Enter Duration (wks)","",IF($Y123="Enter Hrs/Wk","",IF($E$30&gt;='FORMULA REFS'!AW$1,$Y123,"")))</f>
        <v/>
      </c>
      <c r="BM245" s="1286" t="str">
        <f>IF($E$30="Enter Duration (wks)","",IF($Y123="Enter Hrs/Wk","",IF($E$30&gt;='FORMULA REFS'!AX$1,$Y123,"")))</f>
        <v/>
      </c>
      <c r="BN245" s="1286" t="str">
        <f>IF($E$30="Enter Duration (wks)","",IF($Y123="Enter Hrs/Wk","",IF($E$30&gt;='FORMULA REFS'!AY$1,$Y123,"")))</f>
        <v/>
      </c>
      <c r="BO245" s="1286" t="str">
        <f>IF($E$30="Enter Duration (wks)","",IF($Y123="Enter Hrs/Wk","",IF($E$30&gt;='FORMULA REFS'!AZ$1,$Y123,"")))</f>
        <v/>
      </c>
    </row>
    <row r="246" spans="3:75" hidden="1" outlineLevel="1" x14ac:dyDescent="0.25">
      <c r="C246" s="1291" t="str">
        <f t="shared" si="83"/>
        <v/>
      </c>
      <c r="D246" s="1319" t="str">
        <f t="shared" si="84"/>
        <v/>
      </c>
      <c r="E246" s="1326"/>
      <c r="F246" s="1327" t="str">
        <f>IF($E$30="Enter Duration (wks)","",IF($Y124="Enter Hrs/Wk","",IF($E$30&gt;='FORMULA REFS'!A$1,$Y124,"")))</f>
        <v/>
      </c>
      <c r="G246" s="1328"/>
      <c r="H246" s="1570"/>
      <c r="I246" s="1329" t="str">
        <f>IF($E$30="Enter Duration (wks)","",IF($Y124="Enter Hrs/Wk","",IF($E$30&gt;='FORMULA REFS'!B$1,$Y124,"")))</f>
        <v/>
      </c>
      <c r="J246" s="1323"/>
      <c r="K246" s="1286" t="str">
        <f>IF($E$30="Enter Duration (wks)","",IF($Y124="Enter Hrs/Wk","",IF($E$30&gt;='FORMULA REFS'!C$1,$Y124,"")))</f>
        <v/>
      </c>
      <c r="L246" s="882" t="str">
        <f>IF($E$30="Enter Duration (wks)","",IF($Y124="Enter Hrs/Wk","",IF($E$30&gt;='FORMULA REFS'!D$1,$Y124,"")))</f>
        <v/>
      </c>
      <c r="M246" s="882" t="str">
        <f>IF($E$30="Enter Duration (wks)","",IF($Y124="Enter Hrs/Wk","",IF($E$30&gt;='FORMULA REFS'!E$1,$Y124,"")))</f>
        <v/>
      </c>
      <c r="N246" s="882" t="str">
        <f>IF($E$30="Enter Duration (wks)","",IF($Y124="Enter Hrs/Wk","",IF($E$30&gt;='FORMULA REFS'!F$1,$Y124,"")))</f>
        <v/>
      </c>
      <c r="O246" s="882" t="str">
        <f>IF($E$30="Enter Duration (wks)","",IF($Y124="Enter Hrs/Wk","",IF($E$30&gt;='FORMULA REFS'!G$1,$Y124,"")))</f>
        <v/>
      </c>
      <c r="P246" s="882" t="str">
        <f>IF($E$30="Enter Duration (wks)","",IF($Y124="Enter Hrs/Wk","",IF($E$30&gt;='FORMULA REFS'!H$1,$Y124,"")))</f>
        <v/>
      </c>
      <c r="Q246" s="882" t="str">
        <f>IF($E$30="Enter Duration (wks)","",IF($Y124="Enter Hrs/Wk","",IF($E$30&gt;='FORMULA REFS'!I$1,$Y124,"")))</f>
        <v/>
      </c>
      <c r="R246" s="882" t="str">
        <f>IF($E$30="Enter Duration (wks)","",IF($Y124="Enter Hrs/Wk","",IF($E$30&gt;='FORMULA REFS'!J$1,$Y124,"")))</f>
        <v/>
      </c>
      <c r="S246" s="882" t="str">
        <f>IF($E$30="Enter Duration (wks)","",IF($Y124="Enter Hrs/Wk","",IF($E$30&gt;='FORMULA REFS'!K$1,$Y124,"")))</f>
        <v/>
      </c>
      <c r="T246" s="1323" t="str">
        <f>IF($E$30="Enter Duration (wks)","",IF($Y124="Enter Hrs/Wk","",IF($E$30&gt;='FORMULA REFS'!L$1,$Y124,"")))</f>
        <v/>
      </c>
      <c r="U246" s="882" t="str">
        <f>IF($E$30="Enter Duration (wks)","",IF($Y124="Enter Hrs/Wk","",IF($E$30&gt;='FORMULA REFS'!M$1,$Y124,"")))</f>
        <v/>
      </c>
      <c r="V246" s="882"/>
      <c r="W246" s="882"/>
      <c r="X246" s="1285"/>
      <c r="Y246" s="1285" t="str">
        <f>IF($E$30="Enter Duration (wks)","",IF($Y124="Enter Hrs/Wk","",IF($E$30&gt;='FORMULA REFS'!N$1,$Y124,"")))</f>
        <v/>
      </c>
      <c r="Z246" s="1343" t="str">
        <f>IF($E$30="Enter Duration (wks)","",IF($Y124="Enter Hrs/Wk","",IF($E$30&gt;='FORMULA REFS'!O$1,$Y124,"")))</f>
        <v/>
      </c>
      <c r="AA246" s="882" t="str">
        <f>IF($E$30="Enter Duration (wks)","",IF($Y124="Enter Hrs/Wk","",IF($E$30&gt;='FORMULA REFS'!P$1,$Y124,"")))</f>
        <v/>
      </c>
      <c r="AB246" s="882" t="str">
        <f>IF($E$30="Enter Duration (wks)","",IF($Y124="Enter Hrs/Wk","",IF($E$30&gt;='FORMULA REFS'!Q$1,$Y124,"")))</f>
        <v/>
      </c>
      <c r="AC246" s="882"/>
      <c r="AD246" s="882"/>
      <c r="AE246" s="882"/>
      <c r="AF246" s="882"/>
      <c r="AG246" s="1286" t="str">
        <f>IF($E$30="Enter Duration (wks)","",IF($Y124="Enter Hrs/Wk","",IF($E$30&gt;='FORMULA REFS'!R$1,$Y124,"")))</f>
        <v/>
      </c>
      <c r="AH246" s="1286" t="str">
        <f>IF($E$30="Enter Duration (wks)","",IF($Y124="Enter Hrs/Wk","",IF($E$30&gt;='FORMULA REFS'!S$1,$Y124,"")))</f>
        <v/>
      </c>
      <c r="AI246" s="1286" t="str">
        <f>IF($E$30="Enter Duration (wks)","",IF($Y124="Enter Hrs/Wk","",IF($E$30&gt;='FORMULA REFS'!T$1,$Y124,"")))</f>
        <v/>
      </c>
      <c r="AJ246" s="1286" t="str">
        <f>IF($E$30="Enter Duration (wks)","",IF($Y124="Enter Hrs/Wk","",IF($E$30&gt;='FORMULA REFS'!U$1,$Y124,"")))</f>
        <v/>
      </c>
      <c r="AK246" s="1286" t="str">
        <f>IF($E$30="Enter Duration (wks)","",IF($Y124="Enter Hrs/Wk","",IF($E$30&gt;='FORMULA REFS'!V$1,$Y124,"")))</f>
        <v/>
      </c>
      <c r="AL246" s="1286" t="str">
        <f>IF($E$30="Enter Duration (wks)","",IF($Y124="Enter Hrs/Wk","",IF($E$30&gt;='FORMULA REFS'!W$1,$Y124,"")))</f>
        <v/>
      </c>
      <c r="AM246" s="1286" t="str">
        <f>IF($E$30="Enter Duration (wks)","",IF($Y124="Enter Hrs/Wk","",IF($E$30&gt;='FORMULA REFS'!X$1,$Y124,"")))</f>
        <v/>
      </c>
      <c r="AN246" s="1286" t="str">
        <f>IF($E$30="Enter Duration (wks)","",IF($Y124="Enter Hrs/Wk","",IF($E$30&gt;='FORMULA REFS'!Y$1,$Y124,"")))</f>
        <v/>
      </c>
      <c r="AO246" s="1286" t="str">
        <f>IF($E$30="Enter Duration (wks)","",IF($Y124="Enter Hrs/Wk","",IF($E$30&gt;='FORMULA REFS'!Z$1,$Y124,"")))</f>
        <v/>
      </c>
      <c r="AP246" s="1286" t="str">
        <f>IF($E$30="Enter Duration (wks)","",IF($Y124="Enter Hrs/Wk","",IF($E$30&gt;='FORMULA REFS'!AA$1,$Y124,"")))</f>
        <v/>
      </c>
      <c r="AQ246" s="1286" t="str">
        <f>IF($E$30="Enter Duration (wks)","",IF($Y124="Enter Hrs/Wk","",IF($E$30&gt;='FORMULA REFS'!AB$1,$Y124,"")))</f>
        <v/>
      </c>
      <c r="AR246" s="1286" t="str">
        <f>IF($E$30="Enter Duration (wks)","",IF($Y124="Enter Hrs/Wk","",IF($E$30&gt;='FORMULA REFS'!AC$1,$Y124,"")))</f>
        <v/>
      </c>
      <c r="AS246" s="1286" t="str">
        <f>IF($E$30="Enter Duration (wks)","",IF($Y124="Enter Hrs/Wk","",IF($E$30&gt;='FORMULA REFS'!AD$1,$Y124,"")))</f>
        <v/>
      </c>
      <c r="AT246" s="1286" t="str">
        <f>IF($E$30="Enter Duration (wks)","",IF($Y124="Enter Hrs/Wk","",IF($E$30&gt;='FORMULA REFS'!AE$1,$Y124,"")))</f>
        <v/>
      </c>
      <c r="AU246" s="1286" t="str">
        <f>IF($E$30="Enter Duration (wks)","",IF($Y124="Enter Hrs/Wk","",IF($E$30&gt;='FORMULA REFS'!AF$1,$Y124,"")))</f>
        <v/>
      </c>
      <c r="AV246" s="1286" t="str">
        <f>IF($E$30="Enter Duration (wks)","",IF($Y124="Enter Hrs/Wk","",IF($E$30&gt;='FORMULA REFS'!AG$1,$Y124,"")))</f>
        <v/>
      </c>
      <c r="AW246" s="1286" t="str">
        <f>IF($E$30="Enter Duration (wks)","",IF($Y124="Enter Hrs/Wk","",IF($E$30&gt;='FORMULA REFS'!AH$1,$Y124,"")))</f>
        <v/>
      </c>
      <c r="AX246" s="1286" t="str">
        <f>IF($E$30="Enter Duration (wks)","",IF($Y124="Enter Hrs/Wk","",IF($E$30&gt;='FORMULA REFS'!AI$1,$Y124,"")))</f>
        <v/>
      </c>
      <c r="AY246" s="1286" t="str">
        <f>IF($E$30="Enter Duration (wks)","",IF($Y124="Enter Hrs/Wk","",IF($E$30&gt;='FORMULA REFS'!AJ$1,$Y124,"")))</f>
        <v/>
      </c>
      <c r="AZ246" s="1286" t="str">
        <f>IF($E$30="Enter Duration (wks)","",IF($Y124="Enter Hrs/Wk","",IF($E$30&gt;='FORMULA REFS'!AK$1,$Y124,"")))</f>
        <v/>
      </c>
      <c r="BA246" s="1286" t="str">
        <f>IF($E$30="Enter Duration (wks)","",IF($Y124="Enter Hrs/Wk","",IF($E$30&gt;='FORMULA REFS'!AL$1,$Y124,"")))</f>
        <v/>
      </c>
      <c r="BB246" s="1286" t="str">
        <f>IF($E$30="Enter Duration (wks)","",IF($Y124="Enter Hrs/Wk","",IF($E$30&gt;='FORMULA REFS'!AM$1,$Y124,"")))</f>
        <v/>
      </c>
      <c r="BC246" s="1286" t="str">
        <f>IF($E$30="Enter Duration (wks)","",IF($Y124="Enter Hrs/Wk","",IF($E$30&gt;='FORMULA REFS'!AN$1,$Y124,"")))</f>
        <v/>
      </c>
      <c r="BD246" s="1286" t="str">
        <f>IF($E$30="Enter Duration (wks)","",IF($Y124="Enter Hrs/Wk","",IF($E$30&gt;='FORMULA REFS'!AO$1,$Y124,"")))</f>
        <v/>
      </c>
      <c r="BE246" s="1286" t="str">
        <f>IF($E$30="Enter Duration (wks)","",IF($Y124="Enter Hrs/Wk","",IF($E$30&gt;='FORMULA REFS'!AP$1,$Y124,"")))</f>
        <v/>
      </c>
      <c r="BF246" s="1286" t="str">
        <f>IF($E$30="Enter Duration (wks)","",IF($Y124="Enter Hrs/Wk","",IF($E$30&gt;='FORMULA REFS'!AQ$1,$Y124,"")))</f>
        <v/>
      </c>
      <c r="BG246" s="1286" t="str">
        <f>IF($E$30="Enter Duration (wks)","",IF($Y124="Enter Hrs/Wk","",IF($E$30&gt;='FORMULA REFS'!AR$1,$Y124,"")))</f>
        <v/>
      </c>
      <c r="BH246" s="1286" t="str">
        <f>IF($E$30="Enter Duration (wks)","",IF($Y124="Enter Hrs/Wk","",IF($E$30&gt;='FORMULA REFS'!AS$1,$Y124,"")))</f>
        <v/>
      </c>
      <c r="BI246" s="1286" t="str">
        <f>IF($E$30="Enter Duration (wks)","",IF($Y124="Enter Hrs/Wk","",IF($E$30&gt;='FORMULA REFS'!AT$1,$Y124,"")))</f>
        <v/>
      </c>
      <c r="BJ246" s="1286" t="str">
        <f>IF($E$30="Enter Duration (wks)","",IF($Y124="Enter Hrs/Wk","",IF($E$30&gt;='FORMULA REFS'!AU$1,$Y124,"")))</f>
        <v/>
      </c>
      <c r="BK246" s="1286" t="str">
        <f>IF($E$30="Enter Duration (wks)","",IF($Y124="Enter Hrs/Wk","",IF($E$30&gt;='FORMULA REFS'!AV$1,$Y124,"")))</f>
        <v/>
      </c>
      <c r="BL246" s="1286" t="str">
        <f>IF($E$30="Enter Duration (wks)","",IF($Y124="Enter Hrs/Wk","",IF($E$30&gt;='FORMULA REFS'!AW$1,$Y124,"")))</f>
        <v/>
      </c>
      <c r="BM246" s="1286" t="str">
        <f>IF($E$30="Enter Duration (wks)","",IF($Y124="Enter Hrs/Wk","",IF($E$30&gt;='FORMULA REFS'!AX$1,$Y124,"")))</f>
        <v/>
      </c>
      <c r="BN246" s="1286" t="str">
        <f>IF($E$30="Enter Duration (wks)","",IF($Y124="Enter Hrs/Wk","",IF($E$30&gt;='FORMULA REFS'!AY$1,$Y124,"")))</f>
        <v/>
      </c>
      <c r="BO246" s="1286" t="str">
        <f>IF($E$30="Enter Duration (wks)","",IF($Y124="Enter Hrs/Wk","",IF($E$30&gt;='FORMULA REFS'!AZ$1,$Y124,"")))</f>
        <v/>
      </c>
    </row>
    <row r="247" spans="3:75" hidden="1" outlineLevel="1" x14ac:dyDescent="0.25">
      <c r="C247" s="1291" t="str">
        <f t="shared" si="83"/>
        <v/>
      </c>
      <c r="D247" s="1319" t="str">
        <f t="shared" si="84"/>
        <v/>
      </c>
      <c r="E247" s="1326"/>
      <c r="F247" s="1327" t="str">
        <f>IF($E$30="Enter Duration (wks)","",IF($Y125="Enter Hrs/Wk","",IF($E$30&gt;='FORMULA REFS'!A$1,$Y125,"")))</f>
        <v/>
      </c>
      <c r="G247" s="1328"/>
      <c r="H247" s="1570"/>
      <c r="I247" s="1329" t="str">
        <f>IF($E$30="Enter Duration (wks)","",IF($Y125="Enter Hrs/Wk","",IF($E$30&gt;='FORMULA REFS'!B$1,$Y125,"")))</f>
        <v/>
      </c>
      <c r="J247" s="1323"/>
      <c r="K247" s="1286" t="str">
        <f>IF($E$30="Enter Duration (wks)","",IF($Y125="Enter Hrs/Wk","",IF($E$30&gt;='FORMULA REFS'!C$1,$Y125,"")))</f>
        <v/>
      </c>
      <c r="L247" s="882" t="str">
        <f>IF($E$30="Enter Duration (wks)","",IF($Y125="Enter Hrs/Wk","",IF($E$30&gt;='FORMULA REFS'!D$1,$Y125,"")))</f>
        <v/>
      </c>
      <c r="M247" s="882" t="str">
        <f>IF($E$30="Enter Duration (wks)","",IF($Y125="Enter Hrs/Wk","",IF($E$30&gt;='FORMULA REFS'!E$1,$Y125,"")))</f>
        <v/>
      </c>
      <c r="N247" s="882" t="str">
        <f>IF($E$30="Enter Duration (wks)","",IF($Y125="Enter Hrs/Wk","",IF($E$30&gt;='FORMULA REFS'!F$1,$Y125,"")))</f>
        <v/>
      </c>
      <c r="O247" s="882" t="str">
        <f>IF($E$30="Enter Duration (wks)","",IF($Y125="Enter Hrs/Wk","",IF($E$30&gt;='FORMULA REFS'!G$1,$Y125,"")))</f>
        <v/>
      </c>
      <c r="P247" s="882" t="str">
        <f>IF($E$30="Enter Duration (wks)","",IF($Y125="Enter Hrs/Wk","",IF($E$30&gt;='FORMULA REFS'!H$1,$Y125,"")))</f>
        <v/>
      </c>
      <c r="Q247" s="882" t="str">
        <f>IF($E$30="Enter Duration (wks)","",IF($Y125="Enter Hrs/Wk","",IF($E$30&gt;='FORMULA REFS'!I$1,$Y125,"")))</f>
        <v/>
      </c>
      <c r="R247" s="882" t="str">
        <f>IF($E$30="Enter Duration (wks)","",IF($Y125="Enter Hrs/Wk","",IF($E$30&gt;='FORMULA REFS'!J$1,$Y125,"")))</f>
        <v/>
      </c>
      <c r="S247" s="882" t="str">
        <f>IF($E$30="Enter Duration (wks)","",IF($Y125="Enter Hrs/Wk","",IF($E$30&gt;='FORMULA REFS'!K$1,$Y125,"")))</f>
        <v/>
      </c>
      <c r="T247" s="1323" t="str">
        <f>IF($E$30="Enter Duration (wks)","",IF($Y125="Enter Hrs/Wk","",IF($E$30&gt;='FORMULA REFS'!L$1,$Y125,"")))</f>
        <v/>
      </c>
      <c r="U247" s="882" t="str">
        <f>IF($E$30="Enter Duration (wks)","",IF($Y125="Enter Hrs/Wk","",IF($E$30&gt;='FORMULA REFS'!M$1,$Y125,"")))</f>
        <v/>
      </c>
      <c r="V247" s="882"/>
      <c r="W247" s="882"/>
      <c r="X247" s="1285"/>
      <c r="Y247" s="1285" t="str">
        <f>IF($E$30="Enter Duration (wks)","",IF($Y125="Enter Hrs/Wk","",IF($E$30&gt;='FORMULA REFS'!N$1,$Y125,"")))</f>
        <v/>
      </c>
      <c r="Z247" s="1343" t="str">
        <f>IF($E$30="Enter Duration (wks)","",IF($Y125="Enter Hrs/Wk","",IF($E$30&gt;='FORMULA REFS'!O$1,$Y125,"")))</f>
        <v/>
      </c>
      <c r="AA247" s="882" t="str">
        <f>IF($E$30="Enter Duration (wks)","",IF($Y125="Enter Hrs/Wk","",IF($E$30&gt;='FORMULA REFS'!P$1,$Y125,"")))</f>
        <v/>
      </c>
      <c r="AB247" s="882" t="str">
        <f>IF($E$30="Enter Duration (wks)","",IF($Y125="Enter Hrs/Wk","",IF($E$30&gt;='FORMULA REFS'!Q$1,$Y125,"")))</f>
        <v/>
      </c>
      <c r="AC247" s="882"/>
      <c r="AD247" s="882"/>
      <c r="AE247" s="882"/>
      <c r="AF247" s="882"/>
      <c r="AG247" s="1286" t="str">
        <f>IF($E$30="Enter Duration (wks)","",IF($Y125="Enter Hrs/Wk","",IF($E$30&gt;='FORMULA REFS'!R$1,$Y125,"")))</f>
        <v/>
      </c>
      <c r="AH247" s="1286" t="str">
        <f>IF($E$30="Enter Duration (wks)","",IF($Y125="Enter Hrs/Wk","",IF($E$30&gt;='FORMULA REFS'!S$1,$Y125,"")))</f>
        <v/>
      </c>
      <c r="AI247" s="1286" t="str">
        <f>IF($E$30="Enter Duration (wks)","",IF($Y125="Enter Hrs/Wk","",IF($E$30&gt;='FORMULA REFS'!T$1,$Y125,"")))</f>
        <v/>
      </c>
      <c r="AJ247" s="1286" t="str">
        <f>IF($E$30="Enter Duration (wks)","",IF($Y125="Enter Hrs/Wk","",IF($E$30&gt;='FORMULA REFS'!U$1,$Y125,"")))</f>
        <v/>
      </c>
      <c r="AK247" s="1286" t="str">
        <f>IF($E$30="Enter Duration (wks)","",IF($Y125="Enter Hrs/Wk","",IF($E$30&gt;='FORMULA REFS'!V$1,$Y125,"")))</f>
        <v/>
      </c>
      <c r="AL247" s="1286" t="str">
        <f>IF($E$30="Enter Duration (wks)","",IF($Y125="Enter Hrs/Wk","",IF($E$30&gt;='FORMULA REFS'!W$1,$Y125,"")))</f>
        <v/>
      </c>
      <c r="AM247" s="1286" t="str">
        <f>IF($E$30="Enter Duration (wks)","",IF($Y125="Enter Hrs/Wk","",IF($E$30&gt;='FORMULA REFS'!X$1,$Y125,"")))</f>
        <v/>
      </c>
      <c r="AN247" s="1286" t="str">
        <f>IF($E$30="Enter Duration (wks)","",IF($Y125="Enter Hrs/Wk","",IF($E$30&gt;='FORMULA REFS'!Y$1,$Y125,"")))</f>
        <v/>
      </c>
      <c r="AO247" s="1286" t="str">
        <f>IF($E$30="Enter Duration (wks)","",IF($Y125="Enter Hrs/Wk","",IF($E$30&gt;='FORMULA REFS'!Z$1,$Y125,"")))</f>
        <v/>
      </c>
      <c r="AP247" s="1286" t="str">
        <f>IF($E$30="Enter Duration (wks)","",IF($Y125="Enter Hrs/Wk","",IF($E$30&gt;='FORMULA REFS'!AA$1,$Y125,"")))</f>
        <v/>
      </c>
      <c r="AQ247" s="1286" t="str">
        <f>IF($E$30="Enter Duration (wks)","",IF($Y125="Enter Hrs/Wk","",IF($E$30&gt;='FORMULA REFS'!AB$1,$Y125,"")))</f>
        <v/>
      </c>
      <c r="AR247" s="1286" t="str">
        <f>IF($E$30="Enter Duration (wks)","",IF($Y125="Enter Hrs/Wk","",IF($E$30&gt;='FORMULA REFS'!AC$1,$Y125,"")))</f>
        <v/>
      </c>
      <c r="AS247" s="1286" t="str">
        <f>IF($E$30="Enter Duration (wks)","",IF($Y125="Enter Hrs/Wk","",IF($E$30&gt;='FORMULA REFS'!AD$1,$Y125,"")))</f>
        <v/>
      </c>
      <c r="AT247" s="1286" t="str">
        <f>IF($E$30="Enter Duration (wks)","",IF($Y125="Enter Hrs/Wk","",IF($E$30&gt;='FORMULA REFS'!AE$1,$Y125,"")))</f>
        <v/>
      </c>
      <c r="AU247" s="1286" t="str">
        <f>IF($E$30="Enter Duration (wks)","",IF($Y125="Enter Hrs/Wk","",IF($E$30&gt;='FORMULA REFS'!AF$1,$Y125,"")))</f>
        <v/>
      </c>
      <c r="AV247" s="1286" t="str">
        <f>IF($E$30="Enter Duration (wks)","",IF($Y125="Enter Hrs/Wk","",IF($E$30&gt;='FORMULA REFS'!AG$1,$Y125,"")))</f>
        <v/>
      </c>
      <c r="AW247" s="1286" t="str">
        <f>IF($E$30="Enter Duration (wks)","",IF($Y125="Enter Hrs/Wk","",IF($E$30&gt;='FORMULA REFS'!AH$1,$Y125,"")))</f>
        <v/>
      </c>
      <c r="AX247" s="1286" t="str">
        <f>IF($E$30="Enter Duration (wks)","",IF($Y125="Enter Hrs/Wk","",IF($E$30&gt;='FORMULA REFS'!AI$1,$Y125,"")))</f>
        <v/>
      </c>
      <c r="AY247" s="1286" t="str">
        <f>IF($E$30="Enter Duration (wks)","",IF($Y125="Enter Hrs/Wk","",IF($E$30&gt;='FORMULA REFS'!AJ$1,$Y125,"")))</f>
        <v/>
      </c>
      <c r="AZ247" s="1286" t="str">
        <f>IF($E$30="Enter Duration (wks)","",IF($Y125="Enter Hrs/Wk","",IF($E$30&gt;='FORMULA REFS'!AK$1,$Y125,"")))</f>
        <v/>
      </c>
      <c r="BA247" s="1286" t="str">
        <f>IF($E$30="Enter Duration (wks)","",IF($Y125="Enter Hrs/Wk","",IF($E$30&gt;='FORMULA REFS'!AL$1,$Y125,"")))</f>
        <v/>
      </c>
      <c r="BB247" s="1286" t="str">
        <f>IF($E$30="Enter Duration (wks)","",IF($Y125="Enter Hrs/Wk","",IF($E$30&gt;='FORMULA REFS'!AM$1,$Y125,"")))</f>
        <v/>
      </c>
      <c r="BC247" s="1286" t="str">
        <f>IF($E$30="Enter Duration (wks)","",IF($Y125="Enter Hrs/Wk","",IF($E$30&gt;='FORMULA REFS'!AN$1,$Y125,"")))</f>
        <v/>
      </c>
      <c r="BD247" s="1286" t="str">
        <f>IF($E$30="Enter Duration (wks)","",IF($Y125="Enter Hrs/Wk","",IF($E$30&gt;='FORMULA REFS'!AO$1,$Y125,"")))</f>
        <v/>
      </c>
      <c r="BE247" s="1286" t="str">
        <f>IF($E$30="Enter Duration (wks)","",IF($Y125="Enter Hrs/Wk","",IF($E$30&gt;='FORMULA REFS'!AP$1,$Y125,"")))</f>
        <v/>
      </c>
      <c r="BF247" s="1286" t="str">
        <f>IF($E$30="Enter Duration (wks)","",IF($Y125="Enter Hrs/Wk","",IF($E$30&gt;='FORMULA REFS'!AQ$1,$Y125,"")))</f>
        <v/>
      </c>
      <c r="BG247" s="1286" t="str">
        <f>IF($E$30="Enter Duration (wks)","",IF($Y125="Enter Hrs/Wk","",IF($E$30&gt;='FORMULA REFS'!AR$1,$Y125,"")))</f>
        <v/>
      </c>
      <c r="BH247" s="1286" t="str">
        <f>IF($E$30="Enter Duration (wks)","",IF($Y125="Enter Hrs/Wk","",IF($E$30&gt;='FORMULA REFS'!AS$1,$Y125,"")))</f>
        <v/>
      </c>
      <c r="BI247" s="1286" t="str">
        <f>IF($E$30="Enter Duration (wks)","",IF($Y125="Enter Hrs/Wk","",IF($E$30&gt;='FORMULA REFS'!AT$1,$Y125,"")))</f>
        <v/>
      </c>
      <c r="BJ247" s="1286" t="str">
        <f>IF($E$30="Enter Duration (wks)","",IF($Y125="Enter Hrs/Wk","",IF($E$30&gt;='FORMULA REFS'!AU$1,$Y125,"")))</f>
        <v/>
      </c>
      <c r="BK247" s="1286" t="str">
        <f>IF($E$30="Enter Duration (wks)","",IF($Y125="Enter Hrs/Wk","",IF($E$30&gt;='FORMULA REFS'!AV$1,$Y125,"")))</f>
        <v/>
      </c>
      <c r="BL247" s="1286" t="str">
        <f>IF($E$30="Enter Duration (wks)","",IF($Y125="Enter Hrs/Wk","",IF($E$30&gt;='FORMULA REFS'!AW$1,$Y125,"")))</f>
        <v/>
      </c>
      <c r="BM247" s="1286" t="str">
        <f>IF($E$30="Enter Duration (wks)","",IF($Y125="Enter Hrs/Wk","",IF($E$30&gt;='FORMULA REFS'!AX$1,$Y125,"")))</f>
        <v/>
      </c>
      <c r="BN247" s="1286" t="str">
        <f>IF($E$30="Enter Duration (wks)","",IF($Y125="Enter Hrs/Wk","",IF($E$30&gt;='FORMULA REFS'!AY$1,$Y125,"")))</f>
        <v/>
      </c>
      <c r="BO247" s="1286" t="str">
        <f>IF($E$30="Enter Duration (wks)","",IF($Y125="Enter Hrs/Wk","",IF($E$30&gt;='FORMULA REFS'!AZ$1,$Y125,"")))</f>
        <v/>
      </c>
    </row>
    <row r="248" spans="3:75" hidden="1" outlineLevel="1" x14ac:dyDescent="0.25">
      <c r="C248" s="1291" t="str">
        <f t="shared" si="83"/>
        <v/>
      </c>
      <c r="D248" s="1319" t="str">
        <f t="shared" si="84"/>
        <v/>
      </c>
      <c r="E248" s="1326"/>
      <c r="F248" s="1327" t="str">
        <f>IF($E$30="Enter Duration (wks)","",IF($Y126="Enter Hrs/Wk","",IF($E$30&gt;='FORMULA REFS'!A$1,$Y126,"")))</f>
        <v/>
      </c>
      <c r="G248" s="1328"/>
      <c r="H248" s="1570"/>
      <c r="I248" s="1329" t="str">
        <f>IF($E$30="Enter Duration (wks)","",IF($Y126="Enter Hrs/Wk","",IF($E$30&gt;='FORMULA REFS'!B$1,$Y126,"")))</f>
        <v/>
      </c>
      <c r="J248" s="1323"/>
      <c r="K248" s="1286" t="str">
        <f>IF($E$30="Enter Duration (wks)","",IF($Y126="Enter Hrs/Wk","",IF($E$30&gt;='FORMULA REFS'!C$1,$Y126,"")))</f>
        <v/>
      </c>
      <c r="L248" s="882" t="str">
        <f>IF($E$30="Enter Duration (wks)","",IF($Y126="Enter Hrs/Wk","",IF($E$30&gt;='FORMULA REFS'!D$1,$Y126,"")))</f>
        <v/>
      </c>
      <c r="M248" s="882" t="str">
        <f>IF($E$30="Enter Duration (wks)","",IF($Y126="Enter Hrs/Wk","",IF($E$30&gt;='FORMULA REFS'!E$1,$Y126,"")))</f>
        <v/>
      </c>
      <c r="N248" s="882" t="str">
        <f>IF($E$30="Enter Duration (wks)","",IF($Y126="Enter Hrs/Wk","",IF($E$30&gt;='FORMULA REFS'!F$1,$Y126,"")))</f>
        <v/>
      </c>
      <c r="O248" s="882" t="str">
        <f>IF($E$30="Enter Duration (wks)","",IF($Y126="Enter Hrs/Wk","",IF($E$30&gt;='FORMULA REFS'!G$1,$Y126,"")))</f>
        <v/>
      </c>
      <c r="P248" s="882" t="str">
        <f>IF($E$30="Enter Duration (wks)","",IF($Y126="Enter Hrs/Wk","",IF($E$30&gt;='FORMULA REFS'!H$1,$Y126,"")))</f>
        <v/>
      </c>
      <c r="Q248" s="882" t="str">
        <f>IF($E$30="Enter Duration (wks)","",IF($Y126="Enter Hrs/Wk","",IF($E$30&gt;='FORMULA REFS'!I$1,$Y126,"")))</f>
        <v/>
      </c>
      <c r="R248" s="882" t="str">
        <f>IF($E$30="Enter Duration (wks)","",IF($Y126="Enter Hrs/Wk","",IF($E$30&gt;='FORMULA REFS'!J$1,$Y126,"")))</f>
        <v/>
      </c>
      <c r="S248" s="882" t="str">
        <f>IF($E$30="Enter Duration (wks)","",IF($Y126="Enter Hrs/Wk","",IF($E$30&gt;='FORMULA REFS'!K$1,$Y126,"")))</f>
        <v/>
      </c>
      <c r="T248" s="1323" t="str">
        <f>IF($E$30="Enter Duration (wks)","",IF($Y126="Enter Hrs/Wk","",IF($E$30&gt;='FORMULA REFS'!L$1,$Y126,"")))</f>
        <v/>
      </c>
      <c r="U248" s="882" t="str">
        <f>IF($E$30="Enter Duration (wks)","",IF($Y126="Enter Hrs/Wk","",IF($E$30&gt;='FORMULA REFS'!M$1,$Y126,"")))</f>
        <v/>
      </c>
      <c r="V248" s="882"/>
      <c r="W248" s="882"/>
      <c r="X248" s="1285"/>
      <c r="Y248" s="1285" t="str">
        <f>IF($E$30="Enter Duration (wks)","",IF($Y126="Enter Hrs/Wk","",IF($E$30&gt;='FORMULA REFS'!N$1,$Y126,"")))</f>
        <v/>
      </c>
      <c r="Z248" s="1343" t="str">
        <f>IF($E$30="Enter Duration (wks)","",IF($Y126="Enter Hrs/Wk","",IF($E$30&gt;='FORMULA REFS'!O$1,$Y126,"")))</f>
        <v/>
      </c>
      <c r="AA248" s="882" t="str">
        <f>IF($E$30="Enter Duration (wks)","",IF($Y126="Enter Hrs/Wk","",IF($E$30&gt;='FORMULA REFS'!P$1,$Y126,"")))</f>
        <v/>
      </c>
      <c r="AB248" s="882" t="str">
        <f>IF($E$30="Enter Duration (wks)","",IF($Y126="Enter Hrs/Wk","",IF($E$30&gt;='FORMULA REFS'!Q$1,$Y126,"")))</f>
        <v/>
      </c>
      <c r="AC248" s="882"/>
      <c r="AD248" s="882"/>
      <c r="AE248" s="882"/>
      <c r="AF248" s="882"/>
      <c r="AG248" s="1286" t="str">
        <f>IF($E$30="Enter Duration (wks)","",IF($Y126="Enter Hrs/Wk","",IF($E$30&gt;='FORMULA REFS'!R$1,$Y126,"")))</f>
        <v/>
      </c>
      <c r="AH248" s="1286" t="str">
        <f>IF($E$30="Enter Duration (wks)","",IF($Y126="Enter Hrs/Wk","",IF($E$30&gt;='FORMULA REFS'!S$1,$Y126,"")))</f>
        <v/>
      </c>
      <c r="AI248" s="1286" t="str">
        <f>IF($E$30="Enter Duration (wks)","",IF($Y126="Enter Hrs/Wk","",IF($E$30&gt;='FORMULA REFS'!T$1,$Y126,"")))</f>
        <v/>
      </c>
      <c r="AJ248" s="1286" t="str">
        <f>IF($E$30="Enter Duration (wks)","",IF($Y126="Enter Hrs/Wk","",IF($E$30&gt;='FORMULA REFS'!U$1,$Y126,"")))</f>
        <v/>
      </c>
      <c r="AK248" s="1286" t="str">
        <f>IF($E$30="Enter Duration (wks)","",IF($Y126="Enter Hrs/Wk","",IF($E$30&gt;='FORMULA REFS'!V$1,$Y126,"")))</f>
        <v/>
      </c>
      <c r="AL248" s="1286" t="str">
        <f>IF($E$30="Enter Duration (wks)","",IF($Y126="Enter Hrs/Wk","",IF($E$30&gt;='FORMULA REFS'!W$1,$Y126,"")))</f>
        <v/>
      </c>
      <c r="AM248" s="1286" t="str">
        <f>IF($E$30="Enter Duration (wks)","",IF($Y126="Enter Hrs/Wk","",IF($E$30&gt;='FORMULA REFS'!X$1,$Y126,"")))</f>
        <v/>
      </c>
      <c r="AN248" s="1286" t="str">
        <f>IF($E$30="Enter Duration (wks)","",IF($Y126="Enter Hrs/Wk","",IF($E$30&gt;='FORMULA REFS'!Y$1,$Y126,"")))</f>
        <v/>
      </c>
      <c r="AO248" s="1286" t="str">
        <f>IF($E$30="Enter Duration (wks)","",IF($Y126="Enter Hrs/Wk","",IF($E$30&gt;='FORMULA REFS'!Z$1,$Y126,"")))</f>
        <v/>
      </c>
      <c r="AP248" s="1286" t="str">
        <f>IF($E$30="Enter Duration (wks)","",IF($Y126="Enter Hrs/Wk","",IF($E$30&gt;='FORMULA REFS'!AA$1,$Y126,"")))</f>
        <v/>
      </c>
      <c r="AQ248" s="1286" t="str">
        <f>IF($E$30="Enter Duration (wks)","",IF($Y126="Enter Hrs/Wk","",IF($E$30&gt;='FORMULA REFS'!AB$1,$Y126,"")))</f>
        <v/>
      </c>
      <c r="AR248" s="1286" t="str">
        <f>IF($E$30="Enter Duration (wks)","",IF($Y126="Enter Hrs/Wk","",IF($E$30&gt;='FORMULA REFS'!AC$1,$Y126,"")))</f>
        <v/>
      </c>
      <c r="AS248" s="1286" t="str">
        <f>IF($E$30="Enter Duration (wks)","",IF($Y126="Enter Hrs/Wk","",IF($E$30&gt;='FORMULA REFS'!AD$1,$Y126,"")))</f>
        <v/>
      </c>
      <c r="AT248" s="1286" t="str">
        <f>IF($E$30="Enter Duration (wks)","",IF($Y126="Enter Hrs/Wk","",IF($E$30&gt;='FORMULA REFS'!AE$1,$Y126,"")))</f>
        <v/>
      </c>
      <c r="AU248" s="1286" t="str">
        <f>IF($E$30="Enter Duration (wks)","",IF($Y126="Enter Hrs/Wk","",IF($E$30&gt;='FORMULA REFS'!AF$1,$Y126,"")))</f>
        <v/>
      </c>
      <c r="AV248" s="1286" t="str">
        <f>IF($E$30="Enter Duration (wks)","",IF($Y126="Enter Hrs/Wk","",IF($E$30&gt;='FORMULA REFS'!AG$1,$Y126,"")))</f>
        <v/>
      </c>
      <c r="AW248" s="1286" t="str">
        <f>IF($E$30="Enter Duration (wks)","",IF($Y126="Enter Hrs/Wk","",IF($E$30&gt;='FORMULA REFS'!AH$1,$Y126,"")))</f>
        <v/>
      </c>
      <c r="AX248" s="1286" t="str">
        <f>IF($E$30="Enter Duration (wks)","",IF($Y126="Enter Hrs/Wk","",IF($E$30&gt;='FORMULA REFS'!AI$1,$Y126,"")))</f>
        <v/>
      </c>
      <c r="AY248" s="1286" t="str">
        <f>IF($E$30="Enter Duration (wks)","",IF($Y126="Enter Hrs/Wk","",IF($E$30&gt;='FORMULA REFS'!AJ$1,$Y126,"")))</f>
        <v/>
      </c>
      <c r="AZ248" s="1286" t="str">
        <f>IF($E$30="Enter Duration (wks)","",IF($Y126="Enter Hrs/Wk","",IF($E$30&gt;='FORMULA REFS'!AK$1,$Y126,"")))</f>
        <v/>
      </c>
      <c r="BA248" s="1286" t="str">
        <f>IF($E$30="Enter Duration (wks)","",IF($Y126="Enter Hrs/Wk","",IF($E$30&gt;='FORMULA REFS'!AL$1,$Y126,"")))</f>
        <v/>
      </c>
      <c r="BB248" s="1286" t="str">
        <f>IF($E$30="Enter Duration (wks)","",IF($Y126="Enter Hrs/Wk","",IF($E$30&gt;='FORMULA REFS'!AM$1,$Y126,"")))</f>
        <v/>
      </c>
      <c r="BC248" s="1286" t="str">
        <f>IF($E$30="Enter Duration (wks)","",IF($Y126="Enter Hrs/Wk","",IF($E$30&gt;='FORMULA REFS'!AN$1,$Y126,"")))</f>
        <v/>
      </c>
      <c r="BD248" s="1286" t="str">
        <f>IF($E$30="Enter Duration (wks)","",IF($Y126="Enter Hrs/Wk","",IF($E$30&gt;='FORMULA REFS'!AO$1,$Y126,"")))</f>
        <v/>
      </c>
      <c r="BE248" s="1286" t="str">
        <f>IF($E$30="Enter Duration (wks)","",IF($Y126="Enter Hrs/Wk","",IF($E$30&gt;='FORMULA REFS'!AP$1,$Y126,"")))</f>
        <v/>
      </c>
      <c r="BF248" s="1286" t="str">
        <f>IF($E$30="Enter Duration (wks)","",IF($Y126="Enter Hrs/Wk","",IF($E$30&gt;='FORMULA REFS'!AQ$1,$Y126,"")))</f>
        <v/>
      </c>
      <c r="BG248" s="1286" t="str">
        <f>IF($E$30="Enter Duration (wks)","",IF($Y126="Enter Hrs/Wk","",IF($E$30&gt;='FORMULA REFS'!AR$1,$Y126,"")))</f>
        <v/>
      </c>
      <c r="BH248" s="1286" t="str">
        <f>IF($E$30="Enter Duration (wks)","",IF($Y126="Enter Hrs/Wk","",IF($E$30&gt;='FORMULA REFS'!AS$1,$Y126,"")))</f>
        <v/>
      </c>
      <c r="BI248" s="1286" t="str">
        <f>IF($E$30="Enter Duration (wks)","",IF($Y126="Enter Hrs/Wk","",IF($E$30&gt;='FORMULA REFS'!AT$1,$Y126,"")))</f>
        <v/>
      </c>
      <c r="BJ248" s="1286" t="str">
        <f>IF($E$30="Enter Duration (wks)","",IF($Y126="Enter Hrs/Wk","",IF($E$30&gt;='FORMULA REFS'!AU$1,$Y126,"")))</f>
        <v/>
      </c>
      <c r="BK248" s="1286" t="str">
        <f>IF($E$30="Enter Duration (wks)","",IF($Y126="Enter Hrs/Wk","",IF($E$30&gt;='FORMULA REFS'!AV$1,$Y126,"")))</f>
        <v/>
      </c>
      <c r="BL248" s="1286" t="str">
        <f>IF($E$30="Enter Duration (wks)","",IF($Y126="Enter Hrs/Wk","",IF($E$30&gt;='FORMULA REFS'!AW$1,$Y126,"")))</f>
        <v/>
      </c>
      <c r="BM248" s="1286" t="str">
        <f>IF($E$30="Enter Duration (wks)","",IF($Y126="Enter Hrs/Wk","",IF($E$30&gt;='FORMULA REFS'!AX$1,$Y126,"")))</f>
        <v/>
      </c>
      <c r="BN248" s="1286" t="str">
        <f>IF($E$30="Enter Duration (wks)","",IF($Y126="Enter Hrs/Wk","",IF($E$30&gt;='FORMULA REFS'!AY$1,$Y126,"")))</f>
        <v/>
      </c>
      <c r="BO248" s="1286" t="str">
        <f>IF($E$30="Enter Duration (wks)","",IF($Y126="Enter Hrs/Wk","",IF($E$30&gt;='FORMULA REFS'!AZ$1,$Y126,"")))</f>
        <v/>
      </c>
      <c r="BP248" s="461"/>
      <c r="BQ248" s="461"/>
      <c r="BR248" s="461"/>
      <c r="BS248" s="461"/>
      <c r="BT248" s="461"/>
      <c r="BU248" s="461"/>
      <c r="BV248" s="461"/>
      <c r="BW248" s="461"/>
    </row>
    <row r="249" spans="3:75" hidden="1" outlineLevel="1" x14ac:dyDescent="0.25">
      <c r="C249" s="1291" t="str">
        <f t="shared" si="83"/>
        <v/>
      </c>
      <c r="D249" s="1319" t="str">
        <f t="shared" si="84"/>
        <v/>
      </c>
      <c r="E249" s="1326"/>
      <c r="F249" s="1327" t="str">
        <f>IF($E$30="Enter Duration (wks)","",IF($Y127="Enter Hrs/Wk","",IF($E$30&gt;='FORMULA REFS'!A$1,$Y127,"")))</f>
        <v/>
      </c>
      <c r="G249" s="1328"/>
      <c r="H249" s="1570"/>
      <c r="I249" s="1329" t="str">
        <f>IF($E$30="Enter Duration (wks)","",IF($Y127="Enter Hrs/Wk","",IF($E$30&gt;='FORMULA REFS'!B$1,$Y127,"")))</f>
        <v/>
      </c>
      <c r="J249" s="1323"/>
      <c r="K249" s="1286" t="str">
        <f>IF($E$30="Enter Duration (wks)","",IF($Y127="Enter Hrs/Wk","",IF($E$30&gt;='FORMULA REFS'!C$1,$Y127,"")))</f>
        <v/>
      </c>
      <c r="L249" s="882" t="str">
        <f>IF($E$30="Enter Duration (wks)","",IF($Y127="Enter Hrs/Wk","",IF($E$30&gt;='FORMULA REFS'!D$1,$Y127,"")))</f>
        <v/>
      </c>
      <c r="M249" s="882" t="str">
        <f>IF($E$30="Enter Duration (wks)","",IF($Y127="Enter Hrs/Wk","",IF($E$30&gt;='FORMULA REFS'!E$1,$Y127,"")))</f>
        <v/>
      </c>
      <c r="N249" s="882" t="str">
        <f>IF($E$30="Enter Duration (wks)","",IF($Y127="Enter Hrs/Wk","",IF($E$30&gt;='FORMULA REFS'!F$1,$Y127,"")))</f>
        <v/>
      </c>
      <c r="O249" s="882" t="str">
        <f>IF($E$30="Enter Duration (wks)","",IF($Y127="Enter Hrs/Wk","",IF($E$30&gt;='FORMULA REFS'!G$1,$Y127,"")))</f>
        <v/>
      </c>
      <c r="P249" s="882" t="str">
        <f>IF($E$30="Enter Duration (wks)","",IF($Y127="Enter Hrs/Wk","",IF($E$30&gt;='FORMULA REFS'!H$1,$Y127,"")))</f>
        <v/>
      </c>
      <c r="Q249" s="882" t="str">
        <f>IF($E$30="Enter Duration (wks)","",IF($Y127="Enter Hrs/Wk","",IF($E$30&gt;='FORMULA REFS'!I$1,$Y127,"")))</f>
        <v/>
      </c>
      <c r="R249" s="882" t="str">
        <f>IF($E$30="Enter Duration (wks)","",IF($Y127="Enter Hrs/Wk","",IF($E$30&gt;='FORMULA REFS'!J$1,$Y127,"")))</f>
        <v/>
      </c>
      <c r="S249" s="882" t="str">
        <f>IF($E$30="Enter Duration (wks)","",IF($Y127="Enter Hrs/Wk","",IF($E$30&gt;='FORMULA REFS'!K$1,$Y127,"")))</f>
        <v/>
      </c>
      <c r="T249" s="1323" t="str">
        <f>IF($E$30="Enter Duration (wks)","",IF($Y127="Enter Hrs/Wk","",IF($E$30&gt;='FORMULA REFS'!L$1,$Y127,"")))</f>
        <v/>
      </c>
      <c r="U249" s="882" t="str">
        <f>IF($E$30="Enter Duration (wks)","",IF($Y127="Enter Hrs/Wk","",IF($E$30&gt;='FORMULA REFS'!M$1,$Y127,"")))</f>
        <v/>
      </c>
      <c r="V249" s="882"/>
      <c r="W249" s="882"/>
      <c r="X249" s="1285"/>
      <c r="Y249" s="1285" t="str">
        <f>IF($E$30="Enter Duration (wks)","",IF($Y127="Enter Hrs/Wk","",IF($E$30&gt;='FORMULA REFS'!N$1,$Y127,"")))</f>
        <v/>
      </c>
      <c r="Z249" s="1343" t="str">
        <f>IF($E$30="Enter Duration (wks)","",IF($Y127="Enter Hrs/Wk","",IF($E$30&gt;='FORMULA REFS'!O$1,$Y127,"")))</f>
        <v/>
      </c>
      <c r="AA249" s="882" t="str">
        <f>IF($E$30="Enter Duration (wks)","",IF($Y127="Enter Hrs/Wk","",IF($E$30&gt;='FORMULA REFS'!P$1,$Y127,"")))</f>
        <v/>
      </c>
      <c r="AB249" s="882" t="str">
        <f>IF($E$30="Enter Duration (wks)","",IF($Y127="Enter Hrs/Wk","",IF($E$30&gt;='FORMULA REFS'!Q$1,$Y127,"")))</f>
        <v/>
      </c>
      <c r="AC249" s="882"/>
      <c r="AD249" s="882"/>
      <c r="AE249" s="882"/>
      <c r="AF249" s="882"/>
      <c r="AG249" s="1286" t="str">
        <f>IF($E$30="Enter Duration (wks)","",IF($Y127="Enter Hrs/Wk","",IF($E$30&gt;='FORMULA REFS'!R$1,$Y127,"")))</f>
        <v/>
      </c>
      <c r="AH249" s="1286" t="str">
        <f>IF($E$30="Enter Duration (wks)","",IF($Y127="Enter Hrs/Wk","",IF($E$30&gt;='FORMULA REFS'!S$1,$Y127,"")))</f>
        <v/>
      </c>
      <c r="AI249" s="1286" t="str">
        <f>IF($E$30="Enter Duration (wks)","",IF($Y127="Enter Hrs/Wk","",IF($E$30&gt;='FORMULA REFS'!T$1,$Y127,"")))</f>
        <v/>
      </c>
      <c r="AJ249" s="1286" t="str">
        <f>IF($E$30="Enter Duration (wks)","",IF($Y127="Enter Hrs/Wk","",IF($E$30&gt;='FORMULA REFS'!U$1,$Y127,"")))</f>
        <v/>
      </c>
      <c r="AK249" s="1286" t="str">
        <f>IF($E$30="Enter Duration (wks)","",IF($Y127="Enter Hrs/Wk","",IF($E$30&gt;='FORMULA REFS'!V$1,$Y127,"")))</f>
        <v/>
      </c>
      <c r="AL249" s="1286" t="str">
        <f>IF($E$30="Enter Duration (wks)","",IF($Y127="Enter Hrs/Wk","",IF($E$30&gt;='FORMULA REFS'!W$1,$Y127,"")))</f>
        <v/>
      </c>
      <c r="AM249" s="1286" t="str">
        <f>IF($E$30="Enter Duration (wks)","",IF($Y127="Enter Hrs/Wk","",IF($E$30&gt;='FORMULA REFS'!X$1,$Y127,"")))</f>
        <v/>
      </c>
      <c r="AN249" s="1286" t="str">
        <f>IF($E$30="Enter Duration (wks)","",IF($Y127="Enter Hrs/Wk","",IF($E$30&gt;='FORMULA REFS'!Y$1,$Y127,"")))</f>
        <v/>
      </c>
      <c r="AO249" s="1286" t="str">
        <f>IF($E$30="Enter Duration (wks)","",IF($Y127="Enter Hrs/Wk","",IF($E$30&gt;='FORMULA REFS'!Z$1,$Y127,"")))</f>
        <v/>
      </c>
      <c r="AP249" s="1286" t="str">
        <f>IF($E$30="Enter Duration (wks)","",IF($Y127="Enter Hrs/Wk","",IF($E$30&gt;='FORMULA REFS'!AA$1,$Y127,"")))</f>
        <v/>
      </c>
      <c r="AQ249" s="1286" t="str">
        <f>IF($E$30="Enter Duration (wks)","",IF($Y127="Enter Hrs/Wk","",IF($E$30&gt;='FORMULA REFS'!AB$1,$Y127,"")))</f>
        <v/>
      </c>
      <c r="AR249" s="1286" t="str">
        <f>IF($E$30="Enter Duration (wks)","",IF($Y127="Enter Hrs/Wk","",IF($E$30&gt;='FORMULA REFS'!AC$1,$Y127,"")))</f>
        <v/>
      </c>
      <c r="AS249" s="1286" t="str">
        <f>IF($E$30="Enter Duration (wks)","",IF($Y127="Enter Hrs/Wk","",IF($E$30&gt;='FORMULA REFS'!AD$1,$Y127,"")))</f>
        <v/>
      </c>
      <c r="AT249" s="1286" t="str">
        <f>IF($E$30="Enter Duration (wks)","",IF($Y127="Enter Hrs/Wk","",IF($E$30&gt;='FORMULA REFS'!AE$1,$Y127,"")))</f>
        <v/>
      </c>
      <c r="AU249" s="1286" t="str">
        <f>IF($E$30="Enter Duration (wks)","",IF($Y127="Enter Hrs/Wk","",IF($E$30&gt;='FORMULA REFS'!AF$1,$Y127,"")))</f>
        <v/>
      </c>
      <c r="AV249" s="1286" t="str">
        <f>IF($E$30="Enter Duration (wks)","",IF($Y127="Enter Hrs/Wk","",IF($E$30&gt;='FORMULA REFS'!AG$1,$Y127,"")))</f>
        <v/>
      </c>
      <c r="AW249" s="1286" t="str">
        <f>IF($E$30="Enter Duration (wks)","",IF($Y127="Enter Hrs/Wk","",IF($E$30&gt;='FORMULA REFS'!AH$1,$Y127,"")))</f>
        <v/>
      </c>
      <c r="AX249" s="1286" t="str">
        <f>IF($E$30="Enter Duration (wks)","",IF($Y127="Enter Hrs/Wk","",IF($E$30&gt;='FORMULA REFS'!AI$1,$Y127,"")))</f>
        <v/>
      </c>
      <c r="AY249" s="1286" t="str">
        <f>IF($E$30="Enter Duration (wks)","",IF($Y127="Enter Hrs/Wk","",IF($E$30&gt;='FORMULA REFS'!AJ$1,$Y127,"")))</f>
        <v/>
      </c>
      <c r="AZ249" s="1286" t="str">
        <f>IF($E$30="Enter Duration (wks)","",IF($Y127="Enter Hrs/Wk","",IF($E$30&gt;='FORMULA REFS'!AK$1,$Y127,"")))</f>
        <v/>
      </c>
      <c r="BA249" s="1286" t="str">
        <f>IF($E$30="Enter Duration (wks)","",IF($Y127="Enter Hrs/Wk","",IF($E$30&gt;='FORMULA REFS'!AL$1,$Y127,"")))</f>
        <v/>
      </c>
      <c r="BB249" s="1286" t="str">
        <f>IF($E$30="Enter Duration (wks)","",IF($Y127="Enter Hrs/Wk","",IF($E$30&gt;='FORMULA REFS'!AM$1,$Y127,"")))</f>
        <v/>
      </c>
      <c r="BC249" s="1286" t="str">
        <f>IF($E$30="Enter Duration (wks)","",IF($Y127="Enter Hrs/Wk","",IF($E$30&gt;='FORMULA REFS'!AN$1,$Y127,"")))</f>
        <v/>
      </c>
      <c r="BD249" s="1286" t="str">
        <f>IF($E$30="Enter Duration (wks)","",IF($Y127="Enter Hrs/Wk","",IF($E$30&gt;='FORMULA REFS'!AO$1,$Y127,"")))</f>
        <v/>
      </c>
      <c r="BE249" s="1286" t="str">
        <f>IF($E$30="Enter Duration (wks)","",IF($Y127="Enter Hrs/Wk","",IF($E$30&gt;='FORMULA REFS'!AP$1,$Y127,"")))</f>
        <v/>
      </c>
      <c r="BF249" s="1286" t="str">
        <f>IF($E$30="Enter Duration (wks)","",IF($Y127="Enter Hrs/Wk","",IF($E$30&gt;='FORMULA REFS'!AQ$1,$Y127,"")))</f>
        <v/>
      </c>
      <c r="BG249" s="1286" t="str">
        <f>IF($E$30="Enter Duration (wks)","",IF($Y127="Enter Hrs/Wk","",IF($E$30&gt;='FORMULA REFS'!AR$1,$Y127,"")))</f>
        <v/>
      </c>
      <c r="BH249" s="1286" t="str">
        <f>IF($E$30="Enter Duration (wks)","",IF($Y127="Enter Hrs/Wk","",IF($E$30&gt;='FORMULA REFS'!AS$1,$Y127,"")))</f>
        <v/>
      </c>
      <c r="BI249" s="1286" t="str">
        <f>IF($E$30="Enter Duration (wks)","",IF($Y127="Enter Hrs/Wk","",IF($E$30&gt;='FORMULA REFS'!AT$1,$Y127,"")))</f>
        <v/>
      </c>
      <c r="BJ249" s="1286" t="str">
        <f>IF($E$30="Enter Duration (wks)","",IF($Y127="Enter Hrs/Wk","",IF($E$30&gt;='FORMULA REFS'!AU$1,$Y127,"")))</f>
        <v/>
      </c>
      <c r="BK249" s="1286" t="str">
        <f>IF($E$30="Enter Duration (wks)","",IF($Y127="Enter Hrs/Wk","",IF($E$30&gt;='FORMULA REFS'!AV$1,$Y127,"")))</f>
        <v/>
      </c>
      <c r="BL249" s="1286" t="str">
        <f>IF($E$30="Enter Duration (wks)","",IF($Y127="Enter Hrs/Wk","",IF($E$30&gt;='FORMULA REFS'!AW$1,$Y127,"")))</f>
        <v/>
      </c>
      <c r="BM249" s="1286" t="str">
        <f>IF($E$30="Enter Duration (wks)","",IF($Y127="Enter Hrs/Wk","",IF($E$30&gt;='FORMULA REFS'!AX$1,$Y127,"")))</f>
        <v/>
      </c>
      <c r="BN249" s="1286" t="str">
        <f>IF($E$30="Enter Duration (wks)","",IF($Y127="Enter Hrs/Wk","",IF($E$30&gt;='FORMULA REFS'!AY$1,$Y127,"")))</f>
        <v/>
      </c>
      <c r="BO249" s="1286" t="str">
        <f>IF($E$30="Enter Duration (wks)","",IF($Y127="Enter Hrs/Wk","",IF($E$30&gt;='FORMULA REFS'!AZ$1,$Y127,"")))</f>
        <v/>
      </c>
      <c r="BP249" s="553"/>
      <c r="BQ249" s="553"/>
      <c r="BR249" s="553"/>
      <c r="BS249" s="553"/>
      <c r="BT249" s="553"/>
      <c r="BU249" s="553"/>
      <c r="BV249" s="553"/>
      <c r="BW249" s="553"/>
    </row>
    <row r="250" spans="3:75" hidden="1" outlineLevel="1" x14ac:dyDescent="0.25">
      <c r="C250" s="1291" t="str">
        <f t="shared" si="83"/>
        <v/>
      </c>
      <c r="D250" s="1319" t="str">
        <f t="shared" si="84"/>
        <v/>
      </c>
      <c r="E250" s="1326"/>
      <c r="F250" s="1327" t="str">
        <f>IF($E$30="Enter Duration (wks)","",IF($Y128="Enter Hrs/Wk","",IF($E$30&gt;='FORMULA REFS'!A$1,$Y128,"")))</f>
        <v/>
      </c>
      <c r="G250" s="1328"/>
      <c r="H250" s="1570"/>
      <c r="I250" s="1329" t="str">
        <f>IF($E$30="Enter Duration (wks)","",IF($Y128="Enter Hrs/Wk","",IF($E$30&gt;='FORMULA REFS'!B$1,$Y128,"")))</f>
        <v/>
      </c>
      <c r="J250" s="1323"/>
      <c r="K250" s="1286" t="str">
        <f>IF($E$30="Enter Duration (wks)","",IF($Y128="Enter Hrs/Wk","",IF($E$30&gt;='FORMULA REFS'!C$1,$Y128,"")))</f>
        <v/>
      </c>
      <c r="L250" s="882" t="str">
        <f>IF($E$30="Enter Duration (wks)","",IF($Y128="Enter Hrs/Wk","",IF($E$30&gt;='FORMULA REFS'!D$1,$Y128,"")))</f>
        <v/>
      </c>
      <c r="M250" s="882" t="str">
        <f>IF($E$30="Enter Duration (wks)","",IF($Y128="Enter Hrs/Wk","",IF($E$30&gt;='FORMULA REFS'!E$1,$Y128,"")))</f>
        <v/>
      </c>
      <c r="N250" s="882" t="str">
        <f>IF($E$30="Enter Duration (wks)","",IF($Y128="Enter Hrs/Wk","",IF($E$30&gt;='FORMULA REFS'!F$1,$Y128,"")))</f>
        <v/>
      </c>
      <c r="O250" s="882" t="str">
        <f>IF($E$30="Enter Duration (wks)","",IF($Y128="Enter Hrs/Wk","",IF($E$30&gt;='FORMULA REFS'!G$1,$Y128,"")))</f>
        <v/>
      </c>
      <c r="P250" s="882" t="str">
        <f>IF($E$30="Enter Duration (wks)","",IF($Y128="Enter Hrs/Wk","",IF($E$30&gt;='FORMULA REFS'!H$1,$Y128,"")))</f>
        <v/>
      </c>
      <c r="Q250" s="882" t="str">
        <f>IF($E$30="Enter Duration (wks)","",IF($Y128="Enter Hrs/Wk","",IF($E$30&gt;='FORMULA REFS'!I$1,$Y128,"")))</f>
        <v/>
      </c>
      <c r="R250" s="882" t="str">
        <f>IF($E$30="Enter Duration (wks)","",IF($Y128="Enter Hrs/Wk","",IF($E$30&gt;='FORMULA REFS'!J$1,$Y128,"")))</f>
        <v/>
      </c>
      <c r="S250" s="882" t="str">
        <f>IF($E$30="Enter Duration (wks)","",IF($Y128="Enter Hrs/Wk","",IF($E$30&gt;='FORMULA REFS'!K$1,$Y128,"")))</f>
        <v/>
      </c>
      <c r="T250" s="1323" t="str">
        <f>IF($E$30="Enter Duration (wks)","",IF($Y128="Enter Hrs/Wk","",IF($E$30&gt;='FORMULA REFS'!L$1,$Y128,"")))</f>
        <v/>
      </c>
      <c r="U250" s="882" t="str">
        <f>IF($E$30="Enter Duration (wks)","",IF($Y128="Enter Hrs/Wk","",IF($E$30&gt;='FORMULA REFS'!M$1,$Y128,"")))</f>
        <v/>
      </c>
      <c r="V250" s="882"/>
      <c r="W250" s="882"/>
      <c r="X250" s="1285"/>
      <c r="Y250" s="1285" t="str">
        <f>IF($E$30="Enter Duration (wks)","",IF($Y128="Enter Hrs/Wk","",IF($E$30&gt;='FORMULA REFS'!N$1,$Y128,"")))</f>
        <v/>
      </c>
      <c r="Z250" s="1343" t="str">
        <f>IF($E$30="Enter Duration (wks)","",IF($Y128="Enter Hrs/Wk","",IF($E$30&gt;='FORMULA REFS'!O$1,$Y128,"")))</f>
        <v/>
      </c>
      <c r="AA250" s="882" t="str">
        <f>IF($E$30="Enter Duration (wks)","",IF($Y128="Enter Hrs/Wk","",IF($E$30&gt;='FORMULA REFS'!P$1,$Y128,"")))</f>
        <v/>
      </c>
      <c r="AB250" s="882" t="str">
        <f>IF($E$30="Enter Duration (wks)","",IF($Y128="Enter Hrs/Wk","",IF($E$30&gt;='FORMULA REFS'!Q$1,$Y128,"")))</f>
        <v/>
      </c>
      <c r="AC250" s="882"/>
      <c r="AD250" s="882"/>
      <c r="AE250" s="882"/>
      <c r="AF250" s="882"/>
      <c r="AG250" s="1286" t="str">
        <f>IF($E$30="Enter Duration (wks)","",IF($Y128="Enter Hrs/Wk","",IF($E$30&gt;='FORMULA REFS'!R$1,$Y128,"")))</f>
        <v/>
      </c>
      <c r="AH250" s="1286" t="str">
        <f>IF($E$30="Enter Duration (wks)","",IF($Y128="Enter Hrs/Wk","",IF($E$30&gt;='FORMULA REFS'!S$1,$Y128,"")))</f>
        <v/>
      </c>
      <c r="AI250" s="1286" t="str">
        <f>IF($E$30="Enter Duration (wks)","",IF($Y128="Enter Hrs/Wk","",IF($E$30&gt;='FORMULA REFS'!T$1,$Y128,"")))</f>
        <v/>
      </c>
      <c r="AJ250" s="1286" t="str">
        <f>IF($E$30="Enter Duration (wks)","",IF($Y128="Enter Hrs/Wk","",IF($E$30&gt;='FORMULA REFS'!U$1,$Y128,"")))</f>
        <v/>
      </c>
      <c r="AK250" s="1286" t="str">
        <f>IF($E$30="Enter Duration (wks)","",IF($Y128="Enter Hrs/Wk","",IF($E$30&gt;='FORMULA REFS'!V$1,$Y128,"")))</f>
        <v/>
      </c>
      <c r="AL250" s="1286" t="str">
        <f>IF($E$30="Enter Duration (wks)","",IF($Y128="Enter Hrs/Wk","",IF($E$30&gt;='FORMULA REFS'!W$1,$Y128,"")))</f>
        <v/>
      </c>
      <c r="AM250" s="1286" t="str">
        <f>IF($E$30="Enter Duration (wks)","",IF($Y128="Enter Hrs/Wk","",IF($E$30&gt;='FORMULA REFS'!X$1,$Y128,"")))</f>
        <v/>
      </c>
      <c r="AN250" s="1286" t="str">
        <f>IF($E$30="Enter Duration (wks)","",IF($Y128="Enter Hrs/Wk","",IF($E$30&gt;='FORMULA REFS'!Y$1,$Y128,"")))</f>
        <v/>
      </c>
      <c r="AO250" s="1286" t="str">
        <f>IF($E$30="Enter Duration (wks)","",IF($Y128="Enter Hrs/Wk","",IF($E$30&gt;='FORMULA REFS'!Z$1,$Y128,"")))</f>
        <v/>
      </c>
      <c r="AP250" s="1286" t="str">
        <f>IF($E$30="Enter Duration (wks)","",IF($Y128="Enter Hrs/Wk","",IF($E$30&gt;='FORMULA REFS'!AA$1,$Y128,"")))</f>
        <v/>
      </c>
      <c r="AQ250" s="1286" t="str">
        <f>IF($E$30="Enter Duration (wks)","",IF($Y128="Enter Hrs/Wk","",IF($E$30&gt;='FORMULA REFS'!AB$1,$Y128,"")))</f>
        <v/>
      </c>
      <c r="AR250" s="1286" t="str">
        <f>IF($E$30="Enter Duration (wks)","",IF($Y128="Enter Hrs/Wk","",IF($E$30&gt;='FORMULA REFS'!AC$1,$Y128,"")))</f>
        <v/>
      </c>
      <c r="AS250" s="1286" t="str">
        <f>IF($E$30="Enter Duration (wks)","",IF($Y128="Enter Hrs/Wk","",IF($E$30&gt;='FORMULA REFS'!AD$1,$Y128,"")))</f>
        <v/>
      </c>
      <c r="AT250" s="1286" t="str">
        <f>IF($E$30="Enter Duration (wks)","",IF($Y128="Enter Hrs/Wk","",IF($E$30&gt;='FORMULA REFS'!AE$1,$Y128,"")))</f>
        <v/>
      </c>
      <c r="AU250" s="1286" t="str">
        <f>IF($E$30="Enter Duration (wks)","",IF($Y128="Enter Hrs/Wk","",IF($E$30&gt;='FORMULA REFS'!AF$1,$Y128,"")))</f>
        <v/>
      </c>
      <c r="AV250" s="1286" t="str">
        <f>IF($E$30="Enter Duration (wks)","",IF($Y128="Enter Hrs/Wk","",IF($E$30&gt;='FORMULA REFS'!AG$1,$Y128,"")))</f>
        <v/>
      </c>
      <c r="AW250" s="1286" t="str">
        <f>IF($E$30="Enter Duration (wks)","",IF($Y128="Enter Hrs/Wk","",IF($E$30&gt;='FORMULA REFS'!AH$1,$Y128,"")))</f>
        <v/>
      </c>
      <c r="AX250" s="1286" t="str">
        <f>IF($E$30="Enter Duration (wks)","",IF($Y128="Enter Hrs/Wk","",IF($E$30&gt;='FORMULA REFS'!AI$1,$Y128,"")))</f>
        <v/>
      </c>
      <c r="AY250" s="1286" t="str">
        <f>IF($E$30="Enter Duration (wks)","",IF($Y128="Enter Hrs/Wk","",IF($E$30&gt;='FORMULA REFS'!AJ$1,$Y128,"")))</f>
        <v/>
      </c>
      <c r="AZ250" s="1286" t="str">
        <f>IF($E$30="Enter Duration (wks)","",IF($Y128="Enter Hrs/Wk","",IF($E$30&gt;='FORMULA REFS'!AK$1,$Y128,"")))</f>
        <v/>
      </c>
      <c r="BA250" s="1286" t="str">
        <f>IF($E$30="Enter Duration (wks)","",IF($Y128="Enter Hrs/Wk","",IF($E$30&gt;='FORMULA REFS'!AL$1,$Y128,"")))</f>
        <v/>
      </c>
      <c r="BB250" s="1286" t="str">
        <f>IF($E$30="Enter Duration (wks)","",IF($Y128="Enter Hrs/Wk","",IF($E$30&gt;='FORMULA REFS'!AM$1,$Y128,"")))</f>
        <v/>
      </c>
      <c r="BC250" s="1286" t="str">
        <f>IF($E$30="Enter Duration (wks)","",IF($Y128="Enter Hrs/Wk","",IF($E$30&gt;='FORMULA REFS'!AN$1,$Y128,"")))</f>
        <v/>
      </c>
      <c r="BD250" s="1286" t="str">
        <f>IF($E$30="Enter Duration (wks)","",IF($Y128="Enter Hrs/Wk","",IF($E$30&gt;='FORMULA REFS'!AO$1,$Y128,"")))</f>
        <v/>
      </c>
      <c r="BE250" s="1286" t="str">
        <f>IF($E$30="Enter Duration (wks)","",IF($Y128="Enter Hrs/Wk","",IF($E$30&gt;='FORMULA REFS'!AP$1,$Y128,"")))</f>
        <v/>
      </c>
      <c r="BF250" s="1286" t="str">
        <f>IF($E$30="Enter Duration (wks)","",IF($Y128="Enter Hrs/Wk","",IF($E$30&gt;='FORMULA REFS'!AQ$1,$Y128,"")))</f>
        <v/>
      </c>
      <c r="BG250" s="1286" t="str">
        <f>IF($E$30="Enter Duration (wks)","",IF($Y128="Enter Hrs/Wk","",IF($E$30&gt;='FORMULA REFS'!AR$1,$Y128,"")))</f>
        <v/>
      </c>
      <c r="BH250" s="1286" t="str">
        <f>IF($E$30="Enter Duration (wks)","",IF($Y128="Enter Hrs/Wk","",IF($E$30&gt;='FORMULA REFS'!AS$1,$Y128,"")))</f>
        <v/>
      </c>
      <c r="BI250" s="1286" t="str">
        <f>IF($E$30="Enter Duration (wks)","",IF($Y128="Enter Hrs/Wk","",IF($E$30&gt;='FORMULA REFS'!AT$1,$Y128,"")))</f>
        <v/>
      </c>
      <c r="BJ250" s="1286" t="str">
        <f>IF($E$30="Enter Duration (wks)","",IF($Y128="Enter Hrs/Wk","",IF($E$30&gt;='FORMULA REFS'!AU$1,$Y128,"")))</f>
        <v/>
      </c>
      <c r="BK250" s="1286" t="str">
        <f>IF($E$30="Enter Duration (wks)","",IF($Y128="Enter Hrs/Wk","",IF($E$30&gt;='FORMULA REFS'!AV$1,$Y128,"")))</f>
        <v/>
      </c>
      <c r="BL250" s="1286" t="str">
        <f>IF($E$30="Enter Duration (wks)","",IF($Y128="Enter Hrs/Wk","",IF($E$30&gt;='FORMULA REFS'!AW$1,$Y128,"")))</f>
        <v/>
      </c>
      <c r="BM250" s="1286" t="str">
        <f>IF($E$30="Enter Duration (wks)","",IF($Y128="Enter Hrs/Wk","",IF($E$30&gt;='FORMULA REFS'!AX$1,$Y128,"")))</f>
        <v/>
      </c>
      <c r="BN250" s="1286" t="str">
        <f>IF($E$30="Enter Duration (wks)","",IF($Y128="Enter Hrs/Wk","",IF($E$30&gt;='FORMULA REFS'!AY$1,$Y128,"")))</f>
        <v/>
      </c>
      <c r="BO250" s="1286" t="str">
        <f>IF($E$30="Enter Duration (wks)","",IF($Y128="Enter Hrs/Wk","",IF($E$30&gt;='FORMULA REFS'!AZ$1,$Y128,"")))</f>
        <v/>
      </c>
      <c r="BP250" s="554"/>
      <c r="BQ250" s="554"/>
      <c r="BR250" s="554"/>
      <c r="BS250" s="554"/>
      <c r="BT250" s="554"/>
      <c r="BU250" s="554"/>
      <c r="BV250" s="554"/>
      <c r="BW250" s="554"/>
    </row>
    <row r="251" spans="3:75" hidden="1" outlineLevel="1" x14ac:dyDescent="0.25">
      <c r="C251" s="1291" t="str">
        <f t="shared" si="83"/>
        <v/>
      </c>
      <c r="D251" s="1319" t="str">
        <f t="shared" si="84"/>
        <v/>
      </c>
      <c r="E251" s="1326"/>
      <c r="F251" s="1327" t="str">
        <f>IF($E$30="Enter Duration (wks)","",IF($Y129="Enter Hrs/Wk","",IF($E$30&gt;='FORMULA REFS'!A$1,$Y129,"")))</f>
        <v/>
      </c>
      <c r="G251" s="1328"/>
      <c r="H251" s="1570"/>
      <c r="I251" s="1329" t="str">
        <f>IF($E$30="Enter Duration (wks)","",IF($Y129="Enter Hrs/Wk","",IF($E$30&gt;='FORMULA REFS'!B$1,$Y129,"")))</f>
        <v/>
      </c>
      <c r="J251" s="1323"/>
      <c r="K251" s="1286" t="str">
        <f>IF($E$30="Enter Duration (wks)","",IF($Y129="Enter Hrs/Wk","",IF($E$30&gt;='FORMULA REFS'!C$1,$Y129,"")))</f>
        <v/>
      </c>
      <c r="L251" s="882" t="str">
        <f>IF($E$30="Enter Duration (wks)","",IF($Y129="Enter Hrs/Wk","",IF($E$30&gt;='FORMULA REFS'!D$1,$Y129,"")))</f>
        <v/>
      </c>
      <c r="M251" s="882" t="str">
        <f>IF($E$30="Enter Duration (wks)","",IF($Y129="Enter Hrs/Wk","",IF($E$30&gt;='FORMULA REFS'!E$1,$Y129,"")))</f>
        <v/>
      </c>
      <c r="N251" s="882" t="str">
        <f>IF($E$30="Enter Duration (wks)","",IF($Y129="Enter Hrs/Wk","",IF($E$30&gt;='FORMULA REFS'!F$1,$Y129,"")))</f>
        <v/>
      </c>
      <c r="O251" s="882" t="str">
        <f>IF($E$30="Enter Duration (wks)","",IF($Y129="Enter Hrs/Wk","",IF($E$30&gt;='FORMULA REFS'!G$1,$Y129,"")))</f>
        <v/>
      </c>
      <c r="P251" s="882" t="str">
        <f>IF($E$30="Enter Duration (wks)","",IF($Y129="Enter Hrs/Wk","",IF($E$30&gt;='FORMULA REFS'!H$1,$Y129,"")))</f>
        <v/>
      </c>
      <c r="Q251" s="882" t="str">
        <f>IF($E$30="Enter Duration (wks)","",IF($Y129="Enter Hrs/Wk","",IF($E$30&gt;='FORMULA REFS'!I$1,$Y129,"")))</f>
        <v/>
      </c>
      <c r="R251" s="882" t="str">
        <f>IF($E$30="Enter Duration (wks)","",IF($Y129="Enter Hrs/Wk","",IF($E$30&gt;='FORMULA REFS'!J$1,$Y129,"")))</f>
        <v/>
      </c>
      <c r="S251" s="882" t="str">
        <f>IF($E$30="Enter Duration (wks)","",IF($Y129="Enter Hrs/Wk","",IF($E$30&gt;='FORMULA REFS'!K$1,$Y129,"")))</f>
        <v/>
      </c>
      <c r="T251" s="1323" t="str">
        <f>IF($E$30="Enter Duration (wks)","",IF($Y129="Enter Hrs/Wk","",IF($E$30&gt;='FORMULA REFS'!L$1,$Y129,"")))</f>
        <v/>
      </c>
      <c r="U251" s="882" t="str">
        <f>IF($E$30="Enter Duration (wks)","",IF($Y129="Enter Hrs/Wk","",IF($E$30&gt;='FORMULA REFS'!M$1,$Y129,"")))</f>
        <v/>
      </c>
      <c r="V251" s="882"/>
      <c r="W251" s="882"/>
      <c r="X251" s="1285"/>
      <c r="Y251" s="1285" t="str">
        <f>IF($E$30="Enter Duration (wks)","",IF($Y129="Enter Hrs/Wk","",IF($E$30&gt;='FORMULA REFS'!N$1,$Y129,"")))</f>
        <v/>
      </c>
      <c r="Z251" s="1343" t="str">
        <f>IF($E$30="Enter Duration (wks)","",IF($Y129="Enter Hrs/Wk","",IF($E$30&gt;='FORMULA REFS'!O$1,$Y129,"")))</f>
        <v/>
      </c>
      <c r="AA251" s="882" t="str">
        <f>IF($E$30="Enter Duration (wks)","",IF($Y129="Enter Hrs/Wk","",IF($E$30&gt;='FORMULA REFS'!P$1,$Y129,"")))</f>
        <v/>
      </c>
      <c r="AB251" s="882" t="str">
        <f>IF($E$30="Enter Duration (wks)","",IF($Y129="Enter Hrs/Wk","",IF($E$30&gt;='FORMULA REFS'!Q$1,$Y129,"")))</f>
        <v/>
      </c>
      <c r="AC251" s="882"/>
      <c r="AD251" s="882"/>
      <c r="AE251" s="882"/>
      <c r="AF251" s="882"/>
      <c r="AG251" s="1286" t="str">
        <f>IF($E$30="Enter Duration (wks)","",IF($Y129="Enter Hrs/Wk","",IF($E$30&gt;='FORMULA REFS'!R$1,$Y129,"")))</f>
        <v/>
      </c>
      <c r="AH251" s="1286" t="str">
        <f>IF($E$30="Enter Duration (wks)","",IF($Y129="Enter Hrs/Wk","",IF($E$30&gt;='FORMULA REFS'!S$1,$Y129,"")))</f>
        <v/>
      </c>
      <c r="AI251" s="1286" t="str">
        <f>IF($E$30="Enter Duration (wks)","",IF($Y129="Enter Hrs/Wk","",IF($E$30&gt;='FORMULA REFS'!T$1,$Y129,"")))</f>
        <v/>
      </c>
      <c r="AJ251" s="1286" t="str">
        <f>IF($E$30="Enter Duration (wks)","",IF($Y129="Enter Hrs/Wk","",IF($E$30&gt;='FORMULA REFS'!U$1,$Y129,"")))</f>
        <v/>
      </c>
      <c r="AK251" s="1286" t="str">
        <f>IF($E$30="Enter Duration (wks)","",IF($Y129="Enter Hrs/Wk","",IF($E$30&gt;='FORMULA REFS'!V$1,$Y129,"")))</f>
        <v/>
      </c>
      <c r="AL251" s="1286" t="str">
        <f>IF($E$30="Enter Duration (wks)","",IF($Y129="Enter Hrs/Wk","",IF($E$30&gt;='FORMULA REFS'!W$1,$Y129,"")))</f>
        <v/>
      </c>
      <c r="AM251" s="1286" t="str">
        <f>IF($E$30="Enter Duration (wks)","",IF($Y129="Enter Hrs/Wk","",IF($E$30&gt;='FORMULA REFS'!X$1,$Y129,"")))</f>
        <v/>
      </c>
      <c r="AN251" s="1286" t="str">
        <f>IF($E$30="Enter Duration (wks)","",IF($Y129="Enter Hrs/Wk","",IF($E$30&gt;='FORMULA REFS'!Y$1,$Y129,"")))</f>
        <v/>
      </c>
      <c r="AO251" s="1286" t="str">
        <f>IF($E$30="Enter Duration (wks)","",IF($Y129="Enter Hrs/Wk","",IF($E$30&gt;='FORMULA REFS'!Z$1,$Y129,"")))</f>
        <v/>
      </c>
      <c r="AP251" s="1286" t="str">
        <f>IF($E$30="Enter Duration (wks)","",IF($Y129="Enter Hrs/Wk","",IF($E$30&gt;='FORMULA REFS'!AA$1,$Y129,"")))</f>
        <v/>
      </c>
      <c r="AQ251" s="1286" t="str">
        <f>IF($E$30="Enter Duration (wks)","",IF($Y129="Enter Hrs/Wk","",IF($E$30&gt;='FORMULA REFS'!AB$1,$Y129,"")))</f>
        <v/>
      </c>
      <c r="AR251" s="1286" t="str">
        <f>IF($E$30="Enter Duration (wks)","",IF($Y129="Enter Hrs/Wk","",IF($E$30&gt;='FORMULA REFS'!AC$1,$Y129,"")))</f>
        <v/>
      </c>
      <c r="AS251" s="1286" t="str">
        <f>IF($E$30="Enter Duration (wks)","",IF($Y129="Enter Hrs/Wk","",IF($E$30&gt;='FORMULA REFS'!AD$1,$Y129,"")))</f>
        <v/>
      </c>
      <c r="AT251" s="1286" t="str">
        <f>IF($E$30="Enter Duration (wks)","",IF($Y129="Enter Hrs/Wk","",IF($E$30&gt;='FORMULA REFS'!AE$1,$Y129,"")))</f>
        <v/>
      </c>
      <c r="AU251" s="1286" t="str">
        <f>IF($E$30="Enter Duration (wks)","",IF($Y129="Enter Hrs/Wk","",IF($E$30&gt;='FORMULA REFS'!AF$1,$Y129,"")))</f>
        <v/>
      </c>
      <c r="AV251" s="1286" t="str">
        <f>IF($E$30="Enter Duration (wks)","",IF($Y129="Enter Hrs/Wk","",IF($E$30&gt;='FORMULA REFS'!AG$1,$Y129,"")))</f>
        <v/>
      </c>
      <c r="AW251" s="1286" t="str">
        <f>IF($E$30="Enter Duration (wks)","",IF($Y129="Enter Hrs/Wk","",IF($E$30&gt;='FORMULA REFS'!AH$1,$Y129,"")))</f>
        <v/>
      </c>
      <c r="AX251" s="1286" t="str">
        <f>IF($E$30="Enter Duration (wks)","",IF($Y129="Enter Hrs/Wk","",IF($E$30&gt;='FORMULA REFS'!AI$1,$Y129,"")))</f>
        <v/>
      </c>
      <c r="AY251" s="1286" t="str">
        <f>IF($E$30="Enter Duration (wks)","",IF($Y129="Enter Hrs/Wk","",IF($E$30&gt;='FORMULA REFS'!AJ$1,$Y129,"")))</f>
        <v/>
      </c>
      <c r="AZ251" s="1286" t="str">
        <f>IF($E$30="Enter Duration (wks)","",IF($Y129="Enter Hrs/Wk","",IF($E$30&gt;='FORMULA REFS'!AK$1,$Y129,"")))</f>
        <v/>
      </c>
      <c r="BA251" s="1286" t="str">
        <f>IF($E$30="Enter Duration (wks)","",IF($Y129="Enter Hrs/Wk","",IF($E$30&gt;='FORMULA REFS'!AL$1,$Y129,"")))</f>
        <v/>
      </c>
      <c r="BB251" s="1286" t="str">
        <f>IF($E$30="Enter Duration (wks)","",IF($Y129="Enter Hrs/Wk","",IF($E$30&gt;='FORMULA REFS'!AM$1,$Y129,"")))</f>
        <v/>
      </c>
      <c r="BC251" s="1286" t="str">
        <f>IF($E$30="Enter Duration (wks)","",IF($Y129="Enter Hrs/Wk","",IF($E$30&gt;='FORMULA REFS'!AN$1,$Y129,"")))</f>
        <v/>
      </c>
      <c r="BD251" s="1286" t="str">
        <f>IF($E$30="Enter Duration (wks)","",IF($Y129="Enter Hrs/Wk","",IF($E$30&gt;='FORMULA REFS'!AO$1,$Y129,"")))</f>
        <v/>
      </c>
      <c r="BE251" s="1286" t="str">
        <f>IF($E$30="Enter Duration (wks)","",IF($Y129="Enter Hrs/Wk","",IF($E$30&gt;='FORMULA REFS'!AP$1,$Y129,"")))</f>
        <v/>
      </c>
      <c r="BF251" s="1286" t="str">
        <f>IF($E$30="Enter Duration (wks)","",IF($Y129="Enter Hrs/Wk","",IF($E$30&gt;='FORMULA REFS'!AQ$1,$Y129,"")))</f>
        <v/>
      </c>
      <c r="BG251" s="1286" t="str">
        <f>IF($E$30="Enter Duration (wks)","",IF($Y129="Enter Hrs/Wk","",IF($E$30&gt;='FORMULA REFS'!AR$1,$Y129,"")))</f>
        <v/>
      </c>
      <c r="BH251" s="1286" t="str">
        <f>IF($E$30="Enter Duration (wks)","",IF($Y129="Enter Hrs/Wk","",IF($E$30&gt;='FORMULA REFS'!AS$1,$Y129,"")))</f>
        <v/>
      </c>
      <c r="BI251" s="1286" t="str">
        <f>IF($E$30="Enter Duration (wks)","",IF($Y129="Enter Hrs/Wk","",IF($E$30&gt;='FORMULA REFS'!AT$1,$Y129,"")))</f>
        <v/>
      </c>
      <c r="BJ251" s="1286" t="str">
        <f>IF($E$30="Enter Duration (wks)","",IF($Y129="Enter Hrs/Wk","",IF($E$30&gt;='FORMULA REFS'!AU$1,$Y129,"")))</f>
        <v/>
      </c>
      <c r="BK251" s="1286" t="str">
        <f>IF($E$30="Enter Duration (wks)","",IF($Y129="Enter Hrs/Wk","",IF($E$30&gt;='FORMULA REFS'!AV$1,$Y129,"")))</f>
        <v/>
      </c>
      <c r="BL251" s="1286" t="str">
        <f>IF($E$30="Enter Duration (wks)","",IF($Y129="Enter Hrs/Wk","",IF($E$30&gt;='FORMULA REFS'!AW$1,$Y129,"")))</f>
        <v/>
      </c>
      <c r="BM251" s="1286" t="str">
        <f>IF($E$30="Enter Duration (wks)","",IF($Y129="Enter Hrs/Wk","",IF($E$30&gt;='FORMULA REFS'!AX$1,$Y129,"")))</f>
        <v/>
      </c>
      <c r="BN251" s="1286" t="str">
        <f>IF($E$30="Enter Duration (wks)","",IF($Y129="Enter Hrs/Wk","",IF($E$30&gt;='FORMULA REFS'!AY$1,$Y129,"")))</f>
        <v/>
      </c>
      <c r="BO251" s="1286" t="str">
        <f>IF($E$30="Enter Duration (wks)","",IF($Y129="Enter Hrs/Wk","",IF($E$30&gt;='FORMULA REFS'!AZ$1,$Y129,"")))</f>
        <v/>
      </c>
      <c r="BP251" s="439"/>
      <c r="BQ251" s="439"/>
      <c r="BR251" s="439"/>
      <c r="BS251" s="439"/>
      <c r="BT251" s="439"/>
      <c r="BU251" s="439"/>
      <c r="BV251" s="439"/>
      <c r="BW251" s="439"/>
    </row>
    <row r="252" spans="3:75" hidden="1" outlineLevel="1" x14ac:dyDescent="0.25">
      <c r="C252" s="1291" t="str">
        <f t="shared" si="83"/>
        <v/>
      </c>
      <c r="D252" s="1319" t="str">
        <f t="shared" si="84"/>
        <v/>
      </c>
      <c r="E252" s="1326"/>
      <c r="F252" s="1327" t="str">
        <f>IF($E$30="Enter Duration (wks)","",IF($Y130="Enter Hrs/Wk","",IF($E$30&gt;='FORMULA REFS'!A$1,$Y130,"")))</f>
        <v/>
      </c>
      <c r="G252" s="1328"/>
      <c r="H252" s="1570"/>
      <c r="I252" s="1329" t="str">
        <f>IF($E$30="Enter Duration (wks)","",IF($Y130="Enter Hrs/Wk","",IF($E$30&gt;='FORMULA REFS'!B$1,$Y130,"")))</f>
        <v/>
      </c>
      <c r="J252" s="1323"/>
      <c r="K252" s="1286" t="str">
        <f>IF($E$30="Enter Duration (wks)","",IF($Y130="Enter Hrs/Wk","",IF($E$30&gt;='FORMULA REFS'!C$1,$Y130,"")))</f>
        <v/>
      </c>
      <c r="L252" s="882" t="str">
        <f>IF($E$30="Enter Duration (wks)","",IF($Y130="Enter Hrs/Wk","",IF($E$30&gt;='FORMULA REFS'!D$1,$Y130,"")))</f>
        <v/>
      </c>
      <c r="M252" s="882" t="str">
        <f>IF($E$30="Enter Duration (wks)","",IF($Y130="Enter Hrs/Wk","",IF($E$30&gt;='FORMULA REFS'!E$1,$Y130,"")))</f>
        <v/>
      </c>
      <c r="N252" s="882" t="str">
        <f>IF($E$30="Enter Duration (wks)","",IF($Y130="Enter Hrs/Wk","",IF($E$30&gt;='FORMULA REFS'!F$1,$Y130,"")))</f>
        <v/>
      </c>
      <c r="O252" s="882" t="str">
        <f>IF($E$30="Enter Duration (wks)","",IF($Y130="Enter Hrs/Wk","",IF($E$30&gt;='FORMULA REFS'!G$1,$Y130,"")))</f>
        <v/>
      </c>
      <c r="P252" s="882" t="str">
        <f>IF($E$30="Enter Duration (wks)","",IF($Y130="Enter Hrs/Wk","",IF($E$30&gt;='FORMULA REFS'!H$1,$Y130,"")))</f>
        <v/>
      </c>
      <c r="Q252" s="882" t="str">
        <f>IF($E$30="Enter Duration (wks)","",IF($Y130="Enter Hrs/Wk","",IF($E$30&gt;='FORMULA REFS'!I$1,$Y130,"")))</f>
        <v/>
      </c>
      <c r="R252" s="882" t="str">
        <f>IF($E$30="Enter Duration (wks)","",IF($Y130="Enter Hrs/Wk","",IF($E$30&gt;='FORMULA REFS'!J$1,$Y130,"")))</f>
        <v/>
      </c>
      <c r="S252" s="882" t="str">
        <f>IF($E$30="Enter Duration (wks)","",IF($Y130="Enter Hrs/Wk","",IF($E$30&gt;='FORMULA REFS'!K$1,$Y130,"")))</f>
        <v/>
      </c>
      <c r="T252" s="1323" t="str">
        <f>IF($E$30="Enter Duration (wks)","",IF($Y130="Enter Hrs/Wk","",IF($E$30&gt;='FORMULA REFS'!L$1,$Y130,"")))</f>
        <v/>
      </c>
      <c r="U252" s="882" t="str">
        <f>IF($E$30="Enter Duration (wks)","",IF($Y130="Enter Hrs/Wk","",IF($E$30&gt;='FORMULA REFS'!M$1,$Y130,"")))</f>
        <v/>
      </c>
      <c r="V252" s="882"/>
      <c r="W252" s="882"/>
      <c r="X252" s="1285"/>
      <c r="Y252" s="1285" t="str">
        <f>IF($E$30="Enter Duration (wks)","",IF($Y130="Enter Hrs/Wk","",IF($E$30&gt;='FORMULA REFS'!N$1,$Y130,"")))</f>
        <v/>
      </c>
      <c r="Z252" s="1343" t="str">
        <f>IF($E$30="Enter Duration (wks)","",IF($Y130="Enter Hrs/Wk","",IF($E$30&gt;='FORMULA REFS'!O$1,$Y130,"")))</f>
        <v/>
      </c>
      <c r="AA252" s="882" t="str">
        <f>IF($E$30="Enter Duration (wks)","",IF($Y130="Enter Hrs/Wk","",IF($E$30&gt;='FORMULA REFS'!P$1,$Y130,"")))</f>
        <v/>
      </c>
      <c r="AB252" s="882" t="str">
        <f>IF($E$30="Enter Duration (wks)","",IF($Y130="Enter Hrs/Wk","",IF($E$30&gt;='FORMULA REFS'!Q$1,$Y130,"")))</f>
        <v/>
      </c>
      <c r="AC252" s="882"/>
      <c r="AD252" s="882"/>
      <c r="AE252" s="882"/>
      <c r="AF252" s="882"/>
      <c r="AG252" s="1286" t="str">
        <f>IF($E$30="Enter Duration (wks)","",IF($Y130="Enter Hrs/Wk","",IF($E$30&gt;='FORMULA REFS'!R$1,$Y130,"")))</f>
        <v/>
      </c>
      <c r="AH252" s="1286" t="str">
        <f>IF($E$30="Enter Duration (wks)","",IF($Y130="Enter Hrs/Wk","",IF($E$30&gt;='FORMULA REFS'!S$1,$Y130,"")))</f>
        <v/>
      </c>
      <c r="AI252" s="1286" t="str">
        <f>IF($E$30="Enter Duration (wks)","",IF($Y130="Enter Hrs/Wk","",IF($E$30&gt;='FORMULA REFS'!T$1,$Y130,"")))</f>
        <v/>
      </c>
      <c r="AJ252" s="1286" t="str">
        <f>IF($E$30="Enter Duration (wks)","",IF($Y130="Enter Hrs/Wk","",IF($E$30&gt;='FORMULA REFS'!U$1,$Y130,"")))</f>
        <v/>
      </c>
      <c r="AK252" s="1286" t="str">
        <f>IF($E$30="Enter Duration (wks)","",IF($Y130="Enter Hrs/Wk","",IF($E$30&gt;='FORMULA REFS'!V$1,$Y130,"")))</f>
        <v/>
      </c>
      <c r="AL252" s="1286" t="str">
        <f>IF($E$30="Enter Duration (wks)","",IF($Y130="Enter Hrs/Wk","",IF($E$30&gt;='FORMULA REFS'!W$1,$Y130,"")))</f>
        <v/>
      </c>
      <c r="AM252" s="1286" t="str">
        <f>IF($E$30="Enter Duration (wks)","",IF($Y130="Enter Hrs/Wk","",IF($E$30&gt;='FORMULA REFS'!X$1,$Y130,"")))</f>
        <v/>
      </c>
      <c r="AN252" s="1286" t="str">
        <f>IF($E$30="Enter Duration (wks)","",IF($Y130="Enter Hrs/Wk","",IF($E$30&gt;='FORMULA REFS'!Y$1,$Y130,"")))</f>
        <v/>
      </c>
      <c r="AO252" s="1286" t="str">
        <f>IF($E$30="Enter Duration (wks)","",IF($Y130="Enter Hrs/Wk","",IF($E$30&gt;='FORMULA REFS'!Z$1,$Y130,"")))</f>
        <v/>
      </c>
      <c r="AP252" s="1286" t="str">
        <f>IF($E$30="Enter Duration (wks)","",IF($Y130="Enter Hrs/Wk","",IF($E$30&gt;='FORMULA REFS'!AA$1,$Y130,"")))</f>
        <v/>
      </c>
      <c r="AQ252" s="1286" t="str">
        <f>IF($E$30="Enter Duration (wks)","",IF($Y130="Enter Hrs/Wk","",IF($E$30&gt;='FORMULA REFS'!AB$1,$Y130,"")))</f>
        <v/>
      </c>
      <c r="AR252" s="1286" t="str">
        <f>IF($E$30="Enter Duration (wks)","",IF($Y130="Enter Hrs/Wk","",IF($E$30&gt;='FORMULA REFS'!AC$1,$Y130,"")))</f>
        <v/>
      </c>
      <c r="AS252" s="1286" t="str">
        <f>IF($E$30="Enter Duration (wks)","",IF($Y130="Enter Hrs/Wk","",IF($E$30&gt;='FORMULA REFS'!AD$1,$Y130,"")))</f>
        <v/>
      </c>
      <c r="AT252" s="1286" t="str">
        <f>IF($E$30="Enter Duration (wks)","",IF($Y130="Enter Hrs/Wk","",IF($E$30&gt;='FORMULA REFS'!AE$1,$Y130,"")))</f>
        <v/>
      </c>
      <c r="AU252" s="1286" t="str">
        <f>IF($E$30="Enter Duration (wks)","",IF($Y130="Enter Hrs/Wk","",IF($E$30&gt;='FORMULA REFS'!AF$1,$Y130,"")))</f>
        <v/>
      </c>
      <c r="AV252" s="1286" t="str">
        <f>IF($E$30="Enter Duration (wks)","",IF($Y130="Enter Hrs/Wk","",IF($E$30&gt;='FORMULA REFS'!AG$1,$Y130,"")))</f>
        <v/>
      </c>
      <c r="AW252" s="1286" t="str">
        <f>IF($E$30="Enter Duration (wks)","",IF($Y130="Enter Hrs/Wk","",IF($E$30&gt;='FORMULA REFS'!AH$1,$Y130,"")))</f>
        <v/>
      </c>
      <c r="AX252" s="1286" t="str">
        <f>IF($E$30="Enter Duration (wks)","",IF($Y130="Enter Hrs/Wk","",IF($E$30&gt;='FORMULA REFS'!AI$1,$Y130,"")))</f>
        <v/>
      </c>
      <c r="AY252" s="1286" t="str">
        <f>IF($E$30="Enter Duration (wks)","",IF($Y130="Enter Hrs/Wk","",IF($E$30&gt;='FORMULA REFS'!AJ$1,$Y130,"")))</f>
        <v/>
      </c>
      <c r="AZ252" s="1286" t="str">
        <f>IF($E$30="Enter Duration (wks)","",IF($Y130="Enter Hrs/Wk","",IF($E$30&gt;='FORMULA REFS'!AK$1,$Y130,"")))</f>
        <v/>
      </c>
      <c r="BA252" s="1286" t="str">
        <f>IF($E$30="Enter Duration (wks)","",IF($Y130="Enter Hrs/Wk","",IF($E$30&gt;='FORMULA REFS'!AL$1,$Y130,"")))</f>
        <v/>
      </c>
      <c r="BB252" s="1286" t="str">
        <f>IF($E$30="Enter Duration (wks)","",IF($Y130="Enter Hrs/Wk","",IF($E$30&gt;='FORMULA REFS'!AM$1,$Y130,"")))</f>
        <v/>
      </c>
      <c r="BC252" s="1286" t="str">
        <f>IF($E$30="Enter Duration (wks)","",IF($Y130="Enter Hrs/Wk","",IF($E$30&gt;='FORMULA REFS'!AN$1,$Y130,"")))</f>
        <v/>
      </c>
      <c r="BD252" s="1286" t="str">
        <f>IF($E$30="Enter Duration (wks)","",IF($Y130="Enter Hrs/Wk","",IF($E$30&gt;='FORMULA REFS'!AO$1,$Y130,"")))</f>
        <v/>
      </c>
      <c r="BE252" s="1286" t="str">
        <f>IF($E$30="Enter Duration (wks)","",IF($Y130="Enter Hrs/Wk","",IF($E$30&gt;='FORMULA REFS'!AP$1,$Y130,"")))</f>
        <v/>
      </c>
      <c r="BF252" s="1286" t="str">
        <f>IF($E$30="Enter Duration (wks)","",IF($Y130="Enter Hrs/Wk","",IF($E$30&gt;='FORMULA REFS'!AQ$1,$Y130,"")))</f>
        <v/>
      </c>
      <c r="BG252" s="1286" t="str">
        <f>IF($E$30="Enter Duration (wks)","",IF($Y130="Enter Hrs/Wk","",IF($E$30&gt;='FORMULA REFS'!AR$1,$Y130,"")))</f>
        <v/>
      </c>
      <c r="BH252" s="1286" t="str">
        <f>IF($E$30="Enter Duration (wks)","",IF($Y130="Enter Hrs/Wk","",IF($E$30&gt;='FORMULA REFS'!AS$1,$Y130,"")))</f>
        <v/>
      </c>
      <c r="BI252" s="1286" t="str">
        <f>IF($E$30="Enter Duration (wks)","",IF($Y130="Enter Hrs/Wk","",IF($E$30&gt;='FORMULA REFS'!AT$1,$Y130,"")))</f>
        <v/>
      </c>
      <c r="BJ252" s="1286" t="str">
        <f>IF($E$30="Enter Duration (wks)","",IF($Y130="Enter Hrs/Wk","",IF($E$30&gt;='FORMULA REFS'!AU$1,$Y130,"")))</f>
        <v/>
      </c>
      <c r="BK252" s="1286" t="str">
        <f>IF($E$30="Enter Duration (wks)","",IF($Y130="Enter Hrs/Wk","",IF($E$30&gt;='FORMULA REFS'!AV$1,$Y130,"")))</f>
        <v/>
      </c>
      <c r="BL252" s="1286" t="str">
        <f>IF($E$30="Enter Duration (wks)","",IF($Y130="Enter Hrs/Wk","",IF($E$30&gt;='FORMULA REFS'!AW$1,$Y130,"")))</f>
        <v/>
      </c>
      <c r="BM252" s="1286" t="str">
        <f>IF($E$30="Enter Duration (wks)","",IF($Y130="Enter Hrs/Wk","",IF($E$30&gt;='FORMULA REFS'!AX$1,$Y130,"")))</f>
        <v/>
      </c>
      <c r="BN252" s="1286" t="str">
        <f>IF($E$30="Enter Duration (wks)","",IF($Y130="Enter Hrs/Wk","",IF($E$30&gt;='FORMULA REFS'!AY$1,$Y130,"")))</f>
        <v/>
      </c>
      <c r="BO252" s="1286" t="str">
        <f>IF($E$30="Enter Duration (wks)","",IF($Y130="Enter Hrs/Wk","",IF($E$30&gt;='FORMULA REFS'!AZ$1,$Y130,"")))</f>
        <v/>
      </c>
      <c r="BP252" s="439"/>
      <c r="BQ252" s="439"/>
      <c r="BR252" s="439"/>
      <c r="BS252" s="439"/>
      <c r="BT252" s="439"/>
      <c r="BU252" s="439"/>
      <c r="BV252" s="439"/>
      <c r="BW252" s="439"/>
    </row>
    <row r="253" spans="3:75" hidden="1" outlineLevel="1" x14ac:dyDescent="0.25">
      <c r="C253" s="1291" t="str">
        <f t="shared" si="83"/>
        <v/>
      </c>
      <c r="D253" s="1319" t="str">
        <f t="shared" si="84"/>
        <v/>
      </c>
      <c r="E253" s="1326"/>
      <c r="F253" s="1327" t="str">
        <f>IF($E$30="Enter Duration (wks)","",IF($Y131="Enter Hrs/Wk","",IF($E$30&gt;='FORMULA REFS'!A$1,$Y131,"")))</f>
        <v/>
      </c>
      <c r="G253" s="1328"/>
      <c r="H253" s="1570"/>
      <c r="I253" s="1329" t="str">
        <f>IF($E$30="Enter Duration (wks)","",IF($Y131="Enter Hrs/Wk","",IF($E$30&gt;='FORMULA REFS'!B$1,$Y131,"")))</f>
        <v/>
      </c>
      <c r="J253" s="1323"/>
      <c r="K253" s="1286" t="str">
        <f>IF($E$30="Enter Duration (wks)","",IF($Y131="Enter Hrs/Wk","",IF($E$30&gt;='FORMULA REFS'!C$1,$Y131,"")))</f>
        <v/>
      </c>
      <c r="L253" s="882" t="str">
        <f>IF($E$30="Enter Duration (wks)","",IF($Y131="Enter Hrs/Wk","",IF($E$30&gt;='FORMULA REFS'!D$1,$Y131,"")))</f>
        <v/>
      </c>
      <c r="M253" s="882" t="str">
        <f>IF($E$30="Enter Duration (wks)","",IF($Y131="Enter Hrs/Wk","",IF($E$30&gt;='FORMULA REFS'!E$1,$Y131,"")))</f>
        <v/>
      </c>
      <c r="N253" s="882" t="str">
        <f>IF($E$30="Enter Duration (wks)","",IF($Y131="Enter Hrs/Wk","",IF($E$30&gt;='FORMULA REFS'!F$1,$Y131,"")))</f>
        <v/>
      </c>
      <c r="O253" s="882" t="str">
        <f>IF($E$30="Enter Duration (wks)","",IF($Y131="Enter Hrs/Wk","",IF($E$30&gt;='FORMULA REFS'!G$1,$Y131,"")))</f>
        <v/>
      </c>
      <c r="P253" s="882" t="str">
        <f>IF($E$30="Enter Duration (wks)","",IF($Y131="Enter Hrs/Wk","",IF($E$30&gt;='FORMULA REFS'!H$1,$Y131,"")))</f>
        <v/>
      </c>
      <c r="Q253" s="882" t="str">
        <f>IF($E$30="Enter Duration (wks)","",IF($Y131="Enter Hrs/Wk","",IF($E$30&gt;='FORMULA REFS'!I$1,$Y131,"")))</f>
        <v/>
      </c>
      <c r="R253" s="882" t="str">
        <f>IF($E$30="Enter Duration (wks)","",IF($Y131="Enter Hrs/Wk","",IF($E$30&gt;='FORMULA REFS'!J$1,$Y131,"")))</f>
        <v/>
      </c>
      <c r="S253" s="882" t="str">
        <f>IF($E$30="Enter Duration (wks)","",IF($Y131="Enter Hrs/Wk","",IF($E$30&gt;='FORMULA REFS'!K$1,$Y131,"")))</f>
        <v/>
      </c>
      <c r="T253" s="1323" t="str">
        <f>IF($E$30="Enter Duration (wks)","",IF($Y131="Enter Hrs/Wk","",IF($E$30&gt;='FORMULA REFS'!L$1,$Y131,"")))</f>
        <v/>
      </c>
      <c r="U253" s="882" t="str">
        <f>IF($E$30="Enter Duration (wks)","",IF($Y131="Enter Hrs/Wk","",IF($E$30&gt;='FORMULA REFS'!M$1,$Y131,"")))</f>
        <v/>
      </c>
      <c r="V253" s="882"/>
      <c r="W253" s="882"/>
      <c r="X253" s="1285"/>
      <c r="Y253" s="1285" t="str">
        <f>IF($E$30="Enter Duration (wks)","",IF($Y131="Enter Hrs/Wk","",IF($E$30&gt;='FORMULA REFS'!N$1,$Y131,"")))</f>
        <v/>
      </c>
      <c r="Z253" s="1343" t="str">
        <f>IF($E$30="Enter Duration (wks)","",IF($Y131="Enter Hrs/Wk","",IF($E$30&gt;='FORMULA REFS'!O$1,$Y131,"")))</f>
        <v/>
      </c>
      <c r="AA253" s="882" t="str">
        <f>IF($E$30="Enter Duration (wks)","",IF($Y131="Enter Hrs/Wk","",IF($E$30&gt;='FORMULA REFS'!P$1,$Y131,"")))</f>
        <v/>
      </c>
      <c r="AB253" s="882" t="str">
        <f>IF($E$30="Enter Duration (wks)","",IF($Y131="Enter Hrs/Wk","",IF($E$30&gt;='FORMULA REFS'!Q$1,$Y131,"")))</f>
        <v/>
      </c>
      <c r="AC253" s="882"/>
      <c r="AD253" s="882"/>
      <c r="AE253" s="882"/>
      <c r="AF253" s="882"/>
      <c r="AG253" s="1286" t="str">
        <f>IF($E$30="Enter Duration (wks)","",IF($Y131="Enter Hrs/Wk","",IF($E$30&gt;='FORMULA REFS'!R$1,$Y131,"")))</f>
        <v/>
      </c>
      <c r="AH253" s="1286" t="str">
        <f>IF($E$30="Enter Duration (wks)","",IF($Y131="Enter Hrs/Wk","",IF($E$30&gt;='FORMULA REFS'!S$1,$Y131,"")))</f>
        <v/>
      </c>
      <c r="AI253" s="1286" t="str">
        <f>IF($E$30="Enter Duration (wks)","",IF($Y131="Enter Hrs/Wk","",IF($E$30&gt;='FORMULA REFS'!T$1,$Y131,"")))</f>
        <v/>
      </c>
      <c r="AJ253" s="1286" t="str">
        <f>IF($E$30="Enter Duration (wks)","",IF($Y131="Enter Hrs/Wk","",IF($E$30&gt;='FORMULA REFS'!U$1,$Y131,"")))</f>
        <v/>
      </c>
      <c r="AK253" s="1286" t="str">
        <f>IF($E$30="Enter Duration (wks)","",IF($Y131="Enter Hrs/Wk","",IF($E$30&gt;='FORMULA REFS'!V$1,$Y131,"")))</f>
        <v/>
      </c>
      <c r="AL253" s="1286" t="str">
        <f>IF($E$30="Enter Duration (wks)","",IF($Y131="Enter Hrs/Wk","",IF($E$30&gt;='FORMULA REFS'!W$1,$Y131,"")))</f>
        <v/>
      </c>
      <c r="AM253" s="1286" t="str">
        <f>IF($E$30="Enter Duration (wks)","",IF($Y131="Enter Hrs/Wk","",IF($E$30&gt;='FORMULA REFS'!X$1,$Y131,"")))</f>
        <v/>
      </c>
      <c r="AN253" s="1286" t="str">
        <f>IF($E$30="Enter Duration (wks)","",IF($Y131="Enter Hrs/Wk","",IF($E$30&gt;='FORMULA REFS'!Y$1,$Y131,"")))</f>
        <v/>
      </c>
      <c r="AO253" s="1286" t="str">
        <f>IF($E$30="Enter Duration (wks)","",IF($Y131="Enter Hrs/Wk","",IF($E$30&gt;='FORMULA REFS'!Z$1,$Y131,"")))</f>
        <v/>
      </c>
      <c r="AP253" s="1286" t="str">
        <f>IF($E$30="Enter Duration (wks)","",IF($Y131="Enter Hrs/Wk","",IF($E$30&gt;='FORMULA REFS'!AA$1,$Y131,"")))</f>
        <v/>
      </c>
      <c r="AQ253" s="1286" t="str">
        <f>IF($E$30="Enter Duration (wks)","",IF($Y131="Enter Hrs/Wk","",IF($E$30&gt;='FORMULA REFS'!AB$1,$Y131,"")))</f>
        <v/>
      </c>
      <c r="AR253" s="1286" t="str">
        <f>IF($E$30="Enter Duration (wks)","",IF($Y131="Enter Hrs/Wk","",IF($E$30&gt;='FORMULA REFS'!AC$1,$Y131,"")))</f>
        <v/>
      </c>
      <c r="AS253" s="1286" t="str">
        <f>IF($E$30="Enter Duration (wks)","",IF($Y131="Enter Hrs/Wk","",IF($E$30&gt;='FORMULA REFS'!AD$1,$Y131,"")))</f>
        <v/>
      </c>
      <c r="AT253" s="1286" t="str">
        <f>IF($E$30="Enter Duration (wks)","",IF($Y131="Enter Hrs/Wk","",IF($E$30&gt;='FORMULA REFS'!AE$1,$Y131,"")))</f>
        <v/>
      </c>
      <c r="AU253" s="1286" t="str">
        <f>IF($E$30="Enter Duration (wks)","",IF($Y131="Enter Hrs/Wk","",IF($E$30&gt;='FORMULA REFS'!AF$1,$Y131,"")))</f>
        <v/>
      </c>
      <c r="AV253" s="1286" t="str">
        <f>IF($E$30="Enter Duration (wks)","",IF($Y131="Enter Hrs/Wk","",IF($E$30&gt;='FORMULA REFS'!AG$1,$Y131,"")))</f>
        <v/>
      </c>
      <c r="AW253" s="1286" t="str">
        <f>IF($E$30="Enter Duration (wks)","",IF($Y131="Enter Hrs/Wk","",IF($E$30&gt;='FORMULA REFS'!AH$1,$Y131,"")))</f>
        <v/>
      </c>
      <c r="AX253" s="1286" t="str">
        <f>IF($E$30="Enter Duration (wks)","",IF($Y131="Enter Hrs/Wk","",IF($E$30&gt;='FORMULA REFS'!AI$1,$Y131,"")))</f>
        <v/>
      </c>
      <c r="AY253" s="1286" t="str">
        <f>IF($E$30="Enter Duration (wks)","",IF($Y131="Enter Hrs/Wk","",IF($E$30&gt;='FORMULA REFS'!AJ$1,$Y131,"")))</f>
        <v/>
      </c>
      <c r="AZ253" s="1286" t="str">
        <f>IF($E$30="Enter Duration (wks)","",IF($Y131="Enter Hrs/Wk","",IF($E$30&gt;='FORMULA REFS'!AK$1,$Y131,"")))</f>
        <v/>
      </c>
      <c r="BA253" s="1286" t="str">
        <f>IF($E$30="Enter Duration (wks)","",IF($Y131="Enter Hrs/Wk","",IF($E$30&gt;='FORMULA REFS'!AL$1,$Y131,"")))</f>
        <v/>
      </c>
      <c r="BB253" s="1286" t="str">
        <f>IF($E$30="Enter Duration (wks)","",IF($Y131="Enter Hrs/Wk","",IF($E$30&gt;='FORMULA REFS'!AM$1,$Y131,"")))</f>
        <v/>
      </c>
      <c r="BC253" s="1286" t="str">
        <f>IF($E$30="Enter Duration (wks)","",IF($Y131="Enter Hrs/Wk","",IF($E$30&gt;='FORMULA REFS'!AN$1,$Y131,"")))</f>
        <v/>
      </c>
      <c r="BD253" s="1286" t="str">
        <f>IF($E$30="Enter Duration (wks)","",IF($Y131="Enter Hrs/Wk","",IF($E$30&gt;='FORMULA REFS'!AO$1,$Y131,"")))</f>
        <v/>
      </c>
      <c r="BE253" s="1286" t="str">
        <f>IF($E$30="Enter Duration (wks)","",IF($Y131="Enter Hrs/Wk","",IF($E$30&gt;='FORMULA REFS'!AP$1,$Y131,"")))</f>
        <v/>
      </c>
      <c r="BF253" s="1286" t="str">
        <f>IF($E$30="Enter Duration (wks)","",IF($Y131="Enter Hrs/Wk","",IF($E$30&gt;='FORMULA REFS'!AQ$1,$Y131,"")))</f>
        <v/>
      </c>
      <c r="BG253" s="1286" t="str">
        <f>IF($E$30="Enter Duration (wks)","",IF($Y131="Enter Hrs/Wk","",IF($E$30&gt;='FORMULA REFS'!AR$1,$Y131,"")))</f>
        <v/>
      </c>
      <c r="BH253" s="1286" t="str">
        <f>IF($E$30="Enter Duration (wks)","",IF($Y131="Enter Hrs/Wk","",IF($E$30&gt;='FORMULA REFS'!AS$1,$Y131,"")))</f>
        <v/>
      </c>
      <c r="BI253" s="1286" t="str">
        <f>IF($E$30="Enter Duration (wks)","",IF($Y131="Enter Hrs/Wk","",IF($E$30&gt;='FORMULA REFS'!AT$1,$Y131,"")))</f>
        <v/>
      </c>
      <c r="BJ253" s="1286" t="str">
        <f>IF($E$30="Enter Duration (wks)","",IF($Y131="Enter Hrs/Wk","",IF($E$30&gt;='FORMULA REFS'!AU$1,$Y131,"")))</f>
        <v/>
      </c>
      <c r="BK253" s="1286" t="str">
        <f>IF($E$30="Enter Duration (wks)","",IF($Y131="Enter Hrs/Wk","",IF($E$30&gt;='FORMULA REFS'!AV$1,$Y131,"")))</f>
        <v/>
      </c>
      <c r="BL253" s="1286" t="str">
        <f>IF($E$30="Enter Duration (wks)","",IF($Y131="Enter Hrs/Wk","",IF($E$30&gt;='FORMULA REFS'!AW$1,$Y131,"")))</f>
        <v/>
      </c>
      <c r="BM253" s="1286" t="str">
        <f>IF($E$30="Enter Duration (wks)","",IF($Y131="Enter Hrs/Wk","",IF($E$30&gt;='FORMULA REFS'!AX$1,$Y131,"")))</f>
        <v/>
      </c>
      <c r="BN253" s="1286" t="str">
        <f>IF($E$30="Enter Duration (wks)","",IF($Y131="Enter Hrs/Wk","",IF($E$30&gt;='FORMULA REFS'!AY$1,$Y131,"")))</f>
        <v/>
      </c>
      <c r="BO253" s="1286" t="str">
        <f>IF($E$30="Enter Duration (wks)","",IF($Y131="Enter Hrs/Wk","",IF($E$30&gt;='FORMULA REFS'!AZ$1,$Y131,"")))</f>
        <v/>
      </c>
      <c r="BP253" s="439"/>
      <c r="BQ253" s="439"/>
      <c r="BR253" s="439"/>
      <c r="BS253" s="439"/>
      <c r="BT253" s="439"/>
      <c r="BU253" s="439"/>
      <c r="BV253" s="439"/>
      <c r="BW253" s="439"/>
    </row>
    <row r="254" spans="3:75" hidden="1" outlineLevel="1" x14ac:dyDescent="0.25">
      <c r="C254" s="1291" t="str">
        <f t="shared" si="83"/>
        <v/>
      </c>
      <c r="D254" s="1319" t="str">
        <f t="shared" si="84"/>
        <v/>
      </c>
      <c r="E254" s="1326"/>
      <c r="F254" s="1327" t="str">
        <f>IF($E$30="Enter Duration (wks)","",IF($Y132="Enter Hrs/Wk","",IF($E$30&gt;='FORMULA REFS'!A$1,$Y132,"")))</f>
        <v/>
      </c>
      <c r="G254" s="1328"/>
      <c r="H254" s="1570"/>
      <c r="I254" s="1329" t="str">
        <f>IF($E$30="Enter Duration (wks)","",IF($Y132="Enter Hrs/Wk","",IF($E$30&gt;='FORMULA REFS'!B$1,$Y132,"")))</f>
        <v/>
      </c>
      <c r="J254" s="1323"/>
      <c r="K254" s="1286" t="str">
        <f>IF($E$30="Enter Duration (wks)","",IF($Y132="Enter Hrs/Wk","",IF($E$30&gt;='FORMULA REFS'!C$1,$Y132,"")))</f>
        <v/>
      </c>
      <c r="L254" s="882" t="str">
        <f>IF($E$30="Enter Duration (wks)","",IF($Y132="Enter Hrs/Wk","",IF($E$30&gt;='FORMULA REFS'!D$1,$Y132,"")))</f>
        <v/>
      </c>
      <c r="M254" s="882" t="str">
        <f>IF($E$30="Enter Duration (wks)","",IF($Y132="Enter Hrs/Wk","",IF($E$30&gt;='FORMULA REFS'!E$1,$Y132,"")))</f>
        <v/>
      </c>
      <c r="N254" s="882" t="str">
        <f>IF($E$30="Enter Duration (wks)","",IF($Y132="Enter Hrs/Wk","",IF($E$30&gt;='FORMULA REFS'!F$1,$Y132,"")))</f>
        <v/>
      </c>
      <c r="O254" s="882" t="str">
        <f>IF($E$30="Enter Duration (wks)","",IF($Y132="Enter Hrs/Wk","",IF($E$30&gt;='FORMULA REFS'!G$1,$Y132,"")))</f>
        <v/>
      </c>
      <c r="P254" s="882" t="str">
        <f>IF($E$30="Enter Duration (wks)","",IF($Y132="Enter Hrs/Wk","",IF($E$30&gt;='FORMULA REFS'!H$1,$Y132,"")))</f>
        <v/>
      </c>
      <c r="Q254" s="882" t="str">
        <f>IF($E$30="Enter Duration (wks)","",IF($Y132="Enter Hrs/Wk","",IF($E$30&gt;='FORMULA REFS'!I$1,$Y132,"")))</f>
        <v/>
      </c>
      <c r="R254" s="882" t="str">
        <f>IF($E$30="Enter Duration (wks)","",IF($Y132="Enter Hrs/Wk","",IF($E$30&gt;='FORMULA REFS'!J$1,$Y132,"")))</f>
        <v/>
      </c>
      <c r="S254" s="882" t="str">
        <f>IF($E$30="Enter Duration (wks)","",IF($Y132="Enter Hrs/Wk","",IF($E$30&gt;='FORMULA REFS'!K$1,$Y132,"")))</f>
        <v/>
      </c>
      <c r="T254" s="1323" t="str">
        <f>IF($E$30="Enter Duration (wks)","",IF($Y132="Enter Hrs/Wk","",IF($E$30&gt;='FORMULA REFS'!L$1,$Y132,"")))</f>
        <v/>
      </c>
      <c r="U254" s="882" t="str">
        <f>IF($E$30="Enter Duration (wks)","",IF($Y132="Enter Hrs/Wk","",IF($E$30&gt;='FORMULA REFS'!M$1,$Y132,"")))</f>
        <v/>
      </c>
      <c r="V254" s="882"/>
      <c r="W254" s="882"/>
      <c r="X254" s="1285"/>
      <c r="Y254" s="1285" t="str">
        <f>IF($E$30="Enter Duration (wks)","",IF($Y132="Enter Hrs/Wk","",IF($E$30&gt;='FORMULA REFS'!N$1,$Y132,"")))</f>
        <v/>
      </c>
      <c r="Z254" s="1343" t="str">
        <f>IF($E$30="Enter Duration (wks)","",IF($Y132="Enter Hrs/Wk","",IF($E$30&gt;='FORMULA REFS'!O$1,$Y132,"")))</f>
        <v/>
      </c>
      <c r="AA254" s="882" t="str">
        <f>IF($E$30="Enter Duration (wks)","",IF($Y132="Enter Hrs/Wk","",IF($E$30&gt;='FORMULA REFS'!P$1,$Y132,"")))</f>
        <v/>
      </c>
      <c r="AB254" s="882" t="str">
        <f>IF($E$30="Enter Duration (wks)","",IF($Y132="Enter Hrs/Wk","",IF($E$30&gt;='FORMULA REFS'!Q$1,$Y132,"")))</f>
        <v/>
      </c>
      <c r="AC254" s="882"/>
      <c r="AD254" s="882"/>
      <c r="AE254" s="882"/>
      <c r="AF254" s="882"/>
      <c r="AG254" s="1286" t="str">
        <f>IF($E$30="Enter Duration (wks)","",IF($Y132="Enter Hrs/Wk","",IF($E$30&gt;='FORMULA REFS'!R$1,$Y132,"")))</f>
        <v/>
      </c>
      <c r="AH254" s="1286" t="str">
        <f>IF($E$30="Enter Duration (wks)","",IF($Y132="Enter Hrs/Wk","",IF($E$30&gt;='FORMULA REFS'!S$1,$Y132,"")))</f>
        <v/>
      </c>
      <c r="AI254" s="1286" t="str">
        <f>IF($E$30="Enter Duration (wks)","",IF($Y132="Enter Hrs/Wk","",IF($E$30&gt;='FORMULA REFS'!T$1,$Y132,"")))</f>
        <v/>
      </c>
      <c r="AJ254" s="1286" t="str">
        <f>IF($E$30="Enter Duration (wks)","",IF($Y132="Enter Hrs/Wk","",IF($E$30&gt;='FORMULA REFS'!U$1,$Y132,"")))</f>
        <v/>
      </c>
      <c r="AK254" s="1286" t="str">
        <f>IF($E$30="Enter Duration (wks)","",IF($Y132="Enter Hrs/Wk","",IF($E$30&gt;='FORMULA REFS'!V$1,$Y132,"")))</f>
        <v/>
      </c>
      <c r="AL254" s="1286" t="str">
        <f>IF($E$30="Enter Duration (wks)","",IF($Y132="Enter Hrs/Wk","",IF($E$30&gt;='FORMULA REFS'!W$1,$Y132,"")))</f>
        <v/>
      </c>
      <c r="AM254" s="1286" t="str">
        <f>IF($E$30="Enter Duration (wks)","",IF($Y132="Enter Hrs/Wk","",IF($E$30&gt;='FORMULA REFS'!X$1,$Y132,"")))</f>
        <v/>
      </c>
      <c r="AN254" s="1286" t="str">
        <f>IF($E$30="Enter Duration (wks)","",IF($Y132="Enter Hrs/Wk","",IF($E$30&gt;='FORMULA REFS'!Y$1,$Y132,"")))</f>
        <v/>
      </c>
      <c r="AO254" s="1286" t="str">
        <f>IF($E$30="Enter Duration (wks)","",IF($Y132="Enter Hrs/Wk","",IF($E$30&gt;='FORMULA REFS'!Z$1,$Y132,"")))</f>
        <v/>
      </c>
      <c r="AP254" s="1286" t="str">
        <f>IF($E$30="Enter Duration (wks)","",IF($Y132="Enter Hrs/Wk","",IF($E$30&gt;='FORMULA REFS'!AA$1,$Y132,"")))</f>
        <v/>
      </c>
      <c r="AQ254" s="1286" t="str">
        <f>IF($E$30="Enter Duration (wks)","",IF($Y132="Enter Hrs/Wk","",IF($E$30&gt;='FORMULA REFS'!AB$1,$Y132,"")))</f>
        <v/>
      </c>
      <c r="AR254" s="1286" t="str">
        <f>IF($E$30="Enter Duration (wks)","",IF($Y132="Enter Hrs/Wk","",IF($E$30&gt;='FORMULA REFS'!AC$1,$Y132,"")))</f>
        <v/>
      </c>
      <c r="AS254" s="1286" t="str">
        <f>IF($E$30="Enter Duration (wks)","",IF($Y132="Enter Hrs/Wk","",IF($E$30&gt;='FORMULA REFS'!AD$1,$Y132,"")))</f>
        <v/>
      </c>
      <c r="AT254" s="1286" t="str">
        <f>IF($E$30="Enter Duration (wks)","",IF($Y132="Enter Hrs/Wk","",IF($E$30&gt;='FORMULA REFS'!AE$1,$Y132,"")))</f>
        <v/>
      </c>
      <c r="AU254" s="1286" t="str">
        <f>IF($E$30="Enter Duration (wks)","",IF($Y132="Enter Hrs/Wk","",IF($E$30&gt;='FORMULA REFS'!AF$1,$Y132,"")))</f>
        <v/>
      </c>
      <c r="AV254" s="1286" t="str">
        <f>IF($E$30="Enter Duration (wks)","",IF($Y132="Enter Hrs/Wk","",IF($E$30&gt;='FORMULA REFS'!AG$1,$Y132,"")))</f>
        <v/>
      </c>
      <c r="AW254" s="1286" t="str">
        <f>IF($E$30="Enter Duration (wks)","",IF($Y132="Enter Hrs/Wk","",IF($E$30&gt;='FORMULA REFS'!AH$1,$Y132,"")))</f>
        <v/>
      </c>
      <c r="AX254" s="1286" t="str">
        <f>IF($E$30="Enter Duration (wks)","",IF($Y132="Enter Hrs/Wk","",IF($E$30&gt;='FORMULA REFS'!AI$1,$Y132,"")))</f>
        <v/>
      </c>
      <c r="AY254" s="1286" t="str">
        <f>IF($E$30="Enter Duration (wks)","",IF($Y132="Enter Hrs/Wk","",IF($E$30&gt;='FORMULA REFS'!AJ$1,$Y132,"")))</f>
        <v/>
      </c>
      <c r="AZ254" s="1286" t="str">
        <f>IF($E$30="Enter Duration (wks)","",IF($Y132="Enter Hrs/Wk","",IF($E$30&gt;='FORMULA REFS'!AK$1,$Y132,"")))</f>
        <v/>
      </c>
      <c r="BA254" s="1286" t="str">
        <f>IF($E$30="Enter Duration (wks)","",IF($Y132="Enter Hrs/Wk","",IF($E$30&gt;='FORMULA REFS'!AL$1,$Y132,"")))</f>
        <v/>
      </c>
      <c r="BB254" s="1286" t="str">
        <f>IF($E$30="Enter Duration (wks)","",IF($Y132="Enter Hrs/Wk","",IF($E$30&gt;='FORMULA REFS'!AM$1,$Y132,"")))</f>
        <v/>
      </c>
      <c r="BC254" s="1286" t="str">
        <f>IF($E$30="Enter Duration (wks)","",IF($Y132="Enter Hrs/Wk","",IF($E$30&gt;='FORMULA REFS'!AN$1,$Y132,"")))</f>
        <v/>
      </c>
      <c r="BD254" s="1286" t="str">
        <f>IF($E$30="Enter Duration (wks)","",IF($Y132="Enter Hrs/Wk","",IF($E$30&gt;='FORMULA REFS'!AO$1,$Y132,"")))</f>
        <v/>
      </c>
      <c r="BE254" s="1286" t="str">
        <f>IF($E$30="Enter Duration (wks)","",IF($Y132="Enter Hrs/Wk","",IF($E$30&gt;='FORMULA REFS'!AP$1,$Y132,"")))</f>
        <v/>
      </c>
      <c r="BF254" s="1286" t="str">
        <f>IF($E$30="Enter Duration (wks)","",IF($Y132="Enter Hrs/Wk","",IF($E$30&gt;='FORMULA REFS'!AQ$1,$Y132,"")))</f>
        <v/>
      </c>
      <c r="BG254" s="1286" t="str">
        <f>IF($E$30="Enter Duration (wks)","",IF($Y132="Enter Hrs/Wk","",IF($E$30&gt;='FORMULA REFS'!AR$1,$Y132,"")))</f>
        <v/>
      </c>
      <c r="BH254" s="1286" t="str">
        <f>IF($E$30="Enter Duration (wks)","",IF($Y132="Enter Hrs/Wk","",IF($E$30&gt;='FORMULA REFS'!AS$1,$Y132,"")))</f>
        <v/>
      </c>
      <c r="BI254" s="1286" t="str">
        <f>IF($E$30="Enter Duration (wks)","",IF($Y132="Enter Hrs/Wk","",IF($E$30&gt;='FORMULA REFS'!AT$1,$Y132,"")))</f>
        <v/>
      </c>
      <c r="BJ254" s="1286" t="str">
        <f>IF($E$30="Enter Duration (wks)","",IF($Y132="Enter Hrs/Wk","",IF($E$30&gt;='FORMULA REFS'!AU$1,$Y132,"")))</f>
        <v/>
      </c>
      <c r="BK254" s="1286" t="str">
        <f>IF($E$30="Enter Duration (wks)","",IF($Y132="Enter Hrs/Wk","",IF($E$30&gt;='FORMULA REFS'!AV$1,$Y132,"")))</f>
        <v/>
      </c>
      <c r="BL254" s="1286" t="str">
        <f>IF($E$30="Enter Duration (wks)","",IF($Y132="Enter Hrs/Wk","",IF($E$30&gt;='FORMULA REFS'!AW$1,$Y132,"")))</f>
        <v/>
      </c>
      <c r="BM254" s="1286" t="str">
        <f>IF($E$30="Enter Duration (wks)","",IF($Y132="Enter Hrs/Wk","",IF($E$30&gt;='FORMULA REFS'!AX$1,$Y132,"")))</f>
        <v/>
      </c>
      <c r="BN254" s="1286" t="str">
        <f>IF($E$30="Enter Duration (wks)","",IF($Y132="Enter Hrs/Wk","",IF($E$30&gt;='FORMULA REFS'!AY$1,$Y132,"")))</f>
        <v/>
      </c>
      <c r="BO254" s="1286" t="str">
        <f>IF($E$30="Enter Duration (wks)","",IF($Y132="Enter Hrs/Wk","",IF($E$30&gt;='FORMULA REFS'!AZ$1,$Y132,"")))</f>
        <v/>
      </c>
      <c r="BP254" s="439"/>
      <c r="BQ254" s="439"/>
      <c r="BR254" s="439"/>
      <c r="BS254" s="439"/>
      <c r="BT254" s="439"/>
      <c r="BU254" s="439"/>
      <c r="BV254" s="439"/>
      <c r="BW254" s="439"/>
    </row>
    <row r="255" spans="3:75" hidden="1" outlineLevel="1" x14ac:dyDescent="0.25">
      <c r="C255" s="1291" t="str">
        <f t="shared" si="83"/>
        <v/>
      </c>
      <c r="D255" s="1319" t="str">
        <f t="shared" si="84"/>
        <v/>
      </c>
      <c r="E255" s="1326"/>
      <c r="F255" s="1327" t="str">
        <f>IF($E$30="Enter Duration (wks)","",IF($Y133="Enter Hrs/Wk","",IF($E$30&gt;='FORMULA REFS'!A$1,$Y133,"")))</f>
        <v/>
      </c>
      <c r="G255" s="1328"/>
      <c r="H255" s="1570"/>
      <c r="I255" s="1329" t="str">
        <f>IF($E$30="Enter Duration (wks)","",IF($Y133="Enter Hrs/Wk","",IF($E$30&gt;='FORMULA REFS'!B$1,$Y133,"")))</f>
        <v/>
      </c>
      <c r="J255" s="1323"/>
      <c r="K255" s="1286" t="str">
        <f>IF($E$30="Enter Duration (wks)","",IF($Y133="Enter Hrs/Wk","",IF($E$30&gt;='FORMULA REFS'!C$1,$Y133,"")))</f>
        <v/>
      </c>
      <c r="L255" s="882" t="str">
        <f>IF($E$30="Enter Duration (wks)","",IF($Y133="Enter Hrs/Wk","",IF($E$30&gt;='FORMULA REFS'!D$1,$Y133,"")))</f>
        <v/>
      </c>
      <c r="M255" s="882" t="str">
        <f>IF($E$30="Enter Duration (wks)","",IF($Y133="Enter Hrs/Wk","",IF($E$30&gt;='FORMULA REFS'!E$1,$Y133,"")))</f>
        <v/>
      </c>
      <c r="N255" s="882" t="str">
        <f>IF($E$30="Enter Duration (wks)","",IF($Y133="Enter Hrs/Wk","",IF($E$30&gt;='FORMULA REFS'!F$1,$Y133,"")))</f>
        <v/>
      </c>
      <c r="O255" s="882" t="str">
        <f>IF($E$30="Enter Duration (wks)","",IF($Y133="Enter Hrs/Wk","",IF($E$30&gt;='FORMULA REFS'!G$1,$Y133,"")))</f>
        <v/>
      </c>
      <c r="P255" s="882" t="str">
        <f>IF($E$30="Enter Duration (wks)","",IF($Y133="Enter Hrs/Wk","",IF($E$30&gt;='FORMULA REFS'!H$1,$Y133,"")))</f>
        <v/>
      </c>
      <c r="Q255" s="882" t="str">
        <f>IF($E$30="Enter Duration (wks)","",IF($Y133="Enter Hrs/Wk","",IF($E$30&gt;='FORMULA REFS'!I$1,$Y133,"")))</f>
        <v/>
      </c>
      <c r="R255" s="882" t="str">
        <f>IF($E$30="Enter Duration (wks)","",IF($Y133="Enter Hrs/Wk","",IF($E$30&gt;='FORMULA REFS'!J$1,$Y133,"")))</f>
        <v/>
      </c>
      <c r="S255" s="882" t="str">
        <f>IF($E$30="Enter Duration (wks)","",IF($Y133="Enter Hrs/Wk","",IF($E$30&gt;='FORMULA REFS'!K$1,$Y133,"")))</f>
        <v/>
      </c>
      <c r="T255" s="1323" t="str">
        <f>IF($E$30="Enter Duration (wks)","",IF($Y133="Enter Hrs/Wk","",IF($E$30&gt;='FORMULA REFS'!L$1,$Y133,"")))</f>
        <v/>
      </c>
      <c r="U255" s="882" t="str">
        <f>IF($E$30="Enter Duration (wks)","",IF($Y133="Enter Hrs/Wk","",IF($E$30&gt;='FORMULA REFS'!M$1,$Y133,"")))</f>
        <v/>
      </c>
      <c r="V255" s="882"/>
      <c r="W255" s="882"/>
      <c r="X255" s="1285"/>
      <c r="Y255" s="1285" t="str">
        <f>IF($E$30="Enter Duration (wks)","",IF($Y133="Enter Hrs/Wk","",IF($E$30&gt;='FORMULA REFS'!N$1,$Y133,"")))</f>
        <v/>
      </c>
      <c r="Z255" s="1343" t="str">
        <f>IF($E$30="Enter Duration (wks)","",IF($Y133="Enter Hrs/Wk","",IF($E$30&gt;='FORMULA REFS'!O$1,$Y133,"")))</f>
        <v/>
      </c>
      <c r="AA255" s="882" t="str">
        <f>IF($E$30="Enter Duration (wks)","",IF($Y133="Enter Hrs/Wk","",IF($E$30&gt;='FORMULA REFS'!P$1,$Y133,"")))</f>
        <v/>
      </c>
      <c r="AB255" s="882" t="str">
        <f>IF($E$30="Enter Duration (wks)","",IF($Y133="Enter Hrs/Wk","",IF($E$30&gt;='FORMULA REFS'!Q$1,$Y133,"")))</f>
        <v/>
      </c>
      <c r="AC255" s="882"/>
      <c r="AD255" s="882"/>
      <c r="AE255" s="882"/>
      <c r="AF255" s="882"/>
      <c r="AG255" s="1286" t="str">
        <f>IF($E$30="Enter Duration (wks)","",IF($Y133="Enter Hrs/Wk","",IF($E$30&gt;='FORMULA REFS'!R$1,$Y133,"")))</f>
        <v/>
      </c>
      <c r="AH255" s="1286" t="str">
        <f>IF($E$30="Enter Duration (wks)","",IF($Y133="Enter Hrs/Wk","",IF($E$30&gt;='FORMULA REFS'!S$1,$Y133,"")))</f>
        <v/>
      </c>
      <c r="AI255" s="1286" t="str">
        <f>IF($E$30="Enter Duration (wks)","",IF($Y133="Enter Hrs/Wk","",IF($E$30&gt;='FORMULA REFS'!T$1,$Y133,"")))</f>
        <v/>
      </c>
      <c r="AJ255" s="1286" t="str">
        <f>IF($E$30="Enter Duration (wks)","",IF($Y133="Enter Hrs/Wk","",IF($E$30&gt;='FORMULA REFS'!U$1,$Y133,"")))</f>
        <v/>
      </c>
      <c r="AK255" s="1286" t="str">
        <f>IF($E$30="Enter Duration (wks)","",IF($Y133="Enter Hrs/Wk","",IF($E$30&gt;='FORMULA REFS'!V$1,$Y133,"")))</f>
        <v/>
      </c>
      <c r="AL255" s="1286" t="str">
        <f>IF($E$30="Enter Duration (wks)","",IF($Y133="Enter Hrs/Wk","",IF($E$30&gt;='FORMULA REFS'!W$1,$Y133,"")))</f>
        <v/>
      </c>
      <c r="AM255" s="1286" t="str">
        <f>IF($E$30="Enter Duration (wks)","",IF($Y133="Enter Hrs/Wk","",IF($E$30&gt;='FORMULA REFS'!X$1,$Y133,"")))</f>
        <v/>
      </c>
      <c r="AN255" s="1286" t="str">
        <f>IF($E$30="Enter Duration (wks)","",IF($Y133="Enter Hrs/Wk","",IF($E$30&gt;='FORMULA REFS'!Y$1,$Y133,"")))</f>
        <v/>
      </c>
      <c r="AO255" s="1286" t="str">
        <f>IF($E$30="Enter Duration (wks)","",IF($Y133="Enter Hrs/Wk","",IF($E$30&gt;='FORMULA REFS'!Z$1,$Y133,"")))</f>
        <v/>
      </c>
      <c r="AP255" s="1286" t="str">
        <f>IF($E$30="Enter Duration (wks)","",IF($Y133="Enter Hrs/Wk","",IF($E$30&gt;='FORMULA REFS'!AA$1,$Y133,"")))</f>
        <v/>
      </c>
      <c r="AQ255" s="1286" t="str">
        <f>IF($E$30="Enter Duration (wks)","",IF($Y133="Enter Hrs/Wk","",IF($E$30&gt;='FORMULA REFS'!AB$1,$Y133,"")))</f>
        <v/>
      </c>
      <c r="AR255" s="1286" t="str">
        <f>IF($E$30="Enter Duration (wks)","",IF($Y133="Enter Hrs/Wk","",IF($E$30&gt;='FORMULA REFS'!AC$1,$Y133,"")))</f>
        <v/>
      </c>
      <c r="AS255" s="1286" t="str">
        <f>IF($E$30="Enter Duration (wks)","",IF($Y133="Enter Hrs/Wk","",IF($E$30&gt;='FORMULA REFS'!AD$1,$Y133,"")))</f>
        <v/>
      </c>
      <c r="AT255" s="1286" t="str">
        <f>IF($E$30="Enter Duration (wks)","",IF($Y133="Enter Hrs/Wk","",IF($E$30&gt;='FORMULA REFS'!AE$1,$Y133,"")))</f>
        <v/>
      </c>
      <c r="AU255" s="1286" t="str">
        <f>IF($E$30="Enter Duration (wks)","",IF($Y133="Enter Hrs/Wk","",IF($E$30&gt;='FORMULA REFS'!AF$1,$Y133,"")))</f>
        <v/>
      </c>
      <c r="AV255" s="1286" t="str">
        <f>IF($E$30="Enter Duration (wks)","",IF($Y133="Enter Hrs/Wk","",IF($E$30&gt;='FORMULA REFS'!AG$1,$Y133,"")))</f>
        <v/>
      </c>
      <c r="AW255" s="1286" t="str">
        <f>IF($E$30="Enter Duration (wks)","",IF($Y133="Enter Hrs/Wk","",IF($E$30&gt;='FORMULA REFS'!AH$1,$Y133,"")))</f>
        <v/>
      </c>
      <c r="AX255" s="1286" t="str">
        <f>IF($E$30="Enter Duration (wks)","",IF($Y133="Enter Hrs/Wk","",IF($E$30&gt;='FORMULA REFS'!AI$1,$Y133,"")))</f>
        <v/>
      </c>
      <c r="AY255" s="1286" t="str">
        <f>IF($E$30="Enter Duration (wks)","",IF($Y133="Enter Hrs/Wk","",IF($E$30&gt;='FORMULA REFS'!AJ$1,$Y133,"")))</f>
        <v/>
      </c>
      <c r="AZ255" s="1286" t="str">
        <f>IF($E$30="Enter Duration (wks)","",IF($Y133="Enter Hrs/Wk","",IF($E$30&gt;='FORMULA REFS'!AK$1,$Y133,"")))</f>
        <v/>
      </c>
      <c r="BA255" s="1286" t="str">
        <f>IF($E$30="Enter Duration (wks)","",IF($Y133="Enter Hrs/Wk","",IF($E$30&gt;='FORMULA REFS'!AL$1,$Y133,"")))</f>
        <v/>
      </c>
      <c r="BB255" s="1286" t="str">
        <f>IF($E$30="Enter Duration (wks)","",IF($Y133="Enter Hrs/Wk","",IF($E$30&gt;='FORMULA REFS'!AM$1,$Y133,"")))</f>
        <v/>
      </c>
      <c r="BC255" s="1286" t="str">
        <f>IF($E$30="Enter Duration (wks)","",IF($Y133="Enter Hrs/Wk","",IF($E$30&gt;='FORMULA REFS'!AN$1,$Y133,"")))</f>
        <v/>
      </c>
      <c r="BD255" s="1286" t="str">
        <f>IF($E$30="Enter Duration (wks)","",IF($Y133="Enter Hrs/Wk","",IF($E$30&gt;='FORMULA REFS'!AO$1,$Y133,"")))</f>
        <v/>
      </c>
      <c r="BE255" s="1286" t="str">
        <f>IF($E$30="Enter Duration (wks)","",IF($Y133="Enter Hrs/Wk","",IF($E$30&gt;='FORMULA REFS'!AP$1,$Y133,"")))</f>
        <v/>
      </c>
      <c r="BF255" s="1286" t="str">
        <f>IF($E$30="Enter Duration (wks)","",IF($Y133="Enter Hrs/Wk","",IF($E$30&gt;='FORMULA REFS'!AQ$1,$Y133,"")))</f>
        <v/>
      </c>
      <c r="BG255" s="1286" t="str">
        <f>IF($E$30="Enter Duration (wks)","",IF($Y133="Enter Hrs/Wk","",IF($E$30&gt;='FORMULA REFS'!AR$1,$Y133,"")))</f>
        <v/>
      </c>
      <c r="BH255" s="1286" t="str">
        <f>IF($E$30="Enter Duration (wks)","",IF($Y133="Enter Hrs/Wk","",IF($E$30&gt;='FORMULA REFS'!AS$1,$Y133,"")))</f>
        <v/>
      </c>
      <c r="BI255" s="1286" t="str">
        <f>IF($E$30="Enter Duration (wks)","",IF($Y133="Enter Hrs/Wk","",IF($E$30&gt;='FORMULA REFS'!AT$1,$Y133,"")))</f>
        <v/>
      </c>
      <c r="BJ255" s="1286" t="str">
        <f>IF($E$30="Enter Duration (wks)","",IF($Y133="Enter Hrs/Wk","",IF($E$30&gt;='FORMULA REFS'!AU$1,$Y133,"")))</f>
        <v/>
      </c>
      <c r="BK255" s="1286" t="str">
        <f>IF($E$30="Enter Duration (wks)","",IF($Y133="Enter Hrs/Wk","",IF($E$30&gt;='FORMULA REFS'!AV$1,$Y133,"")))</f>
        <v/>
      </c>
      <c r="BL255" s="1286" t="str">
        <f>IF($E$30="Enter Duration (wks)","",IF($Y133="Enter Hrs/Wk","",IF($E$30&gt;='FORMULA REFS'!AW$1,$Y133,"")))</f>
        <v/>
      </c>
      <c r="BM255" s="1286" t="str">
        <f>IF($E$30="Enter Duration (wks)","",IF($Y133="Enter Hrs/Wk","",IF($E$30&gt;='FORMULA REFS'!AX$1,$Y133,"")))</f>
        <v/>
      </c>
      <c r="BN255" s="1286" t="str">
        <f>IF($E$30="Enter Duration (wks)","",IF($Y133="Enter Hrs/Wk","",IF($E$30&gt;='FORMULA REFS'!AY$1,$Y133,"")))</f>
        <v/>
      </c>
      <c r="BO255" s="1286" t="str">
        <f>IF($E$30="Enter Duration (wks)","",IF($Y133="Enter Hrs/Wk","",IF($E$30&gt;='FORMULA REFS'!AZ$1,$Y133,"")))</f>
        <v/>
      </c>
      <c r="BP255" s="439"/>
      <c r="BQ255" s="439"/>
      <c r="BR255" s="439"/>
      <c r="BS255" s="439"/>
      <c r="BT255" s="439"/>
      <c r="BU255" s="439"/>
      <c r="BV255" s="439"/>
      <c r="BW255" s="439"/>
    </row>
    <row r="256" spans="3:75" hidden="1" outlineLevel="1" x14ac:dyDescent="0.25">
      <c r="C256" s="1291" t="str">
        <f t="shared" si="83"/>
        <v/>
      </c>
      <c r="D256" s="1319" t="str">
        <f t="shared" si="84"/>
        <v/>
      </c>
      <c r="E256" s="1326"/>
      <c r="F256" s="1327" t="str">
        <f>IF($E$30="Enter Duration (wks)","",IF($Y134="Enter Hrs/Wk","",IF($E$30&gt;='FORMULA REFS'!A$1,$Y134,"")))</f>
        <v/>
      </c>
      <c r="G256" s="1328"/>
      <c r="H256" s="1570"/>
      <c r="I256" s="1329" t="str">
        <f>IF($E$30="Enter Duration (wks)","",IF($Y134="Enter Hrs/Wk","",IF($E$30&gt;='FORMULA REFS'!B$1,$Y134,"")))</f>
        <v/>
      </c>
      <c r="J256" s="1323"/>
      <c r="K256" s="1286" t="str">
        <f>IF($E$30="Enter Duration (wks)","",IF($Y134="Enter Hrs/Wk","",IF($E$30&gt;='FORMULA REFS'!C$1,$Y134,"")))</f>
        <v/>
      </c>
      <c r="L256" s="882" t="str">
        <f>IF($E$30="Enter Duration (wks)","",IF($Y134="Enter Hrs/Wk","",IF($E$30&gt;='FORMULA REFS'!D$1,$Y134,"")))</f>
        <v/>
      </c>
      <c r="M256" s="882" t="str">
        <f>IF($E$30="Enter Duration (wks)","",IF($Y134="Enter Hrs/Wk","",IF($E$30&gt;='FORMULA REFS'!E$1,$Y134,"")))</f>
        <v/>
      </c>
      <c r="N256" s="882" t="str">
        <f>IF($E$30="Enter Duration (wks)","",IF($Y134="Enter Hrs/Wk","",IF($E$30&gt;='FORMULA REFS'!F$1,$Y134,"")))</f>
        <v/>
      </c>
      <c r="O256" s="882" t="str">
        <f>IF($E$30="Enter Duration (wks)","",IF($Y134="Enter Hrs/Wk","",IF($E$30&gt;='FORMULA REFS'!G$1,$Y134,"")))</f>
        <v/>
      </c>
      <c r="P256" s="882" t="str">
        <f>IF($E$30="Enter Duration (wks)","",IF($Y134="Enter Hrs/Wk","",IF($E$30&gt;='FORMULA REFS'!H$1,$Y134,"")))</f>
        <v/>
      </c>
      <c r="Q256" s="882" t="str">
        <f>IF($E$30="Enter Duration (wks)","",IF($Y134="Enter Hrs/Wk","",IF($E$30&gt;='FORMULA REFS'!I$1,$Y134,"")))</f>
        <v/>
      </c>
      <c r="R256" s="882" t="str">
        <f>IF($E$30="Enter Duration (wks)","",IF($Y134="Enter Hrs/Wk","",IF($E$30&gt;='FORMULA REFS'!J$1,$Y134,"")))</f>
        <v/>
      </c>
      <c r="S256" s="882" t="str">
        <f>IF($E$30="Enter Duration (wks)","",IF($Y134="Enter Hrs/Wk","",IF($E$30&gt;='FORMULA REFS'!K$1,$Y134,"")))</f>
        <v/>
      </c>
      <c r="T256" s="1323" t="str">
        <f>IF($E$30="Enter Duration (wks)","",IF($Y134="Enter Hrs/Wk","",IF($E$30&gt;='FORMULA REFS'!L$1,$Y134,"")))</f>
        <v/>
      </c>
      <c r="U256" s="882" t="str">
        <f>IF($E$30="Enter Duration (wks)","",IF($Y134="Enter Hrs/Wk","",IF($E$30&gt;='FORMULA REFS'!M$1,$Y134,"")))</f>
        <v/>
      </c>
      <c r="V256" s="882"/>
      <c r="W256" s="882"/>
      <c r="X256" s="1285"/>
      <c r="Y256" s="1285" t="str">
        <f>IF($E$30="Enter Duration (wks)","",IF($Y134="Enter Hrs/Wk","",IF($E$30&gt;='FORMULA REFS'!N$1,$Y134,"")))</f>
        <v/>
      </c>
      <c r="Z256" s="1343" t="str">
        <f>IF($E$30="Enter Duration (wks)","",IF($Y134="Enter Hrs/Wk","",IF($E$30&gt;='FORMULA REFS'!O$1,$Y134,"")))</f>
        <v/>
      </c>
      <c r="AA256" s="882" t="str">
        <f>IF($E$30="Enter Duration (wks)","",IF($Y134="Enter Hrs/Wk","",IF($E$30&gt;='FORMULA REFS'!P$1,$Y134,"")))</f>
        <v/>
      </c>
      <c r="AB256" s="882" t="str">
        <f>IF($E$30="Enter Duration (wks)","",IF($Y134="Enter Hrs/Wk","",IF($E$30&gt;='FORMULA REFS'!Q$1,$Y134,"")))</f>
        <v/>
      </c>
      <c r="AC256" s="882"/>
      <c r="AD256" s="882"/>
      <c r="AE256" s="882"/>
      <c r="AF256" s="882"/>
      <c r="AG256" s="1286" t="str">
        <f>IF($E$30="Enter Duration (wks)","",IF($Y134="Enter Hrs/Wk","",IF($E$30&gt;='FORMULA REFS'!R$1,$Y134,"")))</f>
        <v/>
      </c>
      <c r="AH256" s="1286" t="str">
        <f>IF($E$30="Enter Duration (wks)","",IF($Y134="Enter Hrs/Wk","",IF($E$30&gt;='FORMULA REFS'!S$1,$Y134,"")))</f>
        <v/>
      </c>
      <c r="AI256" s="1286" t="str">
        <f>IF($E$30="Enter Duration (wks)","",IF($Y134="Enter Hrs/Wk","",IF($E$30&gt;='FORMULA REFS'!T$1,$Y134,"")))</f>
        <v/>
      </c>
      <c r="AJ256" s="1286" t="str">
        <f>IF($E$30="Enter Duration (wks)","",IF($Y134="Enter Hrs/Wk","",IF($E$30&gt;='FORMULA REFS'!U$1,$Y134,"")))</f>
        <v/>
      </c>
      <c r="AK256" s="1286" t="str">
        <f>IF($E$30="Enter Duration (wks)","",IF($Y134="Enter Hrs/Wk","",IF($E$30&gt;='FORMULA REFS'!V$1,$Y134,"")))</f>
        <v/>
      </c>
      <c r="AL256" s="1286" t="str">
        <f>IF($E$30="Enter Duration (wks)","",IF($Y134="Enter Hrs/Wk","",IF($E$30&gt;='FORMULA REFS'!W$1,$Y134,"")))</f>
        <v/>
      </c>
      <c r="AM256" s="1286" t="str">
        <f>IF($E$30="Enter Duration (wks)","",IF($Y134="Enter Hrs/Wk","",IF($E$30&gt;='FORMULA REFS'!X$1,$Y134,"")))</f>
        <v/>
      </c>
      <c r="AN256" s="1286" t="str">
        <f>IF($E$30="Enter Duration (wks)","",IF($Y134="Enter Hrs/Wk","",IF($E$30&gt;='FORMULA REFS'!Y$1,$Y134,"")))</f>
        <v/>
      </c>
      <c r="AO256" s="1286" t="str">
        <f>IF($E$30="Enter Duration (wks)","",IF($Y134="Enter Hrs/Wk","",IF($E$30&gt;='FORMULA REFS'!Z$1,$Y134,"")))</f>
        <v/>
      </c>
      <c r="AP256" s="1286" t="str">
        <f>IF($E$30="Enter Duration (wks)","",IF($Y134="Enter Hrs/Wk","",IF($E$30&gt;='FORMULA REFS'!AA$1,$Y134,"")))</f>
        <v/>
      </c>
      <c r="AQ256" s="1286" t="str">
        <f>IF($E$30="Enter Duration (wks)","",IF($Y134="Enter Hrs/Wk","",IF($E$30&gt;='FORMULA REFS'!AB$1,$Y134,"")))</f>
        <v/>
      </c>
      <c r="AR256" s="1286" t="str">
        <f>IF($E$30="Enter Duration (wks)","",IF($Y134="Enter Hrs/Wk","",IF($E$30&gt;='FORMULA REFS'!AC$1,$Y134,"")))</f>
        <v/>
      </c>
      <c r="AS256" s="1286" t="str">
        <f>IF($E$30="Enter Duration (wks)","",IF($Y134="Enter Hrs/Wk","",IF($E$30&gt;='FORMULA REFS'!AD$1,$Y134,"")))</f>
        <v/>
      </c>
      <c r="AT256" s="1286" t="str">
        <f>IF($E$30="Enter Duration (wks)","",IF($Y134="Enter Hrs/Wk","",IF($E$30&gt;='FORMULA REFS'!AE$1,$Y134,"")))</f>
        <v/>
      </c>
      <c r="AU256" s="1286" t="str">
        <f>IF($E$30="Enter Duration (wks)","",IF($Y134="Enter Hrs/Wk","",IF($E$30&gt;='FORMULA REFS'!AF$1,$Y134,"")))</f>
        <v/>
      </c>
      <c r="AV256" s="1286" t="str">
        <f>IF($E$30="Enter Duration (wks)","",IF($Y134="Enter Hrs/Wk","",IF($E$30&gt;='FORMULA REFS'!AG$1,$Y134,"")))</f>
        <v/>
      </c>
      <c r="AW256" s="1286" t="str">
        <f>IF($E$30="Enter Duration (wks)","",IF($Y134="Enter Hrs/Wk","",IF($E$30&gt;='FORMULA REFS'!AH$1,$Y134,"")))</f>
        <v/>
      </c>
      <c r="AX256" s="1286" t="str">
        <f>IF($E$30="Enter Duration (wks)","",IF($Y134="Enter Hrs/Wk","",IF($E$30&gt;='FORMULA REFS'!AI$1,$Y134,"")))</f>
        <v/>
      </c>
      <c r="AY256" s="1286" t="str">
        <f>IF($E$30="Enter Duration (wks)","",IF($Y134="Enter Hrs/Wk","",IF($E$30&gt;='FORMULA REFS'!AJ$1,$Y134,"")))</f>
        <v/>
      </c>
      <c r="AZ256" s="1286" t="str">
        <f>IF($E$30="Enter Duration (wks)","",IF($Y134="Enter Hrs/Wk","",IF($E$30&gt;='FORMULA REFS'!AK$1,$Y134,"")))</f>
        <v/>
      </c>
      <c r="BA256" s="1286" t="str">
        <f>IF($E$30="Enter Duration (wks)","",IF($Y134="Enter Hrs/Wk","",IF($E$30&gt;='FORMULA REFS'!AL$1,$Y134,"")))</f>
        <v/>
      </c>
      <c r="BB256" s="1286" t="str">
        <f>IF($E$30="Enter Duration (wks)","",IF($Y134="Enter Hrs/Wk","",IF($E$30&gt;='FORMULA REFS'!AM$1,$Y134,"")))</f>
        <v/>
      </c>
      <c r="BC256" s="1286" t="str">
        <f>IF($E$30="Enter Duration (wks)","",IF($Y134="Enter Hrs/Wk","",IF($E$30&gt;='FORMULA REFS'!AN$1,$Y134,"")))</f>
        <v/>
      </c>
      <c r="BD256" s="1286" t="str">
        <f>IF($E$30="Enter Duration (wks)","",IF($Y134="Enter Hrs/Wk","",IF($E$30&gt;='FORMULA REFS'!AO$1,$Y134,"")))</f>
        <v/>
      </c>
      <c r="BE256" s="1286" t="str">
        <f>IF($E$30="Enter Duration (wks)","",IF($Y134="Enter Hrs/Wk","",IF($E$30&gt;='FORMULA REFS'!AP$1,$Y134,"")))</f>
        <v/>
      </c>
      <c r="BF256" s="1286" t="str">
        <f>IF($E$30="Enter Duration (wks)","",IF($Y134="Enter Hrs/Wk","",IF($E$30&gt;='FORMULA REFS'!AQ$1,$Y134,"")))</f>
        <v/>
      </c>
      <c r="BG256" s="1286" t="str">
        <f>IF($E$30="Enter Duration (wks)","",IF($Y134="Enter Hrs/Wk","",IF($E$30&gt;='FORMULA REFS'!AR$1,$Y134,"")))</f>
        <v/>
      </c>
      <c r="BH256" s="1286" t="str">
        <f>IF($E$30="Enter Duration (wks)","",IF($Y134="Enter Hrs/Wk","",IF($E$30&gt;='FORMULA REFS'!AS$1,$Y134,"")))</f>
        <v/>
      </c>
      <c r="BI256" s="1286" t="str">
        <f>IF($E$30="Enter Duration (wks)","",IF($Y134="Enter Hrs/Wk","",IF($E$30&gt;='FORMULA REFS'!AT$1,$Y134,"")))</f>
        <v/>
      </c>
      <c r="BJ256" s="1286" t="str">
        <f>IF($E$30="Enter Duration (wks)","",IF($Y134="Enter Hrs/Wk","",IF($E$30&gt;='FORMULA REFS'!AU$1,$Y134,"")))</f>
        <v/>
      </c>
      <c r="BK256" s="1286" t="str">
        <f>IF($E$30="Enter Duration (wks)","",IF($Y134="Enter Hrs/Wk","",IF($E$30&gt;='FORMULA REFS'!AV$1,$Y134,"")))</f>
        <v/>
      </c>
      <c r="BL256" s="1286" t="str">
        <f>IF($E$30="Enter Duration (wks)","",IF($Y134="Enter Hrs/Wk","",IF($E$30&gt;='FORMULA REFS'!AW$1,$Y134,"")))</f>
        <v/>
      </c>
      <c r="BM256" s="1286" t="str">
        <f>IF($E$30="Enter Duration (wks)","",IF($Y134="Enter Hrs/Wk","",IF($E$30&gt;='FORMULA REFS'!AX$1,$Y134,"")))</f>
        <v/>
      </c>
      <c r="BN256" s="1286" t="str">
        <f>IF($E$30="Enter Duration (wks)","",IF($Y134="Enter Hrs/Wk","",IF($E$30&gt;='FORMULA REFS'!AY$1,$Y134,"")))</f>
        <v/>
      </c>
      <c r="BO256" s="1286" t="str">
        <f>IF($E$30="Enter Duration (wks)","",IF($Y134="Enter Hrs/Wk","",IF($E$30&gt;='FORMULA REFS'!AZ$1,$Y134,"")))</f>
        <v/>
      </c>
    </row>
    <row r="257" spans="2:67" hidden="1" outlineLevel="1" x14ac:dyDescent="0.25">
      <c r="C257" s="1291" t="str">
        <f t="shared" si="83"/>
        <v/>
      </c>
      <c r="D257" s="1319" t="str">
        <f t="shared" si="84"/>
        <v/>
      </c>
      <c r="E257" s="1326"/>
      <c r="F257" s="1327" t="str">
        <f>IF($E$30="Enter Duration (wks)","",IF($Y135="Enter Hrs/Wk","",IF($E$30&gt;='FORMULA REFS'!A$1,$Y135,"")))</f>
        <v/>
      </c>
      <c r="G257" s="1328"/>
      <c r="H257" s="1570"/>
      <c r="I257" s="1329" t="str">
        <f>IF($E$30="Enter Duration (wks)","",IF($Y135="Enter Hrs/Wk","",IF($E$30&gt;='FORMULA REFS'!B$1,$Y135,"")))</f>
        <v/>
      </c>
      <c r="J257" s="1323"/>
      <c r="K257" s="1286" t="str">
        <f>IF($E$30="Enter Duration (wks)","",IF($Y135="Enter Hrs/Wk","",IF($E$30&gt;='FORMULA REFS'!C$1,$Y135,"")))</f>
        <v/>
      </c>
      <c r="L257" s="882" t="str">
        <f>IF($E$30="Enter Duration (wks)","",IF($Y135="Enter Hrs/Wk","",IF($E$30&gt;='FORMULA REFS'!D$1,$Y135,"")))</f>
        <v/>
      </c>
      <c r="M257" s="882" t="str">
        <f>IF($E$30="Enter Duration (wks)","",IF($Y135="Enter Hrs/Wk","",IF($E$30&gt;='FORMULA REFS'!E$1,$Y135,"")))</f>
        <v/>
      </c>
      <c r="N257" s="882" t="str">
        <f>IF($E$30="Enter Duration (wks)","",IF($Y135="Enter Hrs/Wk","",IF($E$30&gt;='FORMULA REFS'!F$1,$Y135,"")))</f>
        <v/>
      </c>
      <c r="O257" s="882" t="str">
        <f>IF($E$30="Enter Duration (wks)","",IF($Y135="Enter Hrs/Wk","",IF($E$30&gt;='FORMULA REFS'!G$1,$Y135,"")))</f>
        <v/>
      </c>
      <c r="P257" s="882" t="str">
        <f>IF($E$30="Enter Duration (wks)","",IF($Y135="Enter Hrs/Wk","",IF($E$30&gt;='FORMULA REFS'!H$1,$Y135,"")))</f>
        <v/>
      </c>
      <c r="Q257" s="882" t="str">
        <f>IF($E$30="Enter Duration (wks)","",IF($Y135="Enter Hrs/Wk","",IF($E$30&gt;='FORMULA REFS'!I$1,$Y135,"")))</f>
        <v/>
      </c>
      <c r="R257" s="882" t="str">
        <f>IF($E$30="Enter Duration (wks)","",IF($Y135="Enter Hrs/Wk","",IF($E$30&gt;='FORMULA REFS'!J$1,$Y135,"")))</f>
        <v/>
      </c>
      <c r="S257" s="882" t="str">
        <f>IF($E$30="Enter Duration (wks)","",IF($Y135="Enter Hrs/Wk","",IF($E$30&gt;='FORMULA REFS'!K$1,$Y135,"")))</f>
        <v/>
      </c>
      <c r="T257" s="1323" t="str">
        <f>IF($E$30="Enter Duration (wks)","",IF($Y135="Enter Hrs/Wk","",IF($E$30&gt;='FORMULA REFS'!L$1,$Y135,"")))</f>
        <v/>
      </c>
      <c r="U257" s="882" t="str">
        <f>IF($E$30="Enter Duration (wks)","",IF($Y135="Enter Hrs/Wk","",IF($E$30&gt;='FORMULA REFS'!M$1,$Y135,"")))</f>
        <v/>
      </c>
      <c r="V257" s="882"/>
      <c r="W257" s="882"/>
      <c r="X257" s="1285"/>
      <c r="Y257" s="1285" t="str">
        <f>IF($E$30="Enter Duration (wks)","",IF($Y135="Enter Hrs/Wk","",IF($E$30&gt;='FORMULA REFS'!N$1,$Y135,"")))</f>
        <v/>
      </c>
      <c r="Z257" s="1343" t="str">
        <f>IF($E$30="Enter Duration (wks)","",IF($Y135="Enter Hrs/Wk","",IF($E$30&gt;='FORMULA REFS'!O$1,$Y135,"")))</f>
        <v/>
      </c>
      <c r="AA257" s="882" t="str">
        <f>IF($E$30="Enter Duration (wks)","",IF($Y135="Enter Hrs/Wk","",IF($E$30&gt;='FORMULA REFS'!P$1,$Y135,"")))</f>
        <v/>
      </c>
      <c r="AB257" s="882" t="str">
        <f>IF($E$30="Enter Duration (wks)","",IF($Y135="Enter Hrs/Wk","",IF($E$30&gt;='FORMULA REFS'!Q$1,$Y135,"")))</f>
        <v/>
      </c>
      <c r="AC257" s="882"/>
      <c r="AD257" s="882"/>
      <c r="AE257" s="882"/>
      <c r="AF257" s="882"/>
      <c r="AG257" s="1286" t="str">
        <f>IF($E$30="Enter Duration (wks)","",IF($Y135="Enter Hrs/Wk","",IF($E$30&gt;='FORMULA REFS'!R$1,$Y135,"")))</f>
        <v/>
      </c>
      <c r="AH257" s="1286" t="str">
        <f>IF($E$30="Enter Duration (wks)","",IF($Y135="Enter Hrs/Wk","",IF($E$30&gt;='FORMULA REFS'!S$1,$Y135,"")))</f>
        <v/>
      </c>
      <c r="AI257" s="1286" t="str">
        <f>IF($E$30="Enter Duration (wks)","",IF($Y135="Enter Hrs/Wk","",IF($E$30&gt;='FORMULA REFS'!T$1,$Y135,"")))</f>
        <v/>
      </c>
      <c r="AJ257" s="1286" t="str">
        <f>IF($E$30="Enter Duration (wks)","",IF($Y135="Enter Hrs/Wk","",IF($E$30&gt;='FORMULA REFS'!U$1,$Y135,"")))</f>
        <v/>
      </c>
      <c r="AK257" s="1286" t="str">
        <f>IF($E$30="Enter Duration (wks)","",IF($Y135="Enter Hrs/Wk","",IF($E$30&gt;='FORMULA REFS'!V$1,$Y135,"")))</f>
        <v/>
      </c>
      <c r="AL257" s="1286" t="str">
        <f>IF($E$30="Enter Duration (wks)","",IF($Y135="Enter Hrs/Wk","",IF($E$30&gt;='FORMULA REFS'!W$1,$Y135,"")))</f>
        <v/>
      </c>
      <c r="AM257" s="1286" t="str">
        <f>IF($E$30="Enter Duration (wks)","",IF($Y135="Enter Hrs/Wk","",IF($E$30&gt;='FORMULA REFS'!X$1,$Y135,"")))</f>
        <v/>
      </c>
      <c r="AN257" s="1286" t="str">
        <f>IF($E$30="Enter Duration (wks)","",IF($Y135="Enter Hrs/Wk","",IF($E$30&gt;='FORMULA REFS'!Y$1,$Y135,"")))</f>
        <v/>
      </c>
      <c r="AO257" s="1286" t="str">
        <f>IF($E$30="Enter Duration (wks)","",IF($Y135="Enter Hrs/Wk","",IF($E$30&gt;='FORMULA REFS'!Z$1,$Y135,"")))</f>
        <v/>
      </c>
      <c r="AP257" s="1286" t="str">
        <f>IF($E$30="Enter Duration (wks)","",IF($Y135="Enter Hrs/Wk","",IF($E$30&gt;='FORMULA REFS'!AA$1,$Y135,"")))</f>
        <v/>
      </c>
      <c r="AQ257" s="1286" t="str">
        <f>IF($E$30="Enter Duration (wks)","",IF($Y135="Enter Hrs/Wk","",IF($E$30&gt;='FORMULA REFS'!AB$1,$Y135,"")))</f>
        <v/>
      </c>
      <c r="AR257" s="1286" t="str">
        <f>IF($E$30="Enter Duration (wks)","",IF($Y135="Enter Hrs/Wk","",IF($E$30&gt;='FORMULA REFS'!AC$1,$Y135,"")))</f>
        <v/>
      </c>
      <c r="AS257" s="1286" t="str">
        <f>IF($E$30="Enter Duration (wks)","",IF($Y135="Enter Hrs/Wk","",IF($E$30&gt;='FORMULA REFS'!AD$1,$Y135,"")))</f>
        <v/>
      </c>
      <c r="AT257" s="1286" t="str">
        <f>IF($E$30="Enter Duration (wks)","",IF($Y135="Enter Hrs/Wk","",IF($E$30&gt;='FORMULA REFS'!AE$1,$Y135,"")))</f>
        <v/>
      </c>
      <c r="AU257" s="1286" t="str">
        <f>IF($E$30="Enter Duration (wks)","",IF($Y135="Enter Hrs/Wk","",IF($E$30&gt;='FORMULA REFS'!AF$1,$Y135,"")))</f>
        <v/>
      </c>
      <c r="AV257" s="1286" t="str">
        <f>IF($E$30="Enter Duration (wks)","",IF($Y135="Enter Hrs/Wk","",IF($E$30&gt;='FORMULA REFS'!AG$1,$Y135,"")))</f>
        <v/>
      </c>
      <c r="AW257" s="1286" t="str">
        <f>IF($E$30="Enter Duration (wks)","",IF($Y135="Enter Hrs/Wk","",IF($E$30&gt;='FORMULA REFS'!AH$1,$Y135,"")))</f>
        <v/>
      </c>
      <c r="AX257" s="1286" t="str">
        <f>IF($E$30="Enter Duration (wks)","",IF($Y135="Enter Hrs/Wk","",IF($E$30&gt;='FORMULA REFS'!AI$1,$Y135,"")))</f>
        <v/>
      </c>
      <c r="AY257" s="1286" t="str">
        <f>IF($E$30="Enter Duration (wks)","",IF($Y135="Enter Hrs/Wk","",IF($E$30&gt;='FORMULA REFS'!AJ$1,$Y135,"")))</f>
        <v/>
      </c>
      <c r="AZ257" s="1286" t="str">
        <f>IF($E$30="Enter Duration (wks)","",IF($Y135="Enter Hrs/Wk","",IF($E$30&gt;='FORMULA REFS'!AK$1,$Y135,"")))</f>
        <v/>
      </c>
      <c r="BA257" s="1286" t="str">
        <f>IF($E$30="Enter Duration (wks)","",IF($Y135="Enter Hrs/Wk","",IF($E$30&gt;='FORMULA REFS'!AL$1,$Y135,"")))</f>
        <v/>
      </c>
      <c r="BB257" s="1286" t="str">
        <f>IF($E$30="Enter Duration (wks)","",IF($Y135="Enter Hrs/Wk","",IF($E$30&gt;='FORMULA REFS'!AM$1,$Y135,"")))</f>
        <v/>
      </c>
      <c r="BC257" s="1286" t="str">
        <f>IF($E$30="Enter Duration (wks)","",IF($Y135="Enter Hrs/Wk","",IF($E$30&gt;='FORMULA REFS'!AN$1,$Y135,"")))</f>
        <v/>
      </c>
      <c r="BD257" s="1286" t="str">
        <f>IF($E$30="Enter Duration (wks)","",IF($Y135="Enter Hrs/Wk","",IF($E$30&gt;='FORMULA REFS'!AO$1,$Y135,"")))</f>
        <v/>
      </c>
      <c r="BE257" s="1286" t="str">
        <f>IF($E$30="Enter Duration (wks)","",IF($Y135="Enter Hrs/Wk","",IF($E$30&gt;='FORMULA REFS'!AP$1,$Y135,"")))</f>
        <v/>
      </c>
      <c r="BF257" s="1286" t="str">
        <f>IF($E$30="Enter Duration (wks)","",IF($Y135="Enter Hrs/Wk","",IF($E$30&gt;='FORMULA REFS'!AQ$1,$Y135,"")))</f>
        <v/>
      </c>
      <c r="BG257" s="1286" t="str">
        <f>IF($E$30="Enter Duration (wks)","",IF($Y135="Enter Hrs/Wk","",IF($E$30&gt;='FORMULA REFS'!AR$1,$Y135,"")))</f>
        <v/>
      </c>
      <c r="BH257" s="1286" t="str">
        <f>IF($E$30="Enter Duration (wks)","",IF($Y135="Enter Hrs/Wk","",IF($E$30&gt;='FORMULA REFS'!AS$1,$Y135,"")))</f>
        <v/>
      </c>
      <c r="BI257" s="1286" t="str">
        <f>IF($E$30="Enter Duration (wks)","",IF($Y135="Enter Hrs/Wk","",IF($E$30&gt;='FORMULA REFS'!AT$1,$Y135,"")))</f>
        <v/>
      </c>
      <c r="BJ257" s="1286" t="str">
        <f>IF($E$30="Enter Duration (wks)","",IF($Y135="Enter Hrs/Wk","",IF($E$30&gt;='FORMULA REFS'!AU$1,$Y135,"")))</f>
        <v/>
      </c>
      <c r="BK257" s="1286" t="str">
        <f>IF($E$30="Enter Duration (wks)","",IF($Y135="Enter Hrs/Wk","",IF($E$30&gt;='FORMULA REFS'!AV$1,$Y135,"")))</f>
        <v/>
      </c>
      <c r="BL257" s="1286" t="str">
        <f>IF($E$30="Enter Duration (wks)","",IF($Y135="Enter Hrs/Wk","",IF($E$30&gt;='FORMULA REFS'!AW$1,$Y135,"")))</f>
        <v/>
      </c>
      <c r="BM257" s="1286" t="str">
        <f>IF($E$30="Enter Duration (wks)","",IF($Y135="Enter Hrs/Wk","",IF($E$30&gt;='FORMULA REFS'!AX$1,$Y135,"")))</f>
        <v/>
      </c>
      <c r="BN257" s="1286" t="str">
        <f>IF($E$30="Enter Duration (wks)","",IF($Y135="Enter Hrs/Wk","",IF($E$30&gt;='FORMULA REFS'!AY$1,$Y135,"")))</f>
        <v/>
      </c>
      <c r="BO257" s="1286" t="str">
        <f>IF($E$30="Enter Duration (wks)","",IF($Y135="Enter Hrs/Wk","",IF($E$30&gt;='FORMULA REFS'!AZ$1,$Y135,"")))</f>
        <v/>
      </c>
    </row>
    <row r="258" spans="2:67" hidden="1" outlineLevel="1" x14ac:dyDescent="0.25">
      <c r="C258" s="1291" t="str">
        <f t="shared" si="83"/>
        <v/>
      </c>
      <c r="D258" s="1319" t="str">
        <f t="shared" si="84"/>
        <v/>
      </c>
      <c r="E258" s="1326"/>
      <c r="F258" s="1327" t="str">
        <f>IF($E$30="Enter Duration (wks)","",IF($Y136="Enter Hrs/Wk","",IF($E$30&gt;='FORMULA REFS'!A$1,$Y136,"")))</f>
        <v/>
      </c>
      <c r="G258" s="1328"/>
      <c r="H258" s="1570"/>
      <c r="I258" s="1329" t="str">
        <f>IF($E$30="Enter Duration (wks)","",IF($Y136="Enter Hrs/Wk","",IF($E$30&gt;='FORMULA REFS'!B$1,$Y136,"")))</f>
        <v/>
      </c>
      <c r="J258" s="1323"/>
      <c r="K258" s="1286" t="str">
        <f>IF($E$30="Enter Duration (wks)","",IF($Y136="Enter Hrs/Wk","",IF($E$30&gt;='FORMULA REFS'!C$1,$Y136,"")))</f>
        <v/>
      </c>
      <c r="L258" s="882" t="str">
        <f>IF($E$30="Enter Duration (wks)","",IF($Y136="Enter Hrs/Wk","",IF($E$30&gt;='FORMULA REFS'!D$1,$Y136,"")))</f>
        <v/>
      </c>
      <c r="M258" s="882" t="str">
        <f>IF($E$30="Enter Duration (wks)","",IF($Y136="Enter Hrs/Wk","",IF($E$30&gt;='FORMULA REFS'!E$1,$Y136,"")))</f>
        <v/>
      </c>
      <c r="N258" s="882" t="str">
        <f>IF($E$30="Enter Duration (wks)","",IF($Y136="Enter Hrs/Wk","",IF($E$30&gt;='FORMULA REFS'!F$1,$Y136,"")))</f>
        <v/>
      </c>
      <c r="O258" s="882" t="str">
        <f>IF($E$30="Enter Duration (wks)","",IF($Y136="Enter Hrs/Wk","",IF($E$30&gt;='FORMULA REFS'!G$1,$Y136,"")))</f>
        <v/>
      </c>
      <c r="P258" s="882" t="str">
        <f>IF($E$30="Enter Duration (wks)","",IF($Y136="Enter Hrs/Wk","",IF($E$30&gt;='FORMULA REFS'!H$1,$Y136,"")))</f>
        <v/>
      </c>
      <c r="Q258" s="882" t="str">
        <f>IF($E$30="Enter Duration (wks)","",IF($Y136="Enter Hrs/Wk","",IF($E$30&gt;='FORMULA REFS'!I$1,$Y136,"")))</f>
        <v/>
      </c>
      <c r="R258" s="882" t="str">
        <f>IF($E$30="Enter Duration (wks)","",IF($Y136="Enter Hrs/Wk","",IF($E$30&gt;='FORMULA REFS'!J$1,$Y136,"")))</f>
        <v/>
      </c>
      <c r="S258" s="882" t="str">
        <f>IF($E$30="Enter Duration (wks)","",IF($Y136="Enter Hrs/Wk","",IF($E$30&gt;='FORMULA REFS'!K$1,$Y136,"")))</f>
        <v/>
      </c>
      <c r="T258" s="1323" t="str">
        <f>IF($E$30="Enter Duration (wks)","",IF($Y136="Enter Hrs/Wk","",IF($E$30&gt;='FORMULA REFS'!L$1,$Y136,"")))</f>
        <v/>
      </c>
      <c r="U258" s="882" t="str">
        <f>IF($E$30="Enter Duration (wks)","",IF($Y136="Enter Hrs/Wk","",IF($E$30&gt;='FORMULA REFS'!M$1,$Y136,"")))</f>
        <v/>
      </c>
      <c r="V258" s="882"/>
      <c r="W258" s="882"/>
      <c r="X258" s="1285"/>
      <c r="Y258" s="1285" t="str">
        <f>IF($E$30="Enter Duration (wks)","",IF($Y136="Enter Hrs/Wk","",IF($E$30&gt;='FORMULA REFS'!N$1,$Y136,"")))</f>
        <v/>
      </c>
      <c r="Z258" s="1343" t="str">
        <f>IF($E$30="Enter Duration (wks)","",IF($Y136="Enter Hrs/Wk","",IF($E$30&gt;='FORMULA REFS'!O$1,$Y136,"")))</f>
        <v/>
      </c>
      <c r="AA258" s="882" t="str">
        <f>IF($E$30="Enter Duration (wks)","",IF($Y136="Enter Hrs/Wk","",IF($E$30&gt;='FORMULA REFS'!P$1,$Y136,"")))</f>
        <v/>
      </c>
      <c r="AB258" s="882" t="str">
        <f>IF($E$30="Enter Duration (wks)","",IF($Y136="Enter Hrs/Wk","",IF($E$30&gt;='FORMULA REFS'!Q$1,$Y136,"")))</f>
        <v/>
      </c>
      <c r="AC258" s="882"/>
      <c r="AD258" s="882"/>
      <c r="AE258" s="882"/>
      <c r="AF258" s="882"/>
      <c r="AG258" s="1286" t="str">
        <f>IF($E$30="Enter Duration (wks)","",IF($Y136="Enter Hrs/Wk","",IF($E$30&gt;='FORMULA REFS'!R$1,$Y136,"")))</f>
        <v/>
      </c>
      <c r="AH258" s="1286" t="str">
        <f>IF($E$30="Enter Duration (wks)","",IF($Y136="Enter Hrs/Wk","",IF($E$30&gt;='FORMULA REFS'!S$1,$Y136,"")))</f>
        <v/>
      </c>
      <c r="AI258" s="1286" t="str">
        <f>IF($E$30="Enter Duration (wks)","",IF($Y136="Enter Hrs/Wk","",IF($E$30&gt;='FORMULA REFS'!T$1,$Y136,"")))</f>
        <v/>
      </c>
      <c r="AJ258" s="1286" t="str">
        <f>IF($E$30="Enter Duration (wks)","",IF($Y136="Enter Hrs/Wk","",IF($E$30&gt;='FORMULA REFS'!U$1,$Y136,"")))</f>
        <v/>
      </c>
      <c r="AK258" s="1286" t="str">
        <f>IF($E$30="Enter Duration (wks)","",IF($Y136="Enter Hrs/Wk","",IF($E$30&gt;='FORMULA REFS'!V$1,$Y136,"")))</f>
        <v/>
      </c>
      <c r="AL258" s="1286" t="str">
        <f>IF($E$30="Enter Duration (wks)","",IF($Y136="Enter Hrs/Wk","",IF($E$30&gt;='FORMULA REFS'!W$1,$Y136,"")))</f>
        <v/>
      </c>
      <c r="AM258" s="1286" t="str">
        <f>IF($E$30="Enter Duration (wks)","",IF($Y136="Enter Hrs/Wk","",IF($E$30&gt;='FORMULA REFS'!X$1,$Y136,"")))</f>
        <v/>
      </c>
      <c r="AN258" s="1286" t="str">
        <f>IF($E$30="Enter Duration (wks)","",IF($Y136="Enter Hrs/Wk","",IF($E$30&gt;='FORMULA REFS'!Y$1,$Y136,"")))</f>
        <v/>
      </c>
      <c r="AO258" s="1286" t="str">
        <f>IF($E$30="Enter Duration (wks)","",IF($Y136="Enter Hrs/Wk","",IF($E$30&gt;='FORMULA REFS'!Z$1,$Y136,"")))</f>
        <v/>
      </c>
      <c r="AP258" s="1286" t="str">
        <f>IF($E$30="Enter Duration (wks)","",IF($Y136="Enter Hrs/Wk","",IF($E$30&gt;='FORMULA REFS'!AA$1,$Y136,"")))</f>
        <v/>
      </c>
      <c r="AQ258" s="1286" t="str">
        <f>IF($E$30="Enter Duration (wks)","",IF($Y136="Enter Hrs/Wk","",IF($E$30&gt;='FORMULA REFS'!AB$1,$Y136,"")))</f>
        <v/>
      </c>
      <c r="AR258" s="1286" t="str">
        <f>IF($E$30="Enter Duration (wks)","",IF($Y136="Enter Hrs/Wk","",IF($E$30&gt;='FORMULA REFS'!AC$1,$Y136,"")))</f>
        <v/>
      </c>
      <c r="AS258" s="1286" t="str">
        <f>IF($E$30="Enter Duration (wks)","",IF($Y136="Enter Hrs/Wk","",IF($E$30&gt;='FORMULA REFS'!AD$1,$Y136,"")))</f>
        <v/>
      </c>
      <c r="AT258" s="1286" t="str">
        <f>IF($E$30="Enter Duration (wks)","",IF($Y136="Enter Hrs/Wk","",IF($E$30&gt;='FORMULA REFS'!AE$1,$Y136,"")))</f>
        <v/>
      </c>
      <c r="AU258" s="1286" t="str">
        <f>IF($E$30="Enter Duration (wks)","",IF($Y136="Enter Hrs/Wk","",IF($E$30&gt;='FORMULA REFS'!AF$1,$Y136,"")))</f>
        <v/>
      </c>
      <c r="AV258" s="1286" t="str">
        <f>IF($E$30="Enter Duration (wks)","",IF($Y136="Enter Hrs/Wk","",IF($E$30&gt;='FORMULA REFS'!AG$1,$Y136,"")))</f>
        <v/>
      </c>
      <c r="AW258" s="1286" t="str">
        <f>IF($E$30="Enter Duration (wks)","",IF($Y136="Enter Hrs/Wk","",IF($E$30&gt;='FORMULA REFS'!AH$1,$Y136,"")))</f>
        <v/>
      </c>
      <c r="AX258" s="1286" t="str">
        <f>IF($E$30="Enter Duration (wks)","",IF($Y136="Enter Hrs/Wk","",IF($E$30&gt;='FORMULA REFS'!AI$1,$Y136,"")))</f>
        <v/>
      </c>
      <c r="AY258" s="1286" t="str">
        <f>IF($E$30="Enter Duration (wks)","",IF($Y136="Enter Hrs/Wk","",IF($E$30&gt;='FORMULA REFS'!AJ$1,$Y136,"")))</f>
        <v/>
      </c>
      <c r="AZ258" s="1286" t="str">
        <f>IF($E$30="Enter Duration (wks)","",IF($Y136="Enter Hrs/Wk","",IF($E$30&gt;='FORMULA REFS'!AK$1,$Y136,"")))</f>
        <v/>
      </c>
      <c r="BA258" s="1286" t="str">
        <f>IF($E$30="Enter Duration (wks)","",IF($Y136="Enter Hrs/Wk","",IF($E$30&gt;='FORMULA REFS'!AL$1,$Y136,"")))</f>
        <v/>
      </c>
      <c r="BB258" s="1286" t="str">
        <f>IF($E$30="Enter Duration (wks)","",IF($Y136="Enter Hrs/Wk","",IF($E$30&gt;='FORMULA REFS'!AM$1,$Y136,"")))</f>
        <v/>
      </c>
      <c r="BC258" s="1286" t="str">
        <f>IF($E$30="Enter Duration (wks)","",IF($Y136="Enter Hrs/Wk","",IF($E$30&gt;='FORMULA REFS'!AN$1,$Y136,"")))</f>
        <v/>
      </c>
      <c r="BD258" s="1286" t="str">
        <f>IF($E$30="Enter Duration (wks)","",IF($Y136="Enter Hrs/Wk","",IF($E$30&gt;='FORMULA REFS'!AO$1,$Y136,"")))</f>
        <v/>
      </c>
      <c r="BE258" s="1286" t="str">
        <f>IF($E$30="Enter Duration (wks)","",IF($Y136="Enter Hrs/Wk","",IF($E$30&gt;='FORMULA REFS'!AP$1,$Y136,"")))</f>
        <v/>
      </c>
      <c r="BF258" s="1286" t="str">
        <f>IF($E$30="Enter Duration (wks)","",IF($Y136="Enter Hrs/Wk","",IF($E$30&gt;='FORMULA REFS'!AQ$1,$Y136,"")))</f>
        <v/>
      </c>
      <c r="BG258" s="1286" t="str">
        <f>IF($E$30="Enter Duration (wks)","",IF($Y136="Enter Hrs/Wk","",IF($E$30&gt;='FORMULA REFS'!AR$1,$Y136,"")))</f>
        <v/>
      </c>
      <c r="BH258" s="1286" t="str">
        <f>IF($E$30="Enter Duration (wks)","",IF($Y136="Enter Hrs/Wk","",IF($E$30&gt;='FORMULA REFS'!AS$1,$Y136,"")))</f>
        <v/>
      </c>
      <c r="BI258" s="1286" t="str">
        <f>IF($E$30="Enter Duration (wks)","",IF($Y136="Enter Hrs/Wk","",IF($E$30&gt;='FORMULA REFS'!AT$1,$Y136,"")))</f>
        <v/>
      </c>
      <c r="BJ258" s="1286" t="str">
        <f>IF($E$30="Enter Duration (wks)","",IF($Y136="Enter Hrs/Wk","",IF($E$30&gt;='FORMULA REFS'!AU$1,$Y136,"")))</f>
        <v/>
      </c>
      <c r="BK258" s="1286" t="str">
        <f>IF($E$30="Enter Duration (wks)","",IF($Y136="Enter Hrs/Wk","",IF($E$30&gt;='FORMULA REFS'!AV$1,$Y136,"")))</f>
        <v/>
      </c>
      <c r="BL258" s="1286" t="str">
        <f>IF($E$30="Enter Duration (wks)","",IF($Y136="Enter Hrs/Wk","",IF($E$30&gt;='FORMULA REFS'!AW$1,$Y136,"")))</f>
        <v/>
      </c>
      <c r="BM258" s="1286" t="str">
        <f>IF($E$30="Enter Duration (wks)","",IF($Y136="Enter Hrs/Wk","",IF($E$30&gt;='FORMULA REFS'!AX$1,$Y136,"")))</f>
        <v/>
      </c>
      <c r="BN258" s="1286" t="str">
        <f>IF($E$30="Enter Duration (wks)","",IF($Y136="Enter Hrs/Wk","",IF($E$30&gt;='FORMULA REFS'!AY$1,$Y136,"")))</f>
        <v/>
      </c>
      <c r="BO258" s="1286" t="str">
        <f>IF($E$30="Enter Duration (wks)","",IF($Y136="Enter Hrs/Wk","",IF($E$30&gt;='FORMULA REFS'!AZ$1,$Y136,"")))</f>
        <v/>
      </c>
    </row>
    <row r="259" spans="2:67" hidden="1" outlineLevel="1" x14ac:dyDescent="0.25">
      <c r="C259" s="1291" t="str">
        <f t="shared" si="83"/>
        <v/>
      </c>
      <c r="D259" s="1319" t="str">
        <f t="shared" si="84"/>
        <v/>
      </c>
      <c r="E259" s="1326"/>
      <c r="F259" s="1327" t="str">
        <f>IF($E$30="Enter Duration (wks)","",IF($Y137="Enter Hrs/Wk","",IF($E$30&gt;='FORMULA REFS'!A$1,$Y137,"")))</f>
        <v/>
      </c>
      <c r="G259" s="1328"/>
      <c r="H259" s="1570"/>
      <c r="I259" s="1329" t="str">
        <f>IF($E$30="Enter Duration (wks)","",IF($Y137="Enter Hrs/Wk","",IF($E$30&gt;='FORMULA REFS'!B$1,$Y137,"")))</f>
        <v/>
      </c>
      <c r="J259" s="1323"/>
      <c r="K259" s="1286" t="str">
        <f>IF($E$30="Enter Duration (wks)","",IF($Y137="Enter Hrs/Wk","",IF($E$30&gt;='FORMULA REFS'!C$1,$Y137,"")))</f>
        <v/>
      </c>
      <c r="L259" s="882" t="str">
        <f>IF($E$30="Enter Duration (wks)","",IF($Y137="Enter Hrs/Wk","",IF($E$30&gt;='FORMULA REFS'!D$1,$Y137,"")))</f>
        <v/>
      </c>
      <c r="M259" s="882" t="str">
        <f>IF($E$30="Enter Duration (wks)","",IF($Y137="Enter Hrs/Wk","",IF($E$30&gt;='FORMULA REFS'!E$1,$Y137,"")))</f>
        <v/>
      </c>
      <c r="N259" s="882" t="str">
        <f>IF($E$30="Enter Duration (wks)","",IF($Y137="Enter Hrs/Wk","",IF($E$30&gt;='FORMULA REFS'!F$1,$Y137,"")))</f>
        <v/>
      </c>
      <c r="O259" s="882" t="str">
        <f>IF($E$30="Enter Duration (wks)","",IF($Y137="Enter Hrs/Wk","",IF($E$30&gt;='FORMULA REFS'!G$1,$Y137,"")))</f>
        <v/>
      </c>
      <c r="P259" s="882" t="str">
        <f>IF($E$30="Enter Duration (wks)","",IF($Y137="Enter Hrs/Wk","",IF($E$30&gt;='FORMULA REFS'!H$1,$Y137,"")))</f>
        <v/>
      </c>
      <c r="Q259" s="882" t="str">
        <f>IF($E$30="Enter Duration (wks)","",IF($Y137="Enter Hrs/Wk","",IF($E$30&gt;='FORMULA REFS'!I$1,$Y137,"")))</f>
        <v/>
      </c>
      <c r="R259" s="882" t="str">
        <f>IF($E$30="Enter Duration (wks)","",IF($Y137="Enter Hrs/Wk","",IF($E$30&gt;='FORMULA REFS'!J$1,$Y137,"")))</f>
        <v/>
      </c>
      <c r="S259" s="882" t="str">
        <f>IF($E$30="Enter Duration (wks)","",IF($Y137="Enter Hrs/Wk","",IF($E$30&gt;='FORMULA REFS'!K$1,$Y137,"")))</f>
        <v/>
      </c>
      <c r="T259" s="1323" t="str">
        <f>IF($E$30="Enter Duration (wks)","",IF($Y137="Enter Hrs/Wk","",IF($E$30&gt;='FORMULA REFS'!L$1,$Y137,"")))</f>
        <v/>
      </c>
      <c r="U259" s="882" t="str">
        <f>IF($E$30="Enter Duration (wks)","",IF($Y137="Enter Hrs/Wk","",IF($E$30&gt;='FORMULA REFS'!M$1,$Y137,"")))</f>
        <v/>
      </c>
      <c r="V259" s="882"/>
      <c r="W259" s="882"/>
      <c r="X259" s="1285"/>
      <c r="Y259" s="1285" t="str">
        <f>IF($E$30="Enter Duration (wks)","",IF($Y137="Enter Hrs/Wk","",IF($E$30&gt;='FORMULA REFS'!N$1,$Y137,"")))</f>
        <v/>
      </c>
      <c r="Z259" s="1343" t="str">
        <f>IF($E$30="Enter Duration (wks)","",IF($Y137="Enter Hrs/Wk","",IF($E$30&gt;='FORMULA REFS'!O$1,$Y137,"")))</f>
        <v/>
      </c>
      <c r="AA259" s="882" t="str">
        <f>IF($E$30="Enter Duration (wks)","",IF($Y137="Enter Hrs/Wk","",IF($E$30&gt;='FORMULA REFS'!P$1,$Y137,"")))</f>
        <v/>
      </c>
      <c r="AB259" s="882" t="str">
        <f>IF($E$30="Enter Duration (wks)","",IF($Y137="Enter Hrs/Wk","",IF($E$30&gt;='FORMULA REFS'!Q$1,$Y137,"")))</f>
        <v/>
      </c>
      <c r="AC259" s="882"/>
      <c r="AD259" s="882"/>
      <c r="AE259" s="882"/>
      <c r="AF259" s="882"/>
      <c r="AG259" s="1286" t="str">
        <f>IF($E$30="Enter Duration (wks)","",IF($Y137="Enter Hrs/Wk","",IF($E$30&gt;='FORMULA REFS'!R$1,$Y137,"")))</f>
        <v/>
      </c>
      <c r="AH259" s="1286" t="str">
        <f>IF($E$30="Enter Duration (wks)","",IF($Y137="Enter Hrs/Wk","",IF($E$30&gt;='FORMULA REFS'!S$1,$Y137,"")))</f>
        <v/>
      </c>
      <c r="AI259" s="1286" t="str">
        <f>IF($E$30="Enter Duration (wks)","",IF($Y137="Enter Hrs/Wk","",IF($E$30&gt;='FORMULA REFS'!T$1,$Y137,"")))</f>
        <v/>
      </c>
      <c r="AJ259" s="1286" t="str">
        <f>IF($E$30="Enter Duration (wks)","",IF($Y137="Enter Hrs/Wk","",IF($E$30&gt;='FORMULA REFS'!U$1,$Y137,"")))</f>
        <v/>
      </c>
      <c r="AK259" s="1286" t="str">
        <f>IF($E$30="Enter Duration (wks)","",IF($Y137="Enter Hrs/Wk","",IF($E$30&gt;='FORMULA REFS'!V$1,$Y137,"")))</f>
        <v/>
      </c>
      <c r="AL259" s="1286" t="str">
        <f>IF($E$30="Enter Duration (wks)","",IF($Y137="Enter Hrs/Wk","",IF($E$30&gt;='FORMULA REFS'!W$1,$Y137,"")))</f>
        <v/>
      </c>
      <c r="AM259" s="1286" t="str">
        <f>IF($E$30="Enter Duration (wks)","",IF($Y137="Enter Hrs/Wk","",IF($E$30&gt;='FORMULA REFS'!X$1,$Y137,"")))</f>
        <v/>
      </c>
      <c r="AN259" s="1286" t="str">
        <f>IF($E$30="Enter Duration (wks)","",IF($Y137="Enter Hrs/Wk","",IF($E$30&gt;='FORMULA REFS'!Y$1,$Y137,"")))</f>
        <v/>
      </c>
      <c r="AO259" s="1286" t="str">
        <f>IF($E$30="Enter Duration (wks)","",IF($Y137="Enter Hrs/Wk","",IF($E$30&gt;='FORMULA REFS'!Z$1,$Y137,"")))</f>
        <v/>
      </c>
      <c r="AP259" s="1286" t="str">
        <f>IF($E$30="Enter Duration (wks)","",IF($Y137="Enter Hrs/Wk","",IF($E$30&gt;='FORMULA REFS'!AA$1,$Y137,"")))</f>
        <v/>
      </c>
      <c r="AQ259" s="1286" t="str">
        <f>IF($E$30="Enter Duration (wks)","",IF($Y137="Enter Hrs/Wk","",IF($E$30&gt;='FORMULA REFS'!AB$1,$Y137,"")))</f>
        <v/>
      </c>
      <c r="AR259" s="1286" t="str">
        <f>IF($E$30="Enter Duration (wks)","",IF($Y137="Enter Hrs/Wk","",IF($E$30&gt;='FORMULA REFS'!AC$1,$Y137,"")))</f>
        <v/>
      </c>
      <c r="AS259" s="1286" t="str">
        <f>IF($E$30="Enter Duration (wks)","",IF($Y137="Enter Hrs/Wk","",IF($E$30&gt;='FORMULA REFS'!AD$1,$Y137,"")))</f>
        <v/>
      </c>
      <c r="AT259" s="1286" t="str">
        <f>IF($E$30="Enter Duration (wks)","",IF($Y137="Enter Hrs/Wk","",IF($E$30&gt;='FORMULA REFS'!AE$1,$Y137,"")))</f>
        <v/>
      </c>
      <c r="AU259" s="1286" t="str">
        <f>IF($E$30="Enter Duration (wks)","",IF($Y137="Enter Hrs/Wk","",IF($E$30&gt;='FORMULA REFS'!AF$1,$Y137,"")))</f>
        <v/>
      </c>
      <c r="AV259" s="1286" t="str">
        <f>IF($E$30="Enter Duration (wks)","",IF($Y137="Enter Hrs/Wk","",IF($E$30&gt;='FORMULA REFS'!AG$1,$Y137,"")))</f>
        <v/>
      </c>
      <c r="AW259" s="1286" t="str">
        <f>IF($E$30="Enter Duration (wks)","",IF($Y137="Enter Hrs/Wk","",IF($E$30&gt;='FORMULA REFS'!AH$1,$Y137,"")))</f>
        <v/>
      </c>
      <c r="AX259" s="1286" t="str">
        <f>IF($E$30="Enter Duration (wks)","",IF($Y137="Enter Hrs/Wk","",IF($E$30&gt;='FORMULA REFS'!AI$1,$Y137,"")))</f>
        <v/>
      </c>
      <c r="AY259" s="1286" t="str">
        <f>IF($E$30="Enter Duration (wks)","",IF($Y137="Enter Hrs/Wk","",IF($E$30&gt;='FORMULA REFS'!AJ$1,$Y137,"")))</f>
        <v/>
      </c>
      <c r="AZ259" s="1286" t="str">
        <f>IF($E$30="Enter Duration (wks)","",IF($Y137="Enter Hrs/Wk","",IF($E$30&gt;='FORMULA REFS'!AK$1,$Y137,"")))</f>
        <v/>
      </c>
      <c r="BA259" s="1286" t="str">
        <f>IF($E$30="Enter Duration (wks)","",IF($Y137="Enter Hrs/Wk","",IF($E$30&gt;='FORMULA REFS'!AL$1,$Y137,"")))</f>
        <v/>
      </c>
      <c r="BB259" s="1286" t="str">
        <f>IF($E$30="Enter Duration (wks)","",IF($Y137="Enter Hrs/Wk","",IF($E$30&gt;='FORMULA REFS'!AM$1,$Y137,"")))</f>
        <v/>
      </c>
      <c r="BC259" s="1286" t="str">
        <f>IF($E$30="Enter Duration (wks)","",IF($Y137="Enter Hrs/Wk","",IF($E$30&gt;='FORMULA REFS'!AN$1,$Y137,"")))</f>
        <v/>
      </c>
      <c r="BD259" s="1286" t="str">
        <f>IF($E$30="Enter Duration (wks)","",IF($Y137="Enter Hrs/Wk","",IF($E$30&gt;='FORMULA REFS'!AO$1,$Y137,"")))</f>
        <v/>
      </c>
      <c r="BE259" s="1286" t="str">
        <f>IF($E$30="Enter Duration (wks)","",IF($Y137="Enter Hrs/Wk","",IF($E$30&gt;='FORMULA REFS'!AP$1,$Y137,"")))</f>
        <v/>
      </c>
      <c r="BF259" s="1286" t="str">
        <f>IF($E$30="Enter Duration (wks)","",IF($Y137="Enter Hrs/Wk","",IF($E$30&gt;='FORMULA REFS'!AQ$1,$Y137,"")))</f>
        <v/>
      </c>
      <c r="BG259" s="1286" t="str">
        <f>IF($E$30="Enter Duration (wks)","",IF($Y137="Enter Hrs/Wk","",IF($E$30&gt;='FORMULA REFS'!AR$1,$Y137,"")))</f>
        <v/>
      </c>
      <c r="BH259" s="1286" t="str">
        <f>IF($E$30="Enter Duration (wks)","",IF($Y137="Enter Hrs/Wk","",IF($E$30&gt;='FORMULA REFS'!AS$1,$Y137,"")))</f>
        <v/>
      </c>
      <c r="BI259" s="1286" t="str">
        <f>IF($E$30="Enter Duration (wks)","",IF($Y137="Enter Hrs/Wk","",IF($E$30&gt;='FORMULA REFS'!AT$1,$Y137,"")))</f>
        <v/>
      </c>
      <c r="BJ259" s="1286" t="str">
        <f>IF($E$30="Enter Duration (wks)","",IF($Y137="Enter Hrs/Wk","",IF($E$30&gt;='FORMULA REFS'!AU$1,$Y137,"")))</f>
        <v/>
      </c>
      <c r="BK259" s="1286" t="str">
        <f>IF($E$30="Enter Duration (wks)","",IF($Y137="Enter Hrs/Wk","",IF($E$30&gt;='FORMULA REFS'!AV$1,$Y137,"")))</f>
        <v/>
      </c>
      <c r="BL259" s="1286" t="str">
        <f>IF($E$30="Enter Duration (wks)","",IF($Y137="Enter Hrs/Wk","",IF($E$30&gt;='FORMULA REFS'!AW$1,$Y137,"")))</f>
        <v/>
      </c>
      <c r="BM259" s="1286" t="str">
        <f>IF($E$30="Enter Duration (wks)","",IF($Y137="Enter Hrs/Wk","",IF($E$30&gt;='FORMULA REFS'!AX$1,$Y137,"")))</f>
        <v/>
      </c>
      <c r="BN259" s="1286" t="str">
        <f>IF($E$30="Enter Duration (wks)","",IF($Y137="Enter Hrs/Wk","",IF($E$30&gt;='FORMULA REFS'!AY$1,$Y137,"")))</f>
        <v/>
      </c>
      <c r="BO259" s="1286" t="str">
        <f>IF($E$30="Enter Duration (wks)","",IF($Y137="Enter Hrs/Wk","",IF($E$30&gt;='FORMULA REFS'!AZ$1,$Y137,"")))</f>
        <v/>
      </c>
    </row>
    <row r="260" spans="2:67" hidden="1" outlineLevel="1" x14ac:dyDescent="0.25">
      <c r="C260" s="1291" t="str">
        <f t="shared" si="83"/>
        <v/>
      </c>
      <c r="D260" s="1319" t="str">
        <f t="shared" si="84"/>
        <v/>
      </c>
      <c r="E260" s="1326"/>
      <c r="F260" s="1327" t="str">
        <f>IF($E$30="Enter Duration (wks)","",IF($Y138="Enter Hrs/Wk","",IF($E$30&gt;='FORMULA REFS'!A$1,$Y138,"")))</f>
        <v/>
      </c>
      <c r="G260" s="1328"/>
      <c r="H260" s="1570"/>
      <c r="I260" s="1329" t="str">
        <f>IF($E$30="Enter Duration (wks)","",IF($Y138="Enter Hrs/Wk","",IF($E$30&gt;='FORMULA REFS'!B$1,$Y138,"")))</f>
        <v/>
      </c>
      <c r="J260" s="1323"/>
      <c r="K260" s="1286" t="str">
        <f>IF($E$30="Enter Duration (wks)","",IF($Y138="Enter Hrs/Wk","",IF($E$30&gt;='FORMULA REFS'!C$1,$Y138,"")))</f>
        <v/>
      </c>
      <c r="L260" s="882" t="str">
        <f>IF($E$30="Enter Duration (wks)","",IF($Y138="Enter Hrs/Wk","",IF($E$30&gt;='FORMULA REFS'!D$1,$Y138,"")))</f>
        <v/>
      </c>
      <c r="M260" s="882" t="str">
        <f>IF($E$30="Enter Duration (wks)","",IF($Y138="Enter Hrs/Wk","",IF($E$30&gt;='FORMULA REFS'!E$1,$Y138,"")))</f>
        <v/>
      </c>
      <c r="N260" s="882" t="str">
        <f>IF($E$30="Enter Duration (wks)","",IF($Y138="Enter Hrs/Wk","",IF($E$30&gt;='FORMULA REFS'!F$1,$Y138,"")))</f>
        <v/>
      </c>
      <c r="O260" s="882" t="str">
        <f>IF($E$30="Enter Duration (wks)","",IF($Y138="Enter Hrs/Wk","",IF($E$30&gt;='FORMULA REFS'!G$1,$Y138,"")))</f>
        <v/>
      </c>
      <c r="P260" s="882" t="str">
        <f>IF($E$30="Enter Duration (wks)","",IF($Y138="Enter Hrs/Wk","",IF($E$30&gt;='FORMULA REFS'!H$1,$Y138,"")))</f>
        <v/>
      </c>
      <c r="Q260" s="882" t="str">
        <f>IF($E$30="Enter Duration (wks)","",IF($Y138="Enter Hrs/Wk","",IF($E$30&gt;='FORMULA REFS'!I$1,$Y138,"")))</f>
        <v/>
      </c>
      <c r="R260" s="882" t="str">
        <f>IF($E$30="Enter Duration (wks)","",IF($Y138="Enter Hrs/Wk","",IF($E$30&gt;='FORMULA REFS'!J$1,$Y138,"")))</f>
        <v/>
      </c>
      <c r="S260" s="882" t="str">
        <f>IF($E$30="Enter Duration (wks)","",IF($Y138="Enter Hrs/Wk","",IF($E$30&gt;='FORMULA REFS'!K$1,$Y138,"")))</f>
        <v/>
      </c>
      <c r="T260" s="1323" t="str">
        <f>IF($E$30="Enter Duration (wks)","",IF($Y138="Enter Hrs/Wk","",IF($E$30&gt;='FORMULA REFS'!L$1,$Y138,"")))</f>
        <v/>
      </c>
      <c r="U260" s="882" t="str">
        <f>IF($E$30="Enter Duration (wks)","",IF($Y138="Enter Hrs/Wk","",IF($E$30&gt;='FORMULA REFS'!M$1,$Y138,"")))</f>
        <v/>
      </c>
      <c r="V260" s="882"/>
      <c r="W260" s="882"/>
      <c r="X260" s="1285"/>
      <c r="Y260" s="1285" t="str">
        <f>IF($E$30="Enter Duration (wks)","",IF($Y138="Enter Hrs/Wk","",IF($E$30&gt;='FORMULA REFS'!N$1,$Y138,"")))</f>
        <v/>
      </c>
      <c r="Z260" s="1343" t="str">
        <f>IF($E$30="Enter Duration (wks)","",IF($Y138="Enter Hrs/Wk","",IF($E$30&gt;='FORMULA REFS'!O$1,$Y138,"")))</f>
        <v/>
      </c>
      <c r="AA260" s="882" t="str">
        <f>IF($E$30="Enter Duration (wks)","",IF($Y138="Enter Hrs/Wk","",IF($E$30&gt;='FORMULA REFS'!P$1,$Y138,"")))</f>
        <v/>
      </c>
      <c r="AB260" s="882" t="str">
        <f>IF($E$30="Enter Duration (wks)","",IF($Y138="Enter Hrs/Wk","",IF($E$30&gt;='FORMULA REFS'!Q$1,$Y138,"")))</f>
        <v/>
      </c>
      <c r="AC260" s="882"/>
      <c r="AD260" s="882"/>
      <c r="AE260" s="882"/>
      <c r="AF260" s="882"/>
      <c r="AG260" s="1286" t="str">
        <f>IF($E$30="Enter Duration (wks)","",IF($Y138="Enter Hrs/Wk","",IF($E$30&gt;='FORMULA REFS'!R$1,$Y138,"")))</f>
        <v/>
      </c>
      <c r="AH260" s="1286" t="str">
        <f>IF($E$30="Enter Duration (wks)","",IF($Y138="Enter Hrs/Wk","",IF($E$30&gt;='FORMULA REFS'!S$1,$Y138,"")))</f>
        <v/>
      </c>
      <c r="AI260" s="1286" t="str">
        <f>IF($E$30="Enter Duration (wks)","",IF($Y138="Enter Hrs/Wk","",IF($E$30&gt;='FORMULA REFS'!T$1,$Y138,"")))</f>
        <v/>
      </c>
      <c r="AJ260" s="1286" t="str">
        <f>IF($E$30="Enter Duration (wks)","",IF($Y138="Enter Hrs/Wk","",IF($E$30&gt;='FORMULA REFS'!U$1,$Y138,"")))</f>
        <v/>
      </c>
      <c r="AK260" s="1286" t="str">
        <f>IF($E$30="Enter Duration (wks)","",IF($Y138="Enter Hrs/Wk","",IF($E$30&gt;='FORMULA REFS'!V$1,$Y138,"")))</f>
        <v/>
      </c>
      <c r="AL260" s="1286" t="str">
        <f>IF($E$30="Enter Duration (wks)","",IF($Y138="Enter Hrs/Wk","",IF($E$30&gt;='FORMULA REFS'!W$1,$Y138,"")))</f>
        <v/>
      </c>
      <c r="AM260" s="1286" t="str">
        <f>IF($E$30="Enter Duration (wks)","",IF($Y138="Enter Hrs/Wk","",IF($E$30&gt;='FORMULA REFS'!X$1,$Y138,"")))</f>
        <v/>
      </c>
      <c r="AN260" s="1286" t="str">
        <f>IF($E$30="Enter Duration (wks)","",IF($Y138="Enter Hrs/Wk","",IF($E$30&gt;='FORMULA REFS'!Y$1,$Y138,"")))</f>
        <v/>
      </c>
      <c r="AO260" s="1286" t="str">
        <f>IF($E$30="Enter Duration (wks)","",IF($Y138="Enter Hrs/Wk","",IF($E$30&gt;='FORMULA REFS'!Z$1,$Y138,"")))</f>
        <v/>
      </c>
      <c r="AP260" s="1286" t="str">
        <f>IF($E$30="Enter Duration (wks)","",IF($Y138="Enter Hrs/Wk","",IF($E$30&gt;='FORMULA REFS'!AA$1,$Y138,"")))</f>
        <v/>
      </c>
      <c r="AQ260" s="1286" t="str">
        <f>IF($E$30="Enter Duration (wks)","",IF($Y138="Enter Hrs/Wk","",IF($E$30&gt;='FORMULA REFS'!AB$1,$Y138,"")))</f>
        <v/>
      </c>
      <c r="AR260" s="1286" t="str">
        <f>IF($E$30="Enter Duration (wks)","",IF($Y138="Enter Hrs/Wk","",IF($E$30&gt;='FORMULA REFS'!AC$1,$Y138,"")))</f>
        <v/>
      </c>
      <c r="AS260" s="1286" t="str">
        <f>IF($E$30="Enter Duration (wks)","",IF($Y138="Enter Hrs/Wk","",IF($E$30&gt;='FORMULA REFS'!AD$1,$Y138,"")))</f>
        <v/>
      </c>
      <c r="AT260" s="1286" t="str">
        <f>IF($E$30="Enter Duration (wks)","",IF($Y138="Enter Hrs/Wk","",IF($E$30&gt;='FORMULA REFS'!AE$1,$Y138,"")))</f>
        <v/>
      </c>
      <c r="AU260" s="1286" t="str">
        <f>IF($E$30="Enter Duration (wks)","",IF($Y138="Enter Hrs/Wk","",IF($E$30&gt;='FORMULA REFS'!AF$1,$Y138,"")))</f>
        <v/>
      </c>
      <c r="AV260" s="1286" t="str">
        <f>IF($E$30="Enter Duration (wks)","",IF($Y138="Enter Hrs/Wk","",IF($E$30&gt;='FORMULA REFS'!AG$1,$Y138,"")))</f>
        <v/>
      </c>
      <c r="AW260" s="1286" t="str">
        <f>IF($E$30="Enter Duration (wks)","",IF($Y138="Enter Hrs/Wk","",IF($E$30&gt;='FORMULA REFS'!AH$1,$Y138,"")))</f>
        <v/>
      </c>
      <c r="AX260" s="1286" t="str">
        <f>IF($E$30="Enter Duration (wks)","",IF($Y138="Enter Hrs/Wk","",IF($E$30&gt;='FORMULA REFS'!AI$1,$Y138,"")))</f>
        <v/>
      </c>
      <c r="AY260" s="1286" t="str">
        <f>IF($E$30="Enter Duration (wks)","",IF($Y138="Enter Hrs/Wk","",IF($E$30&gt;='FORMULA REFS'!AJ$1,$Y138,"")))</f>
        <v/>
      </c>
      <c r="AZ260" s="1286" t="str">
        <f>IF($E$30="Enter Duration (wks)","",IF($Y138="Enter Hrs/Wk","",IF($E$30&gt;='FORMULA REFS'!AK$1,$Y138,"")))</f>
        <v/>
      </c>
      <c r="BA260" s="1286" t="str">
        <f>IF($E$30="Enter Duration (wks)","",IF($Y138="Enter Hrs/Wk","",IF($E$30&gt;='FORMULA REFS'!AL$1,$Y138,"")))</f>
        <v/>
      </c>
      <c r="BB260" s="1286" t="str">
        <f>IF($E$30="Enter Duration (wks)","",IF($Y138="Enter Hrs/Wk","",IF($E$30&gt;='FORMULA REFS'!AM$1,$Y138,"")))</f>
        <v/>
      </c>
      <c r="BC260" s="1286" t="str">
        <f>IF($E$30="Enter Duration (wks)","",IF($Y138="Enter Hrs/Wk","",IF($E$30&gt;='FORMULA REFS'!AN$1,$Y138,"")))</f>
        <v/>
      </c>
      <c r="BD260" s="1286" t="str">
        <f>IF($E$30="Enter Duration (wks)","",IF($Y138="Enter Hrs/Wk","",IF($E$30&gt;='FORMULA REFS'!AO$1,$Y138,"")))</f>
        <v/>
      </c>
      <c r="BE260" s="1286" t="str">
        <f>IF($E$30="Enter Duration (wks)","",IF($Y138="Enter Hrs/Wk","",IF($E$30&gt;='FORMULA REFS'!AP$1,$Y138,"")))</f>
        <v/>
      </c>
      <c r="BF260" s="1286" t="str">
        <f>IF($E$30="Enter Duration (wks)","",IF($Y138="Enter Hrs/Wk","",IF($E$30&gt;='FORMULA REFS'!AQ$1,$Y138,"")))</f>
        <v/>
      </c>
      <c r="BG260" s="1286" t="str">
        <f>IF($E$30="Enter Duration (wks)","",IF($Y138="Enter Hrs/Wk","",IF($E$30&gt;='FORMULA REFS'!AR$1,$Y138,"")))</f>
        <v/>
      </c>
      <c r="BH260" s="1286" t="str">
        <f>IF($E$30="Enter Duration (wks)","",IF($Y138="Enter Hrs/Wk","",IF($E$30&gt;='FORMULA REFS'!AS$1,$Y138,"")))</f>
        <v/>
      </c>
      <c r="BI260" s="1286" t="str">
        <f>IF($E$30="Enter Duration (wks)","",IF($Y138="Enter Hrs/Wk","",IF($E$30&gt;='FORMULA REFS'!AT$1,$Y138,"")))</f>
        <v/>
      </c>
      <c r="BJ260" s="1286" t="str">
        <f>IF($E$30="Enter Duration (wks)","",IF($Y138="Enter Hrs/Wk","",IF($E$30&gt;='FORMULA REFS'!AU$1,$Y138,"")))</f>
        <v/>
      </c>
      <c r="BK260" s="1286" t="str">
        <f>IF($E$30="Enter Duration (wks)","",IF($Y138="Enter Hrs/Wk","",IF($E$30&gt;='FORMULA REFS'!AV$1,$Y138,"")))</f>
        <v/>
      </c>
      <c r="BL260" s="1286" t="str">
        <f>IF($E$30="Enter Duration (wks)","",IF($Y138="Enter Hrs/Wk","",IF($E$30&gt;='FORMULA REFS'!AW$1,$Y138,"")))</f>
        <v/>
      </c>
      <c r="BM260" s="1286" t="str">
        <f>IF($E$30="Enter Duration (wks)","",IF($Y138="Enter Hrs/Wk","",IF($E$30&gt;='FORMULA REFS'!AX$1,$Y138,"")))</f>
        <v/>
      </c>
      <c r="BN260" s="1286" t="str">
        <f>IF($E$30="Enter Duration (wks)","",IF($Y138="Enter Hrs/Wk","",IF($E$30&gt;='FORMULA REFS'!AY$1,$Y138,"")))</f>
        <v/>
      </c>
      <c r="BO260" s="1286" t="str">
        <f>IF($E$30="Enter Duration (wks)","",IF($Y138="Enter Hrs/Wk","",IF($E$30&gt;='FORMULA REFS'!AZ$1,$Y138,"")))</f>
        <v/>
      </c>
    </row>
    <row r="261" spans="2:67" hidden="1" outlineLevel="1" x14ac:dyDescent="0.25">
      <c r="C261" s="1291" t="str">
        <f t="shared" si="83"/>
        <v/>
      </c>
      <c r="D261" s="1319" t="str">
        <f t="shared" si="84"/>
        <v/>
      </c>
      <c r="E261" s="1326"/>
      <c r="F261" s="1327" t="str">
        <f>IF($E$30="Enter Duration (wks)","",IF($Y139="Enter Hrs/Wk","",IF($E$30&gt;='FORMULA REFS'!A$1,$Y139,"")))</f>
        <v/>
      </c>
      <c r="G261" s="1328"/>
      <c r="H261" s="1570"/>
      <c r="I261" s="1329" t="str">
        <f>IF($E$30="Enter Duration (wks)","",IF($Y139="Enter Hrs/Wk","",IF($E$30&gt;='FORMULA REFS'!B$1,$Y139,"")))</f>
        <v/>
      </c>
      <c r="J261" s="1323"/>
      <c r="K261" s="1286" t="str">
        <f>IF($E$30="Enter Duration (wks)","",IF($Y139="Enter Hrs/Wk","",IF($E$30&gt;='FORMULA REFS'!C$1,$Y139,"")))</f>
        <v/>
      </c>
      <c r="L261" s="882" t="str">
        <f>IF($E$30="Enter Duration (wks)","",IF($Y139="Enter Hrs/Wk","",IF($E$30&gt;='FORMULA REFS'!D$1,$Y139,"")))</f>
        <v/>
      </c>
      <c r="M261" s="882" t="str">
        <f>IF($E$30="Enter Duration (wks)","",IF($Y139="Enter Hrs/Wk","",IF($E$30&gt;='FORMULA REFS'!E$1,$Y139,"")))</f>
        <v/>
      </c>
      <c r="N261" s="882" t="str">
        <f>IF($E$30="Enter Duration (wks)","",IF($Y139="Enter Hrs/Wk","",IF($E$30&gt;='FORMULA REFS'!F$1,$Y139,"")))</f>
        <v/>
      </c>
      <c r="O261" s="882" t="str">
        <f>IF($E$30="Enter Duration (wks)","",IF($Y139="Enter Hrs/Wk","",IF($E$30&gt;='FORMULA REFS'!G$1,$Y139,"")))</f>
        <v/>
      </c>
      <c r="P261" s="882" t="str">
        <f>IF($E$30="Enter Duration (wks)","",IF($Y139="Enter Hrs/Wk","",IF($E$30&gt;='FORMULA REFS'!H$1,$Y139,"")))</f>
        <v/>
      </c>
      <c r="Q261" s="882" t="str">
        <f>IF($E$30="Enter Duration (wks)","",IF($Y139="Enter Hrs/Wk","",IF($E$30&gt;='FORMULA REFS'!I$1,$Y139,"")))</f>
        <v/>
      </c>
      <c r="R261" s="882" t="str">
        <f>IF($E$30="Enter Duration (wks)","",IF($Y139="Enter Hrs/Wk","",IF($E$30&gt;='FORMULA REFS'!J$1,$Y139,"")))</f>
        <v/>
      </c>
      <c r="S261" s="882" t="str">
        <f>IF($E$30="Enter Duration (wks)","",IF($Y139="Enter Hrs/Wk","",IF($E$30&gt;='FORMULA REFS'!K$1,$Y139,"")))</f>
        <v/>
      </c>
      <c r="T261" s="1323" t="str">
        <f>IF($E$30="Enter Duration (wks)","",IF($Y139="Enter Hrs/Wk","",IF($E$30&gt;='FORMULA REFS'!L$1,$Y139,"")))</f>
        <v/>
      </c>
      <c r="U261" s="882" t="str">
        <f>IF($E$30="Enter Duration (wks)","",IF($Y139="Enter Hrs/Wk","",IF($E$30&gt;='FORMULA REFS'!M$1,$Y139,"")))</f>
        <v/>
      </c>
      <c r="V261" s="882"/>
      <c r="W261" s="882"/>
      <c r="X261" s="1285"/>
      <c r="Y261" s="1285" t="str">
        <f>IF($E$30="Enter Duration (wks)","",IF($Y139="Enter Hrs/Wk","",IF($E$30&gt;='FORMULA REFS'!N$1,$Y139,"")))</f>
        <v/>
      </c>
      <c r="Z261" s="1343" t="str">
        <f>IF($E$30="Enter Duration (wks)","",IF($Y139="Enter Hrs/Wk","",IF($E$30&gt;='FORMULA REFS'!O$1,$Y139,"")))</f>
        <v/>
      </c>
      <c r="AA261" s="882" t="str">
        <f>IF($E$30="Enter Duration (wks)","",IF($Y139="Enter Hrs/Wk","",IF($E$30&gt;='FORMULA REFS'!P$1,$Y139,"")))</f>
        <v/>
      </c>
      <c r="AB261" s="882" t="str">
        <f>IF($E$30="Enter Duration (wks)","",IF($Y139="Enter Hrs/Wk","",IF($E$30&gt;='FORMULA REFS'!Q$1,$Y139,"")))</f>
        <v/>
      </c>
      <c r="AC261" s="882"/>
      <c r="AD261" s="882"/>
      <c r="AE261" s="882"/>
      <c r="AF261" s="882"/>
      <c r="AG261" s="1286" t="str">
        <f>IF($E$30="Enter Duration (wks)","",IF($Y139="Enter Hrs/Wk","",IF($E$30&gt;='FORMULA REFS'!R$1,$Y139,"")))</f>
        <v/>
      </c>
      <c r="AH261" s="1286" t="str">
        <f>IF($E$30="Enter Duration (wks)","",IF($Y139="Enter Hrs/Wk","",IF($E$30&gt;='FORMULA REFS'!S$1,$Y139,"")))</f>
        <v/>
      </c>
      <c r="AI261" s="1286" t="str">
        <f>IF($E$30="Enter Duration (wks)","",IF($Y139="Enter Hrs/Wk","",IF($E$30&gt;='FORMULA REFS'!T$1,$Y139,"")))</f>
        <v/>
      </c>
      <c r="AJ261" s="1286" t="str">
        <f>IF($E$30="Enter Duration (wks)","",IF($Y139="Enter Hrs/Wk","",IF($E$30&gt;='FORMULA REFS'!U$1,$Y139,"")))</f>
        <v/>
      </c>
      <c r="AK261" s="1286" t="str">
        <f>IF($E$30="Enter Duration (wks)","",IF($Y139="Enter Hrs/Wk","",IF($E$30&gt;='FORMULA REFS'!V$1,$Y139,"")))</f>
        <v/>
      </c>
      <c r="AL261" s="1286" t="str">
        <f>IF($E$30="Enter Duration (wks)","",IF($Y139="Enter Hrs/Wk","",IF($E$30&gt;='FORMULA REFS'!W$1,$Y139,"")))</f>
        <v/>
      </c>
      <c r="AM261" s="1286" t="str">
        <f>IF($E$30="Enter Duration (wks)","",IF($Y139="Enter Hrs/Wk","",IF($E$30&gt;='FORMULA REFS'!X$1,$Y139,"")))</f>
        <v/>
      </c>
      <c r="AN261" s="1286" t="str">
        <f>IF($E$30="Enter Duration (wks)","",IF($Y139="Enter Hrs/Wk","",IF($E$30&gt;='FORMULA REFS'!Y$1,$Y139,"")))</f>
        <v/>
      </c>
      <c r="AO261" s="1286" t="str">
        <f>IF($E$30="Enter Duration (wks)","",IF($Y139="Enter Hrs/Wk","",IF($E$30&gt;='FORMULA REFS'!Z$1,$Y139,"")))</f>
        <v/>
      </c>
      <c r="AP261" s="1286" t="str">
        <f>IF($E$30="Enter Duration (wks)","",IF($Y139="Enter Hrs/Wk","",IF($E$30&gt;='FORMULA REFS'!AA$1,$Y139,"")))</f>
        <v/>
      </c>
      <c r="AQ261" s="1286" t="str">
        <f>IF($E$30="Enter Duration (wks)","",IF($Y139="Enter Hrs/Wk","",IF($E$30&gt;='FORMULA REFS'!AB$1,$Y139,"")))</f>
        <v/>
      </c>
      <c r="AR261" s="1286" t="str">
        <f>IF($E$30="Enter Duration (wks)","",IF($Y139="Enter Hrs/Wk","",IF($E$30&gt;='FORMULA REFS'!AC$1,$Y139,"")))</f>
        <v/>
      </c>
      <c r="AS261" s="1286" t="str">
        <f>IF($E$30="Enter Duration (wks)","",IF($Y139="Enter Hrs/Wk","",IF($E$30&gt;='FORMULA REFS'!AD$1,$Y139,"")))</f>
        <v/>
      </c>
      <c r="AT261" s="1286" t="str">
        <f>IF($E$30="Enter Duration (wks)","",IF($Y139="Enter Hrs/Wk","",IF($E$30&gt;='FORMULA REFS'!AE$1,$Y139,"")))</f>
        <v/>
      </c>
      <c r="AU261" s="1286" t="str">
        <f>IF($E$30="Enter Duration (wks)","",IF($Y139="Enter Hrs/Wk","",IF($E$30&gt;='FORMULA REFS'!AF$1,$Y139,"")))</f>
        <v/>
      </c>
      <c r="AV261" s="1286" t="str">
        <f>IF($E$30="Enter Duration (wks)","",IF($Y139="Enter Hrs/Wk","",IF($E$30&gt;='FORMULA REFS'!AG$1,$Y139,"")))</f>
        <v/>
      </c>
      <c r="AW261" s="1286" t="str">
        <f>IF($E$30="Enter Duration (wks)","",IF($Y139="Enter Hrs/Wk","",IF($E$30&gt;='FORMULA REFS'!AH$1,$Y139,"")))</f>
        <v/>
      </c>
      <c r="AX261" s="1286" t="str">
        <f>IF($E$30="Enter Duration (wks)","",IF($Y139="Enter Hrs/Wk","",IF($E$30&gt;='FORMULA REFS'!AI$1,$Y139,"")))</f>
        <v/>
      </c>
      <c r="AY261" s="1286" t="str">
        <f>IF($E$30="Enter Duration (wks)","",IF($Y139="Enter Hrs/Wk","",IF($E$30&gt;='FORMULA REFS'!AJ$1,$Y139,"")))</f>
        <v/>
      </c>
      <c r="AZ261" s="1286" t="str">
        <f>IF($E$30="Enter Duration (wks)","",IF($Y139="Enter Hrs/Wk","",IF($E$30&gt;='FORMULA REFS'!AK$1,$Y139,"")))</f>
        <v/>
      </c>
      <c r="BA261" s="1286" t="str">
        <f>IF($E$30="Enter Duration (wks)","",IF($Y139="Enter Hrs/Wk","",IF($E$30&gt;='FORMULA REFS'!AL$1,$Y139,"")))</f>
        <v/>
      </c>
      <c r="BB261" s="1286" t="str">
        <f>IF($E$30="Enter Duration (wks)","",IF($Y139="Enter Hrs/Wk","",IF($E$30&gt;='FORMULA REFS'!AM$1,$Y139,"")))</f>
        <v/>
      </c>
      <c r="BC261" s="1286" t="str">
        <f>IF($E$30="Enter Duration (wks)","",IF($Y139="Enter Hrs/Wk","",IF($E$30&gt;='FORMULA REFS'!AN$1,$Y139,"")))</f>
        <v/>
      </c>
      <c r="BD261" s="1286" t="str">
        <f>IF($E$30="Enter Duration (wks)","",IF($Y139="Enter Hrs/Wk","",IF($E$30&gt;='FORMULA REFS'!AO$1,$Y139,"")))</f>
        <v/>
      </c>
      <c r="BE261" s="1286" t="str">
        <f>IF($E$30="Enter Duration (wks)","",IF($Y139="Enter Hrs/Wk","",IF($E$30&gt;='FORMULA REFS'!AP$1,$Y139,"")))</f>
        <v/>
      </c>
      <c r="BF261" s="1286" t="str">
        <f>IF($E$30="Enter Duration (wks)","",IF($Y139="Enter Hrs/Wk","",IF($E$30&gt;='FORMULA REFS'!AQ$1,$Y139,"")))</f>
        <v/>
      </c>
      <c r="BG261" s="1286" t="str">
        <f>IF($E$30="Enter Duration (wks)","",IF($Y139="Enter Hrs/Wk","",IF($E$30&gt;='FORMULA REFS'!AR$1,$Y139,"")))</f>
        <v/>
      </c>
      <c r="BH261" s="1286" t="str">
        <f>IF($E$30="Enter Duration (wks)","",IF($Y139="Enter Hrs/Wk","",IF($E$30&gt;='FORMULA REFS'!AS$1,$Y139,"")))</f>
        <v/>
      </c>
      <c r="BI261" s="1286" t="str">
        <f>IF($E$30="Enter Duration (wks)","",IF($Y139="Enter Hrs/Wk","",IF($E$30&gt;='FORMULA REFS'!AT$1,$Y139,"")))</f>
        <v/>
      </c>
      <c r="BJ261" s="1286" t="str">
        <f>IF($E$30="Enter Duration (wks)","",IF($Y139="Enter Hrs/Wk","",IF($E$30&gt;='FORMULA REFS'!AU$1,$Y139,"")))</f>
        <v/>
      </c>
      <c r="BK261" s="1286" t="str">
        <f>IF($E$30="Enter Duration (wks)","",IF($Y139="Enter Hrs/Wk","",IF($E$30&gt;='FORMULA REFS'!AV$1,$Y139,"")))</f>
        <v/>
      </c>
      <c r="BL261" s="1286" t="str">
        <f>IF($E$30="Enter Duration (wks)","",IF($Y139="Enter Hrs/Wk","",IF($E$30&gt;='FORMULA REFS'!AW$1,$Y139,"")))</f>
        <v/>
      </c>
      <c r="BM261" s="1286" t="str">
        <f>IF($E$30="Enter Duration (wks)","",IF($Y139="Enter Hrs/Wk","",IF($E$30&gt;='FORMULA REFS'!AX$1,$Y139,"")))</f>
        <v/>
      </c>
      <c r="BN261" s="1286" t="str">
        <f>IF($E$30="Enter Duration (wks)","",IF($Y139="Enter Hrs/Wk","",IF($E$30&gt;='FORMULA REFS'!AY$1,$Y139,"")))</f>
        <v/>
      </c>
      <c r="BO261" s="1286" t="str">
        <f>IF($E$30="Enter Duration (wks)","",IF($Y139="Enter Hrs/Wk","",IF($E$30&gt;='FORMULA REFS'!AZ$1,$Y139,"")))</f>
        <v/>
      </c>
    </row>
    <row r="262" spans="2:67" hidden="1" outlineLevel="1" x14ac:dyDescent="0.25">
      <c r="C262" s="1291" t="str">
        <f t="shared" si="83"/>
        <v/>
      </c>
      <c r="D262" s="1319" t="str">
        <f t="shared" si="84"/>
        <v/>
      </c>
      <c r="E262" s="1326"/>
      <c r="F262" s="1327" t="str">
        <f>IF($E$30="Enter Duration (wks)","",IF($Y140="Enter Hrs/Wk","",IF($E$30&gt;='FORMULA REFS'!A$1,$Y140,"")))</f>
        <v/>
      </c>
      <c r="G262" s="1328"/>
      <c r="H262" s="1570"/>
      <c r="I262" s="1329" t="str">
        <f>IF($E$30="Enter Duration (wks)","",IF($Y140="Enter Hrs/Wk","",IF($E$30&gt;='FORMULA REFS'!B$1,$Y140,"")))</f>
        <v/>
      </c>
      <c r="J262" s="1323"/>
      <c r="K262" s="1286" t="str">
        <f>IF($E$30="Enter Duration (wks)","",IF($Y140="Enter Hrs/Wk","",IF($E$30&gt;='FORMULA REFS'!C$1,$Y140,"")))</f>
        <v/>
      </c>
      <c r="L262" s="882" t="str">
        <f>IF($E$30="Enter Duration (wks)","",IF($Y140="Enter Hrs/Wk","",IF($E$30&gt;='FORMULA REFS'!D$1,$Y140,"")))</f>
        <v/>
      </c>
      <c r="M262" s="882" t="str">
        <f>IF($E$30="Enter Duration (wks)","",IF($Y140="Enter Hrs/Wk","",IF($E$30&gt;='FORMULA REFS'!E$1,$Y140,"")))</f>
        <v/>
      </c>
      <c r="N262" s="882" t="str">
        <f>IF($E$30="Enter Duration (wks)","",IF($Y140="Enter Hrs/Wk","",IF($E$30&gt;='FORMULA REFS'!F$1,$Y140,"")))</f>
        <v/>
      </c>
      <c r="O262" s="882" t="str">
        <f>IF($E$30="Enter Duration (wks)","",IF($Y140="Enter Hrs/Wk","",IF($E$30&gt;='FORMULA REFS'!G$1,$Y140,"")))</f>
        <v/>
      </c>
      <c r="P262" s="882" t="str">
        <f>IF($E$30="Enter Duration (wks)","",IF($Y140="Enter Hrs/Wk","",IF($E$30&gt;='FORMULA REFS'!H$1,$Y140,"")))</f>
        <v/>
      </c>
      <c r="Q262" s="882" t="str">
        <f>IF($E$30="Enter Duration (wks)","",IF($Y140="Enter Hrs/Wk","",IF($E$30&gt;='FORMULA REFS'!I$1,$Y140,"")))</f>
        <v/>
      </c>
      <c r="R262" s="882" t="str">
        <f>IF($E$30="Enter Duration (wks)","",IF($Y140="Enter Hrs/Wk","",IF($E$30&gt;='FORMULA REFS'!J$1,$Y140,"")))</f>
        <v/>
      </c>
      <c r="S262" s="882" t="str">
        <f>IF($E$30="Enter Duration (wks)","",IF($Y140="Enter Hrs/Wk","",IF($E$30&gt;='FORMULA REFS'!K$1,$Y140,"")))</f>
        <v/>
      </c>
      <c r="T262" s="1323" t="str">
        <f>IF($E$30="Enter Duration (wks)","",IF($Y140="Enter Hrs/Wk","",IF($E$30&gt;='FORMULA REFS'!L$1,$Y140,"")))</f>
        <v/>
      </c>
      <c r="U262" s="882" t="str">
        <f>IF($E$30="Enter Duration (wks)","",IF($Y140="Enter Hrs/Wk","",IF($E$30&gt;='FORMULA REFS'!M$1,$Y140,"")))</f>
        <v/>
      </c>
      <c r="V262" s="882"/>
      <c r="W262" s="882"/>
      <c r="X262" s="1285"/>
      <c r="Y262" s="1285" t="str">
        <f>IF($E$30="Enter Duration (wks)","",IF($Y140="Enter Hrs/Wk","",IF($E$30&gt;='FORMULA REFS'!N$1,$Y140,"")))</f>
        <v/>
      </c>
      <c r="Z262" s="1343" t="str">
        <f>IF($E$30="Enter Duration (wks)","",IF($Y140="Enter Hrs/Wk","",IF($E$30&gt;='FORMULA REFS'!O$1,$Y140,"")))</f>
        <v/>
      </c>
      <c r="AA262" s="882" t="str">
        <f>IF($E$30="Enter Duration (wks)","",IF($Y140="Enter Hrs/Wk","",IF($E$30&gt;='FORMULA REFS'!P$1,$Y140,"")))</f>
        <v/>
      </c>
      <c r="AB262" s="882" t="str">
        <f>IF($E$30="Enter Duration (wks)","",IF($Y140="Enter Hrs/Wk","",IF($E$30&gt;='FORMULA REFS'!Q$1,$Y140,"")))</f>
        <v/>
      </c>
      <c r="AC262" s="882"/>
      <c r="AD262" s="882"/>
      <c r="AE262" s="882"/>
      <c r="AF262" s="882"/>
      <c r="AG262" s="1286" t="str">
        <f>IF($E$30="Enter Duration (wks)","",IF($Y140="Enter Hrs/Wk","",IF($E$30&gt;='FORMULA REFS'!R$1,$Y140,"")))</f>
        <v/>
      </c>
      <c r="AH262" s="1286" t="str">
        <f>IF($E$30="Enter Duration (wks)","",IF($Y140="Enter Hrs/Wk","",IF($E$30&gt;='FORMULA REFS'!S$1,$Y140,"")))</f>
        <v/>
      </c>
      <c r="AI262" s="1286" t="str">
        <f>IF($E$30="Enter Duration (wks)","",IF($Y140="Enter Hrs/Wk","",IF($E$30&gt;='FORMULA REFS'!T$1,$Y140,"")))</f>
        <v/>
      </c>
      <c r="AJ262" s="1286" t="str">
        <f>IF($E$30="Enter Duration (wks)","",IF($Y140="Enter Hrs/Wk","",IF($E$30&gt;='FORMULA REFS'!U$1,$Y140,"")))</f>
        <v/>
      </c>
      <c r="AK262" s="1286" t="str">
        <f>IF($E$30="Enter Duration (wks)","",IF($Y140="Enter Hrs/Wk","",IF($E$30&gt;='FORMULA REFS'!V$1,$Y140,"")))</f>
        <v/>
      </c>
      <c r="AL262" s="1286" t="str">
        <f>IF($E$30="Enter Duration (wks)","",IF($Y140="Enter Hrs/Wk","",IF($E$30&gt;='FORMULA REFS'!W$1,$Y140,"")))</f>
        <v/>
      </c>
      <c r="AM262" s="1286" t="str">
        <f>IF($E$30="Enter Duration (wks)","",IF($Y140="Enter Hrs/Wk","",IF($E$30&gt;='FORMULA REFS'!X$1,$Y140,"")))</f>
        <v/>
      </c>
      <c r="AN262" s="1286" t="str">
        <f>IF($E$30="Enter Duration (wks)","",IF($Y140="Enter Hrs/Wk","",IF($E$30&gt;='FORMULA REFS'!Y$1,$Y140,"")))</f>
        <v/>
      </c>
      <c r="AO262" s="1286" t="str">
        <f>IF($E$30="Enter Duration (wks)","",IF($Y140="Enter Hrs/Wk","",IF($E$30&gt;='FORMULA REFS'!Z$1,$Y140,"")))</f>
        <v/>
      </c>
      <c r="AP262" s="1286" t="str">
        <f>IF($E$30="Enter Duration (wks)","",IF($Y140="Enter Hrs/Wk","",IF($E$30&gt;='FORMULA REFS'!AA$1,$Y140,"")))</f>
        <v/>
      </c>
      <c r="AQ262" s="1286" t="str">
        <f>IF($E$30="Enter Duration (wks)","",IF($Y140="Enter Hrs/Wk","",IF($E$30&gt;='FORMULA REFS'!AB$1,$Y140,"")))</f>
        <v/>
      </c>
      <c r="AR262" s="1286" t="str">
        <f>IF($E$30="Enter Duration (wks)","",IF($Y140="Enter Hrs/Wk","",IF($E$30&gt;='FORMULA REFS'!AC$1,$Y140,"")))</f>
        <v/>
      </c>
      <c r="AS262" s="1286" t="str">
        <f>IF($E$30="Enter Duration (wks)","",IF($Y140="Enter Hrs/Wk","",IF($E$30&gt;='FORMULA REFS'!AD$1,$Y140,"")))</f>
        <v/>
      </c>
      <c r="AT262" s="1286" t="str">
        <f>IF($E$30="Enter Duration (wks)","",IF($Y140="Enter Hrs/Wk","",IF($E$30&gt;='FORMULA REFS'!AE$1,$Y140,"")))</f>
        <v/>
      </c>
      <c r="AU262" s="1286" t="str">
        <f>IF($E$30="Enter Duration (wks)","",IF($Y140="Enter Hrs/Wk","",IF($E$30&gt;='FORMULA REFS'!AF$1,$Y140,"")))</f>
        <v/>
      </c>
      <c r="AV262" s="1286" t="str">
        <f>IF($E$30="Enter Duration (wks)","",IF($Y140="Enter Hrs/Wk","",IF($E$30&gt;='FORMULA REFS'!AG$1,$Y140,"")))</f>
        <v/>
      </c>
      <c r="AW262" s="1286" t="str">
        <f>IF($E$30="Enter Duration (wks)","",IF($Y140="Enter Hrs/Wk","",IF($E$30&gt;='FORMULA REFS'!AH$1,$Y140,"")))</f>
        <v/>
      </c>
      <c r="AX262" s="1286" t="str">
        <f>IF($E$30="Enter Duration (wks)","",IF($Y140="Enter Hrs/Wk","",IF($E$30&gt;='FORMULA REFS'!AI$1,$Y140,"")))</f>
        <v/>
      </c>
      <c r="AY262" s="1286" t="str">
        <f>IF($E$30="Enter Duration (wks)","",IF($Y140="Enter Hrs/Wk","",IF($E$30&gt;='FORMULA REFS'!AJ$1,$Y140,"")))</f>
        <v/>
      </c>
      <c r="AZ262" s="1286" t="str">
        <f>IF($E$30="Enter Duration (wks)","",IF($Y140="Enter Hrs/Wk","",IF($E$30&gt;='FORMULA REFS'!AK$1,$Y140,"")))</f>
        <v/>
      </c>
      <c r="BA262" s="1286" t="str">
        <f>IF($E$30="Enter Duration (wks)","",IF($Y140="Enter Hrs/Wk","",IF($E$30&gt;='FORMULA REFS'!AL$1,$Y140,"")))</f>
        <v/>
      </c>
      <c r="BB262" s="1286" t="str">
        <f>IF($E$30="Enter Duration (wks)","",IF($Y140="Enter Hrs/Wk","",IF($E$30&gt;='FORMULA REFS'!AM$1,$Y140,"")))</f>
        <v/>
      </c>
      <c r="BC262" s="1286" t="str">
        <f>IF($E$30="Enter Duration (wks)","",IF($Y140="Enter Hrs/Wk","",IF($E$30&gt;='FORMULA REFS'!AN$1,$Y140,"")))</f>
        <v/>
      </c>
      <c r="BD262" s="1286" t="str">
        <f>IF($E$30="Enter Duration (wks)","",IF($Y140="Enter Hrs/Wk","",IF($E$30&gt;='FORMULA REFS'!AO$1,$Y140,"")))</f>
        <v/>
      </c>
      <c r="BE262" s="1286" t="str">
        <f>IF($E$30="Enter Duration (wks)","",IF($Y140="Enter Hrs/Wk","",IF($E$30&gt;='FORMULA REFS'!AP$1,$Y140,"")))</f>
        <v/>
      </c>
      <c r="BF262" s="1286" t="str">
        <f>IF($E$30="Enter Duration (wks)","",IF($Y140="Enter Hrs/Wk","",IF($E$30&gt;='FORMULA REFS'!AQ$1,$Y140,"")))</f>
        <v/>
      </c>
      <c r="BG262" s="1286" t="str">
        <f>IF($E$30="Enter Duration (wks)","",IF($Y140="Enter Hrs/Wk","",IF($E$30&gt;='FORMULA REFS'!AR$1,$Y140,"")))</f>
        <v/>
      </c>
      <c r="BH262" s="1286" t="str">
        <f>IF($E$30="Enter Duration (wks)","",IF($Y140="Enter Hrs/Wk","",IF($E$30&gt;='FORMULA REFS'!AS$1,$Y140,"")))</f>
        <v/>
      </c>
      <c r="BI262" s="1286" t="str">
        <f>IF($E$30="Enter Duration (wks)","",IF($Y140="Enter Hrs/Wk","",IF($E$30&gt;='FORMULA REFS'!AT$1,$Y140,"")))</f>
        <v/>
      </c>
      <c r="BJ262" s="1286" t="str">
        <f>IF($E$30="Enter Duration (wks)","",IF($Y140="Enter Hrs/Wk","",IF($E$30&gt;='FORMULA REFS'!AU$1,$Y140,"")))</f>
        <v/>
      </c>
      <c r="BK262" s="1286" t="str">
        <f>IF($E$30="Enter Duration (wks)","",IF($Y140="Enter Hrs/Wk","",IF($E$30&gt;='FORMULA REFS'!AV$1,$Y140,"")))</f>
        <v/>
      </c>
      <c r="BL262" s="1286" t="str">
        <f>IF($E$30="Enter Duration (wks)","",IF($Y140="Enter Hrs/Wk","",IF($E$30&gt;='FORMULA REFS'!AW$1,$Y140,"")))</f>
        <v/>
      </c>
      <c r="BM262" s="1286" t="str">
        <f>IF($E$30="Enter Duration (wks)","",IF($Y140="Enter Hrs/Wk","",IF($E$30&gt;='FORMULA REFS'!AX$1,$Y140,"")))</f>
        <v/>
      </c>
      <c r="BN262" s="1286" t="str">
        <f>IF($E$30="Enter Duration (wks)","",IF($Y140="Enter Hrs/Wk","",IF($E$30&gt;='FORMULA REFS'!AY$1,$Y140,"")))</f>
        <v/>
      </c>
      <c r="BO262" s="1286" t="str">
        <f>IF($E$30="Enter Duration (wks)","",IF($Y140="Enter Hrs/Wk","",IF($E$30&gt;='FORMULA REFS'!AZ$1,$Y140,"")))</f>
        <v/>
      </c>
    </row>
    <row r="263" spans="2:67" hidden="1" outlineLevel="1" x14ac:dyDescent="0.25">
      <c r="C263" s="1291" t="str">
        <f t="shared" si="83"/>
        <v/>
      </c>
      <c r="D263" s="1319" t="str">
        <f t="shared" si="84"/>
        <v/>
      </c>
      <c r="E263" s="1326"/>
      <c r="F263" s="1327" t="str">
        <f>IF($E$30="Enter Duration (wks)","",IF($Y141="Enter Hrs/Wk","",IF($E$30&gt;='FORMULA REFS'!A$1,$Y141,"")))</f>
        <v/>
      </c>
      <c r="G263" s="1328"/>
      <c r="H263" s="1570"/>
      <c r="I263" s="1329" t="str">
        <f>IF($E$30="Enter Duration (wks)","",IF($Y141="Enter Hrs/Wk","",IF($E$30&gt;='FORMULA REFS'!B$1,$Y141,"")))</f>
        <v/>
      </c>
      <c r="J263" s="1323"/>
      <c r="K263" s="1286" t="str">
        <f>IF($E$30="Enter Duration (wks)","",IF($Y141="Enter Hrs/Wk","",IF($E$30&gt;='FORMULA REFS'!C$1,$Y141,"")))</f>
        <v/>
      </c>
      <c r="L263" s="882" t="str">
        <f>IF($E$30="Enter Duration (wks)","",IF($Y141="Enter Hrs/Wk","",IF($E$30&gt;='FORMULA REFS'!D$1,$Y141,"")))</f>
        <v/>
      </c>
      <c r="M263" s="882" t="str">
        <f>IF($E$30="Enter Duration (wks)","",IF($Y141="Enter Hrs/Wk","",IF($E$30&gt;='FORMULA REFS'!E$1,$Y141,"")))</f>
        <v/>
      </c>
      <c r="N263" s="882" t="str">
        <f>IF($E$30="Enter Duration (wks)","",IF($Y141="Enter Hrs/Wk","",IF($E$30&gt;='FORMULA REFS'!F$1,$Y141,"")))</f>
        <v/>
      </c>
      <c r="O263" s="882" t="str">
        <f>IF($E$30="Enter Duration (wks)","",IF($Y141="Enter Hrs/Wk","",IF($E$30&gt;='FORMULA REFS'!G$1,$Y141,"")))</f>
        <v/>
      </c>
      <c r="P263" s="882" t="str">
        <f>IF($E$30="Enter Duration (wks)","",IF($Y141="Enter Hrs/Wk","",IF($E$30&gt;='FORMULA REFS'!H$1,$Y141,"")))</f>
        <v/>
      </c>
      <c r="Q263" s="882" t="str">
        <f>IF($E$30="Enter Duration (wks)","",IF($Y141="Enter Hrs/Wk","",IF($E$30&gt;='FORMULA REFS'!I$1,$Y141,"")))</f>
        <v/>
      </c>
      <c r="R263" s="882" t="str">
        <f>IF($E$30="Enter Duration (wks)","",IF($Y141="Enter Hrs/Wk","",IF($E$30&gt;='FORMULA REFS'!J$1,$Y141,"")))</f>
        <v/>
      </c>
      <c r="S263" s="882" t="str">
        <f>IF($E$30="Enter Duration (wks)","",IF($Y141="Enter Hrs/Wk","",IF($E$30&gt;='FORMULA REFS'!K$1,$Y141,"")))</f>
        <v/>
      </c>
      <c r="T263" s="1323" t="str">
        <f>IF($E$30="Enter Duration (wks)","",IF($Y141="Enter Hrs/Wk","",IF($E$30&gt;='FORMULA REFS'!L$1,$Y141,"")))</f>
        <v/>
      </c>
      <c r="U263" s="882" t="str">
        <f>IF($E$30="Enter Duration (wks)","",IF($Y141="Enter Hrs/Wk","",IF($E$30&gt;='FORMULA REFS'!M$1,$Y141,"")))</f>
        <v/>
      </c>
      <c r="V263" s="882"/>
      <c r="W263" s="882"/>
      <c r="X263" s="1285"/>
      <c r="Y263" s="1285" t="str">
        <f>IF($E$30="Enter Duration (wks)","",IF($Y141="Enter Hrs/Wk","",IF($E$30&gt;='FORMULA REFS'!N$1,$Y141,"")))</f>
        <v/>
      </c>
      <c r="Z263" s="1343" t="str">
        <f>IF($E$30="Enter Duration (wks)","",IF($Y141="Enter Hrs/Wk","",IF($E$30&gt;='FORMULA REFS'!O$1,$Y141,"")))</f>
        <v/>
      </c>
      <c r="AA263" s="882" t="str">
        <f>IF($E$30="Enter Duration (wks)","",IF($Y141="Enter Hrs/Wk","",IF($E$30&gt;='FORMULA REFS'!P$1,$Y141,"")))</f>
        <v/>
      </c>
      <c r="AB263" s="882" t="str">
        <f>IF($E$30="Enter Duration (wks)","",IF($Y141="Enter Hrs/Wk","",IF($E$30&gt;='FORMULA REFS'!Q$1,$Y141,"")))</f>
        <v/>
      </c>
      <c r="AC263" s="882"/>
      <c r="AD263" s="882"/>
      <c r="AE263" s="882"/>
      <c r="AF263" s="882"/>
      <c r="AG263" s="1286" t="str">
        <f>IF($E$30="Enter Duration (wks)","",IF($Y141="Enter Hrs/Wk","",IF($E$30&gt;='FORMULA REFS'!R$1,$Y141,"")))</f>
        <v/>
      </c>
      <c r="AH263" s="1286" t="str">
        <f>IF($E$30="Enter Duration (wks)","",IF($Y141="Enter Hrs/Wk","",IF($E$30&gt;='FORMULA REFS'!S$1,$Y141,"")))</f>
        <v/>
      </c>
      <c r="AI263" s="1286" t="str">
        <f>IF($E$30="Enter Duration (wks)","",IF($Y141="Enter Hrs/Wk","",IF($E$30&gt;='FORMULA REFS'!T$1,$Y141,"")))</f>
        <v/>
      </c>
      <c r="AJ263" s="1286" t="str">
        <f>IF($E$30="Enter Duration (wks)","",IF($Y141="Enter Hrs/Wk","",IF($E$30&gt;='FORMULA REFS'!U$1,$Y141,"")))</f>
        <v/>
      </c>
      <c r="AK263" s="1286" t="str">
        <f>IF($E$30="Enter Duration (wks)","",IF($Y141="Enter Hrs/Wk","",IF($E$30&gt;='FORMULA REFS'!V$1,$Y141,"")))</f>
        <v/>
      </c>
      <c r="AL263" s="1286" t="str">
        <f>IF($E$30="Enter Duration (wks)","",IF($Y141="Enter Hrs/Wk","",IF($E$30&gt;='FORMULA REFS'!W$1,$Y141,"")))</f>
        <v/>
      </c>
      <c r="AM263" s="1286" t="str">
        <f>IF($E$30="Enter Duration (wks)","",IF($Y141="Enter Hrs/Wk","",IF($E$30&gt;='FORMULA REFS'!X$1,$Y141,"")))</f>
        <v/>
      </c>
      <c r="AN263" s="1286" t="str">
        <f>IF($E$30="Enter Duration (wks)","",IF($Y141="Enter Hrs/Wk","",IF($E$30&gt;='FORMULA REFS'!Y$1,$Y141,"")))</f>
        <v/>
      </c>
      <c r="AO263" s="1286" t="str">
        <f>IF($E$30="Enter Duration (wks)","",IF($Y141="Enter Hrs/Wk","",IF($E$30&gt;='FORMULA REFS'!Z$1,$Y141,"")))</f>
        <v/>
      </c>
      <c r="AP263" s="1286" t="str">
        <f>IF($E$30="Enter Duration (wks)","",IF($Y141="Enter Hrs/Wk","",IF($E$30&gt;='FORMULA REFS'!AA$1,$Y141,"")))</f>
        <v/>
      </c>
      <c r="AQ263" s="1286" t="str">
        <f>IF($E$30="Enter Duration (wks)","",IF($Y141="Enter Hrs/Wk","",IF($E$30&gt;='FORMULA REFS'!AB$1,$Y141,"")))</f>
        <v/>
      </c>
      <c r="AR263" s="1286" t="str">
        <f>IF($E$30="Enter Duration (wks)","",IF($Y141="Enter Hrs/Wk","",IF($E$30&gt;='FORMULA REFS'!AC$1,$Y141,"")))</f>
        <v/>
      </c>
      <c r="AS263" s="1286" t="str">
        <f>IF($E$30="Enter Duration (wks)","",IF($Y141="Enter Hrs/Wk","",IF($E$30&gt;='FORMULA REFS'!AD$1,$Y141,"")))</f>
        <v/>
      </c>
      <c r="AT263" s="1286" t="str">
        <f>IF($E$30="Enter Duration (wks)","",IF($Y141="Enter Hrs/Wk","",IF($E$30&gt;='FORMULA REFS'!AE$1,$Y141,"")))</f>
        <v/>
      </c>
      <c r="AU263" s="1286" t="str">
        <f>IF($E$30="Enter Duration (wks)","",IF($Y141="Enter Hrs/Wk","",IF($E$30&gt;='FORMULA REFS'!AF$1,$Y141,"")))</f>
        <v/>
      </c>
      <c r="AV263" s="1286" t="str">
        <f>IF($E$30="Enter Duration (wks)","",IF($Y141="Enter Hrs/Wk","",IF($E$30&gt;='FORMULA REFS'!AG$1,$Y141,"")))</f>
        <v/>
      </c>
      <c r="AW263" s="1286" t="str">
        <f>IF($E$30="Enter Duration (wks)","",IF($Y141="Enter Hrs/Wk","",IF($E$30&gt;='FORMULA REFS'!AH$1,$Y141,"")))</f>
        <v/>
      </c>
      <c r="AX263" s="1286" t="str">
        <f>IF($E$30="Enter Duration (wks)","",IF($Y141="Enter Hrs/Wk","",IF($E$30&gt;='FORMULA REFS'!AI$1,$Y141,"")))</f>
        <v/>
      </c>
      <c r="AY263" s="1286" t="str">
        <f>IF($E$30="Enter Duration (wks)","",IF($Y141="Enter Hrs/Wk","",IF($E$30&gt;='FORMULA REFS'!AJ$1,$Y141,"")))</f>
        <v/>
      </c>
      <c r="AZ263" s="1286" t="str">
        <f>IF($E$30="Enter Duration (wks)","",IF($Y141="Enter Hrs/Wk","",IF($E$30&gt;='FORMULA REFS'!AK$1,$Y141,"")))</f>
        <v/>
      </c>
      <c r="BA263" s="1286" t="str">
        <f>IF($E$30="Enter Duration (wks)","",IF($Y141="Enter Hrs/Wk","",IF($E$30&gt;='FORMULA REFS'!AL$1,$Y141,"")))</f>
        <v/>
      </c>
      <c r="BB263" s="1286" t="str">
        <f>IF($E$30="Enter Duration (wks)","",IF($Y141="Enter Hrs/Wk","",IF($E$30&gt;='FORMULA REFS'!AM$1,$Y141,"")))</f>
        <v/>
      </c>
      <c r="BC263" s="1286" t="str">
        <f>IF($E$30="Enter Duration (wks)","",IF($Y141="Enter Hrs/Wk","",IF($E$30&gt;='FORMULA REFS'!AN$1,$Y141,"")))</f>
        <v/>
      </c>
      <c r="BD263" s="1286" t="str">
        <f>IF($E$30="Enter Duration (wks)","",IF($Y141="Enter Hrs/Wk","",IF($E$30&gt;='FORMULA REFS'!AO$1,$Y141,"")))</f>
        <v/>
      </c>
      <c r="BE263" s="1286" t="str">
        <f>IF($E$30="Enter Duration (wks)","",IF($Y141="Enter Hrs/Wk","",IF($E$30&gt;='FORMULA REFS'!AP$1,$Y141,"")))</f>
        <v/>
      </c>
      <c r="BF263" s="1286" t="str">
        <f>IF($E$30="Enter Duration (wks)","",IF($Y141="Enter Hrs/Wk","",IF($E$30&gt;='FORMULA REFS'!AQ$1,$Y141,"")))</f>
        <v/>
      </c>
      <c r="BG263" s="1286" t="str">
        <f>IF($E$30="Enter Duration (wks)","",IF($Y141="Enter Hrs/Wk","",IF($E$30&gt;='FORMULA REFS'!AR$1,$Y141,"")))</f>
        <v/>
      </c>
      <c r="BH263" s="1286" t="str">
        <f>IF($E$30="Enter Duration (wks)","",IF($Y141="Enter Hrs/Wk","",IF($E$30&gt;='FORMULA REFS'!AS$1,$Y141,"")))</f>
        <v/>
      </c>
      <c r="BI263" s="1286" t="str">
        <f>IF($E$30="Enter Duration (wks)","",IF($Y141="Enter Hrs/Wk","",IF($E$30&gt;='FORMULA REFS'!AT$1,$Y141,"")))</f>
        <v/>
      </c>
      <c r="BJ263" s="1286" t="str">
        <f>IF($E$30="Enter Duration (wks)","",IF($Y141="Enter Hrs/Wk","",IF($E$30&gt;='FORMULA REFS'!AU$1,$Y141,"")))</f>
        <v/>
      </c>
      <c r="BK263" s="1286" t="str">
        <f>IF($E$30="Enter Duration (wks)","",IF($Y141="Enter Hrs/Wk","",IF($E$30&gt;='FORMULA REFS'!AV$1,$Y141,"")))</f>
        <v/>
      </c>
      <c r="BL263" s="1286" t="str">
        <f>IF($E$30="Enter Duration (wks)","",IF($Y141="Enter Hrs/Wk","",IF($E$30&gt;='FORMULA REFS'!AW$1,$Y141,"")))</f>
        <v/>
      </c>
      <c r="BM263" s="1286" t="str">
        <f>IF($E$30="Enter Duration (wks)","",IF($Y141="Enter Hrs/Wk","",IF($E$30&gt;='FORMULA REFS'!AX$1,$Y141,"")))</f>
        <v/>
      </c>
      <c r="BN263" s="1286" t="str">
        <f>IF($E$30="Enter Duration (wks)","",IF($Y141="Enter Hrs/Wk","",IF($E$30&gt;='FORMULA REFS'!AY$1,$Y141,"")))</f>
        <v/>
      </c>
      <c r="BO263" s="1286" t="str">
        <f>IF($E$30="Enter Duration (wks)","",IF($Y141="Enter Hrs/Wk","",IF($E$30&gt;='FORMULA REFS'!AZ$1,$Y141,"")))</f>
        <v/>
      </c>
    </row>
    <row r="264" spans="2:67" hidden="1" outlineLevel="1" x14ac:dyDescent="0.25">
      <c r="C264" s="1291" t="str">
        <f t="shared" si="83"/>
        <v/>
      </c>
      <c r="D264" s="1319" t="str">
        <f t="shared" si="84"/>
        <v/>
      </c>
      <c r="E264" s="1326"/>
      <c r="F264" s="1327" t="str">
        <f>IF($E$30="Enter Duration (wks)","",IF($Y142="Enter Hrs/Wk","",IF($E$30&gt;='FORMULA REFS'!A$1,$Y142,"")))</f>
        <v/>
      </c>
      <c r="G264" s="1328"/>
      <c r="H264" s="1570"/>
      <c r="I264" s="1329" t="str">
        <f>IF($E$30="Enter Duration (wks)","",IF($Y142="Enter Hrs/Wk","",IF($E$30&gt;='FORMULA REFS'!B$1,$Y142,"")))</f>
        <v/>
      </c>
      <c r="J264" s="1323"/>
      <c r="K264" s="1286" t="str">
        <f>IF($E$30="Enter Duration (wks)","",IF($Y142="Enter Hrs/Wk","",IF($E$30&gt;='FORMULA REFS'!C$1,$Y142,"")))</f>
        <v/>
      </c>
      <c r="L264" s="882" t="str">
        <f>IF($E$30="Enter Duration (wks)","",IF($Y142="Enter Hrs/Wk","",IF($E$30&gt;='FORMULA REFS'!D$1,$Y142,"")))</f>
        <v/>
      </c>
      <c r="M264" s="882" t="str">
        <f>IF($E$30="Enter Duration (wks)","",IF($Y142="Enter Hrs/Wk","",IF($E$30&gt;='FORMULA REFS'!E$1,$Y142,"")))</f>
        <v/>
      </c>
      <c r="N264" s="882" t="str">
        <f>IF($E$30="Enter Duration (wks)","",IF($Y142="Enter Hrs/Wk","",IF($E$30&gt;='FORMULA REFS'!F$1,$Y142,"")))</f>
        <v/>
      </c>
      <c r="O264" s="882" t="str">
        <f>IF($E$30="Enter Duration (wks)","",IF($Y142="Enter Hrs/Wk","",IF($E$30&gt;='FORMULA REFS'!G$1,$Y142,"")))</f>
        <v/>
      </c>
      <c r="P264" s="882" t="str">
        <f>IF($E$30="Enter Duration (wks)","",IF($Y142="Enter Hrs/Wk","",IF($E$30&gt;='FORMULA REFS'!H$1,$Y142,"")))</f>
        <v/>
      </c>
      <c r="Q264" s="882" t="str">
        <f>IF($E$30="Enter Duration (wks)","",IF($Y142="Enter Hrs/Wk","",IF($E$30&gt;='FORMULA REFS'!I$1,$Y142,"")))</f>
        <v/>
      </c>
      <c r="R264" s="882" t="str">
        <f>IF($E$30="Enter Duration (wks)","",IF($Y142="Enter Hrs/Wk","",IF($E$30&gt;='FORMULA REFS'!J$1,$Y142,"")))</f>
        <v/>
      </c>
      <c r="S264" s="882" t="str">
        <f>IF($E$30="Enter Duration (wks)","",IF($Y142="Enter Hrs/Wk","",IF($E$30&gt;='FORMULA REFS'!K$1,$Y142,"")))</f>
        <v/>
      </c>
      <c r="T264" s="1323" t="str">
        <f>IF($E$30="Enter Duration (wks)","",IF($Y142="Enter Hrs/Wk","",IF($E$30&gt;='FORMULA REFS'!L$1,$Y142,"")))</f>
        <v/>
      </c>
      <c r="U264" s="882" t="str">
        <f>IF($E$30="Enter Duration (wks)","",IF($Y142="Enter Hrs/Wk","",IF($E$30&gt;='FORMULA REFS'!M$1,$Y142,"")))</f>
        <v/>
      </c>
      <c r="V264" s="882"/>
      <c r="W264" s="882"/>
      <c r="X264" s="1285"/>
      <c r="Y264" s="1285" t="str">
        <f>IF($E$30="Enter Duration (wks)","",IF($Y142="Enter Hrs/Wk","",IF($E$30&gt;='FORMULA REFS'!N$1,$Y142,"")))</f>
        <v/>
      </c>
      <c r="Z264" s="1343" t="str">
        <f>IF($E$30="Enter Duration (wks)","",IF($Y142="Enter Hrs/Wk","",IF($E$30&gt;='FORMULA REFS'!O$1,$Y142,"")))</f>
        <v/>
      </c>
      <c r="AA264" s="882" t="str">
        <f>IF($E$30="Enter Duration (wks)","",IF($Y142="Enter Hrs/Wk","",IF($E$30&gt;='FORMULA REFS'!P$1,$Y142,"")))</f>
        <v/>
      </c>
      <c r="AB264" s="882" t="str">
        <f>IF($E$30="Enter Duration (wks)","",IF($Y142="Enter Hrs/Wk","",IF($E$30&gt;='FORMULA REFS'!Q$1,$Y142,"")))</f>
        <v/>
      </c>
      <c r="AC264" s="882"/>
      <c r="AD264" s="882"/>
      <c r="AE264" s="882"/>
      <c r="AF264" s="882"/>
      <c r="AG264" s="1286" t="str">
        <f>IF($E$30="Enter Duration (wks)","",IF($Y142="Enter Hrs/Wk","",IF($E$30&gt;='FORMULA REFS'!R$1,$Y142,"")))</f>
        <v/>
      </c>
      <c r="AH264" s="1286" t="str">
        <f>IF($E$30="Enter Duration (wks)","",IF($Y142="Enter Hrs/Wk","",IF($E$30&gt;='FORMULA REFS'!S$1,$Y142,"")))</f>
        <v/>
      </c>
      <c r="AI264" s="1286" t="str">
        <f>IF($E$30="Enter Duration (wks)","",IF($Y142="Enter Hrs/Wk","",IF($E$30&gt;='FORMULA REFS'!T$1,$Y142,"")))</f>
        <v/>
      </c>
      <c r="AJ264" s="1286" t="str">
        <f>IF($E$30="Enter Duration (wks)","",IF($Y142="Enter Hrs/Wk","",IF($E$30&gt;='FORMULA REFS'!U$1,$Y142,"")))</f>
        <v/>
      </c>
      <c r="AK264" s="1286" t="str">
        <f>IF($E$30="Enter Duration (wks)","",IF($Y142="Enter Hrs/Wk","",IF($E$30&gt;='FORMULA REFS'!V$1,$Y142,"")))</f>
        <v/>
      </c>
      <c r="AL264" s="1286" t="str">
        <f>IF($E$30="Enter Duration (wks)","",IF($Y142="Enter Hrs/Wk","",IF($E$30&gt;='FORMULA REFS'!W$1,$Y142,"")))</f>
        <v/>
      </c>
      <c r="AM264" s="1286" t="str">
        <f>IF($E$30="Enter Duration (wks)","",IF($Y142="Enter Hrs/Wk","",IF($E$30&gt;='FORMULA REFS'!X$1,$Y142,"")))</f>
        <v/>
      </c>
      <c r="AN264" s="1286" t="str">
        <f>IF($E$30="Enter Duration (wks)","",IF($Y142="Enter Hrs/Wk","",IF($E$30&gt;='FORMULA REFS'!Y$1,$Y142,"")))</f>
        <v/>
      </c>
      <c r="AO264" s="1286" t="str">
        <f>IF($E$30="Enter Duration (wks)","",IF($Y142="Enter Hrs/Wk","",IF($E$30&gt;='FORMULA REFS'!Z$1,$Y142,"")))</f>
        <v/>
      </c>
      <c r="AP264" s="1286" t="str">
        <f>IF($E$30="Enter Duration (wks)","",IF($Y142="Enter Hrs/Wk","",IF($E$30&gt;='FORMULA REFS'!AA$1,$Y142,"")))</f>
        <v/>
      </c>
      <c r="AQ264" s="1286" t="str">
        <f>IF($E$30="Enter Duration (wks)","",IF($Y142="Enter Hrs/Wk","",IF($E$30&gt;='FORMULA REFS'!AB$1,$Y142,"")))</f>
        <v/>
      </c>
      <c r="AR264" s="1286" t="str">
        <f>IF($E$30="Enter Duration (wks)","",IF($Y142="Enter Hrs/Wk","",IF($E$30&gt;='FORMULA REFS'!AC$1,$Y142,"")))</f>
        <v/>
      </c>
      <c r="AS264" s="1286" t="str">
        <f>IF($E$30="Enter Duration (wks)","",IF($Y142="Enter Hrs/Wk","",IF($E$30&gt;='FORMULA REFS'!AD$1,$Y142,"")))</f>
        <v/>
      </c>
      <c r="AT264" s="1286" t="str">
        <f>IF($E$30="Enter Duration (wks)","",IF($Y142="Enter Hrs/Wk","",IF($E$30&gt;='FORMULA REFS'!AE$1,$Y142,"")))</f>
        <v/>
      </c>
      <c r="AU264" s="1286" t="str">
        <f>IF($E$30="Enter Duration (wks)","",IF($Y142="Enter Hrs/Wk","",IF($E$30&gt;='FORMULA REFS'!AF$1,$Y142,"")))</f>
        <v/>
      </c>
      <c r="AV264" s="1286" t="str">
        <f>IF($E$30="Enter Duration (wks)","",IF($Y142="Enter Hrs/Wk","",IF($E$30&gt;='FORMULA REFS'!AG$1,$Y142,"")))</f>
        <v/>
      </c>
      <c r="AW264" s="1286" t="str">
        <f>IF($E$30="Enter Duration (wks)","",IF($Y142="Enter Hrs/Wk","",IF($E$30&gt;='FORMULA REFS'!AH$1,$Y142,"")))</f>
        <v/>
      </c>
      <c r="AX264" s="1286" t="str">
        <f>IF($E$30="Enter Duration (wks)","",IF($Y142="Enter Hrs/Wk","",IF($E$30&gt;='FORMULA REFS'!AI$1,$Y142,"")))</f>
        <v/>
      </c>
      <c r="AY264" s="1286" t="str">
        <f>IF($E$30="Enter Duration (wks)","",IF($Y142="Enter Hrs/Wk","",IF($E$30&gt;='FORMULA REFS'!AJ$1,$Y142,"")))</f>
        <v/>
      </c>
      <c r="AZ264" s="1286" t="str">
        <f>IF($E$30="Enter Duration (wks)","",IF($Y142="Enter Hrs/Wk","",IF($E$30&gt;='FORMULA REFS'!AK$1,$Y142,"")))</f>
        <v/>
      </c>
      <c r="BA264" s="1286" t="str">
        <f>IF($E$30="Enter Duration (wks)","",IF($Y142="Enter Hrs/Wk","",IF($E$30&gt;='FORMULA REFS'!AL$1,$Y142,"")))</f>
        <v/>
      </c>
      <c r="BB264" s="1286" t="str">
        <f>IF($E$30="Enter Duration (wks)","",IF($Y142="Enter Hrs/Wk","",IF($E$30&gt;='FORMULA REFS'!AM$1,$Y142,"")))</f>
        <v/>
      </c>
      <c r="BC264" s="1286" t="str">
        <f>IF($E$30="Enter Duration (wks)","",IF($Y142="Enter Hrs/Wk","",IF($E$30&gt;='FORMULA REFS'!AN$1,$Y142,"")))</f>
        <v/>
      </c>
      <c r="BD264" s="1286" t="str">
        <f>IF($E$30="Enter Duration (wks)","",IF($Y142="Enter Hrs/Wk","",IF($E$30&gt;='FORMULA REFS'!AO$1,$Y142,"")))</f>
        <v/>
      </c>
      <c r="BE264" s="1286" t="str">
        <f>IF($E$30="Enter Duration (wks)","",IF($Y142="Enter Hrs/Wk","",IF($E$30&gt;='FORMULA REFS'!AP$1,$Y142,"")))</f>
        <v/>
      </c>
      <c r="BF264" s="1286" t="str">
        <f>IF($E$30="Enter Duration (wks)","",IF($Y142="Enter Hrs/Wk","",IF($E$30&gt;='FORMULA REFS'!AQ$1,$Y142,"")))</f>
        <v/>
      </c>
      <c r="BG264" s="1286" t="str">
        <f>IF($E$30="Enter Duration (wks)","",IF($Y142="Enter Hrs/Wk","",IF($E$30&gt;='FORMULA REFS'!AR$1,$Y142,"")))</f>
        <v/>
      </c>
      <c r="BH264" s="1286" t="str">
        <f>IF($E$30="Enter Duration (wks)","",IF($Y142="Enter Hrs/Wk","",IF($E$30&gt;='FORMULA REFS'!AS$1,$Y142,"")))</f>
        <v/>
      </c>
      <c r="BI264" s="1286" t="str">
        <f>IF($E$30="Enter Duration (wks)","",IF($Y142="Enter Hrs/Wk","",IF($E$30&gt;='FORMULA REFS'!AT$1,$Y142,"")))</f>
        <v/>
      </c>
      <c r="BJ264" s="1286" t="str">
        <f>IF($E$30="Enter Duration (wks)","",IF($Y142="Enter Hrs/Wk","",IF($E$30&gt;='FORMULA REFS'!AU$1,$Y142,"")))</f>
        <v/>
      </c>
      <c r="BK264" s="1286" t="str">
        <f>IF($E$30="Enter Duration (wks)","",IF($Y142="Enter Hrs/Wk","",IF($E$30&gt;='FORMULA REFS'!AV$1,$Y142,"")))</f>
        <v/>
      </c>
      <c r="BL264" s="1286" t="str">
        <f>IF($E$30="Enter Duration (wks)","",IF($Y142="Enter Hrs/Wk","",IF($E$30&gt;='FORMULA REFS'!AW$1,$Y142,"")))</f>
        <v/>
      </c>
      <c r="BM264" s="1286" t="str">
        <f>IF($E$30="Enter Duration (wks)","",IF($Y142="Enter Hrs/Wk","",IF($E$30&gt;='FORMULA REFS'!AX$1,$Y142,"")))</f>
        <v/>
      </c>
      <c r="BN264" s="1286" t="str">
        <f>IF($E$30="Enter Duration (wks)","",IF($Y142="Enter Hrs/Wk","",IF($E$30&gt;='FORMULA REFS'!AY$1,$Y142,"")))</f>
        <v/>
      </c>
      <c r="BO264" s="1286" t="str">
        <f>IF($E$30="Enter Duration (wks)","",IF($Y142="Enter Hrs/Wk","",IF($E$30&gt;='FORMULA REFS'!AZ$1,$Y142,"")))</f>
        <v/>
      </c>
    </row>
    <row r="265" spans="2:67" hidden="1" outlineLevel="1" x14ac:dyDescent="0.25">
      <c r="C265" s="1291" t="str">
        <f t="shared" si="83"/>
        <v/>
      </c>
      <c r="D265" s="1319" t="str">
        <f t="shared" si="84"/>
        <v/>
      </c>
      <c r="E265" s="1326"/>
      <c r="F265" s="1327" t="str">
        <f>IF($E$30="Enter Duration (wks)","",IF($Y143="Enter Hrs/Wk","",IF($E$30&gt;='FORMULA REFS'!A$1,$Y143,"")))</f>
        <v/>
      </c>
      <c r="G265" s="1328"/>
      <c r="H265" s="1570"/>
      <c r="I265" s="1329" t="str">
        <f>IF($E$30="Enter Duration (wks)","",IF($Y143="Enter Hrs/Wk","",IF($E$30&gt;='FORMULA REFS'!B$1,$Y143,"")))</f>
        <v/>
      </c>
      <c r="J265" s="1323"/>
      <c r="K265" s="1286" t="str">
        <f>IF($E$30="Enter Duration (wks)","",IF($Y143="Enter Hrs/Wk","",IF($E$30&gt;='FORMULA REFS'!C$1,$Y143,"")))</f>
        <v/>
      </c>
      <c r="L265" s="882" t="str">
        <f>IF($E$30="Enter Duration (wks)","",IF($Y143="Enter Hrs/Wk","",IF($E$30&gt;='FORMULA REFS'!D$1,$Y143,"")))</f>
        <v/>
      </c>
      <c r="M265" s="882" t="str">
        <f>IF($E$30="Enter Duration (wks)","",IF($Y143="Enter Hrs/Wk","",IF($E$30&gt;='FORMULA REFS'!E$1,$Y143,"")))</f>
        <v/>
      </c>
      <c r="N265" s="882" t="str">
        <f>IF($E$30="Enter Duration (wks)","",IF($Y143="Enter Hrs/Wk","",IF($E$30&gt;='FORMULA REFS'!F$1,$Y143,"")))</f>
        <v/>
      </c>
      <c r="O265" s="882" t="str">
        <f>IF($E$30="Enter Duration (wks)","",IF($Y143="Enter Hrs/Wk","",IF($E$30&gt;='FORMULA REFS'!G$1,$Y143,"")))</f>
        <v/>
      </c>
      <c r="P265" s="882" t="str">
        <f>IF($E$30="Enter Duration (wks)","",IF($Y143="Enter Hrs/Wk","",IF($E$30&gt;='FORMULA REFS'!H$1,$Y143,"")))</f>
        <v/>
      </c>
      <c r="Q265" s="882" t="str">
        <f>IF($E$30="Enter Duration (wks)","",IF($Y143="Enter Hrs/Wk","",IF($E$30&gt;='FORMULA REFS'!I$1,$Y143,"")))</f>
        <v/>
      </c>
      <c r="R265" s="882" t="str">
        <f>IF($E$30="Enter Duration (wks)","",IF($Y143="Enter Hrs/Wk","",IF($E$30&gt;='FORMULA REFS'!J$1,$Y143,"")))</f>
        <v/>
      </c>
      <c r="S265" s="882" t="str">
        <f>IF($E$30="Enter Duration (wks)","",IF($Y143="Enter Hrs/Wk","",IF($E$30&gt;='FORMULA REFS'!K$1,$Y143,"")))</f>
        <v/>
      </c>
      <c r="T265" s="1323" t="str">
        <f>IF($E$30="Enter Duration (wks)","",IF($Y143="Enter Hrs/Wk","",IF($E$30&gt;='FORMULA REFS'!L$1,$Y143,"")))</f>
        <v/>
      </c>
      <c r="U265" s="882" t="str">
        <f>IF($E$30="Enter Duration (wks)","",IF($Y143="Enter Hrs/Wk","",IF($E$30&gt;='FORMULA REFS'!M$1,$Y143,"")))</f>
        <v/>
      </c>
      <c r="V265" s="882"/>
      <c r="W265" s="882"/>
      <c r="X265" s="1285"/>
      <c r="Y265" s="1285" t="str">
        <f>IF($E$30="Enter Duration (wks)","",IF($Y143="Enter Hrs/Wk","",IF($E$30&gt;='FORMULA REFS'!N$1,$Y143,"")))</f>
        <v/>
      </c>
      <c r="Z265" s="1343" t="str">
        <f>IF($E$30="Enter Duration (wks)","",IF($Y143="Enter Hrs/Wk","",IF($E$30&gt;='FORMULA REFS'!O$1,$Y143,"")))</f>
        <v/>
      </c>
      <c r="AA265" s="882" t="str">
        <f>IF($E$30="Enter Duration (wks)","",IF($Y143="Enter Hrs/Wk","",IF($E$30&gt;='FORMULA REFS'!P$1,$Y143,"")))</f>
        <v/>
      </c>
      <c r="AB265" s="882" t="str">
        <f>IF($E$30="Enter Duration (wks)","",IF($Y143="Enter Hrs/Wk","",IF($E$30&gt;='FORMULA REFS'!Q$1,$Y143,"")))</f>
        <v/>
      </c>
      <c r="AC265" s="882"/>
      <c r="AD265" s="882"/>
      <c r="AE265" s="882"/>
      <c r="AF265" s="882"/>
      <c r="AG265" s="1286" t="str">
        <f>IF($E$30="Enter Duration (wks)","",IF($Y143="Enter Hrs/Wk","",IF($E$30&gt;='FORMULA REFS'!R$1,$Y143,"")))</f>
        <v/>
      </c>
      <c r="AH265" s="1286" t="str">
        <f>IF($E$30="Enter Duration (wks)","",IF($Y143="Enter Hrs/Wk","",IF($E$30&gt;='FORMULA REFS'!S$1,$Y143,"")))</f>
        <v/>
      </c>
      <c r="AI265" s="1286" t="str">
        <f>IF($E$30="Enter Duration (wks)","",IF($Y143="Enter Hrs/Wk","",IF($E$30&gt;='FORMULA REFS'!T$1,$Y143,"")))</f>
        <v/>
      </c>
      <c r="AJ265" s="1286" t="str">
        <f>IF($E$30="Enter Duration (wks)","",IF($Y143="Enter Hrs/Wk","",IF($E$30&gt;='FORMULA REFS'!U$1,$Y143,"")))</f>
        <v/>
      </c>
      <c r="AK265" s="1286" t="str">
        <f>IF($E$30="Enter Duration (wks)","",IF($Y143="Enter Hrs/Wk","",IF($E$30&gt;='FORMULA REFS'!V$1,$Y143,"")))</f>
        <v/>
      </c>
      <c r="AL265" s="1286" t="str">
        <f>IF($E$30="Enter Duration (wks)","",IF($Y143="Enter Hrs/Wk","",IF($E$30&gt;='FORMULA REFS'!W$1,$Y143,"")))</f>
        <v/>
      </c>
      <c r="AM265" s="1286" t="str">
        <f>IF($E$30="Enter Duration (wks)","",IF($Y143="Enter Hrs/Wk","",IF($E$30&gt;='FORMULA REFS'!X$1,$Y143,"")))</f>
        <v/>
      </c>
      <c r="AN265" s="1286" t="str">
        <f>IF($E$30="Enter Duration (wks)","",IF($Y143="Enter Hrs/Wk","",IF($E$30&gt;='FORMULA REFS'!Y$1,$Y143,"")))</f>
        <v/>
      </c>
      <c r="AO265" s="1286" t="str">
        <f>IF($E$30="Enter Duration (wks)","",IF($Y143="Enter Hrs/Wk","",IF($E$30&gt;='FORMULA REFS'!Z$1,$Y143,"")))</f>
        <v/>
      </c>
      <c r="AP265" s="1286" t="str">
        <f>IF($E$30="Enter Duration (wks)","",IF($Y143="Enter Hrs/Wk","",IF($E$30&gt;='FORMULA REFS'!AA$1,$Y143,"")))</f>
        <v/>
      </c>
      <c r="AQ265" s="1286" t="str">
        <f>IF($E$30="Enter Duration (wks)","",IF($Y143="Enter Hrs/Wk","",IF($E$30&gt;='FORMULA REFS'!AB$1,$Y143,"")))</f>
        <v/>
      </c>
      <c r="AR265" s="1286" t="str">
        <f>IF($E$30="Enter Duration (wks)","",IF($Y143="Enter Hrs/Wk","",IF($E$30&gt;='FORMULA REFS'!AC$1,$Y143,"")))</f>
        <v/>
      </c>
      <c r="AS265" s="1286" t="str">
        <f>IF($E$30="Enter Duration (wks)","",IF($Y143="Enter Hrs/Wk","",IF($E$30&gt;='FORMULA REFS'!AD$1,$Y143,"")))</f>
        <v/>
      </c>
      <c r="AT265" s="1286" t="str">
        <f>IF($E$30="Enter Duration (wks)","",IF($Y143="Enter Hrs/Wk","",IF($E$30&gt;='FORMULA REFS'!AE$1,$Y143,"")))</f>
        <v/>
      </c>
      <c r="AU265" s="1286" t="str">
        <f>IF($E$30="Enter Duration (wks)","",IF($Y143="Enter Hrs/Wk","",IF($E$30&gt;='FORMULA REFS'!AF$1,$Y143,"")))</f>
        <v/>
      </c>
      <c r="AV265" s="1286" t="str">
        <f>IF($E$30="Enter Duration (wks)","",IF($Y143="Enter Hrs/Wk","",IF($E$30&gt;='FORMULA REFS'!AG$1,$Y143,"")))</f>
        <v/>
      </c>
      <c r="AW265" s="1286" t="str">
        <f>IF($E$30="Enter Duration (wks)","",IF($Y143="Enter Hrs/Wk","",IF($E$30&gt;='FORMULA REFS'!AH$1,$Y143,"")))</f>
        <v/>
      </c>
      <c r="AX265" s="1286" t="str">
        <f>IF($E$30="Enter Duration (wks)","",IF($Y143="Enter Hrs/Wk","",IF($E$30&gt;='FORMULA REFS'!AI$1,$Y143,"")))</f>
        <v/>
      </c>
      <c r="AY265" s="1286" t="str">
        <f>IF($E$30="Enter Duration (wks)","",IF($Y143="Enter Hrs/Wk","",IF($E$30&gt;='FORMULA REFS'!AJ$1,$Y143,"")))</f>
        <v/>
      </c>
      <c r="AZ265" s="1286" t="str">
        <f>IF($E$30="Enter Duration (wks)","",IF($Y143="Enter Hrs/Wk","",IF($E$30&gt;='FORMULA REFS'!AK$1,$Y143,"")))</f>
        <v/>
      </c>
      <c r="BA265" s="1286" t="str">
        <f>IF($E$30="Enter Duration (wks)","",IF($Y143="Enter Hrs/Wk","",IF($E$30&gt;='FORMULA REFS'!AL$1,$Y143,"")))</f>
        <v/>
      </c>
      <c r="BB265" s="1286" t="str">
        <f>IF($E$30="Enter Duration (wks)","",IF($Y143="Enter Hrs/Wk","",IF($E$30&gt;='FORMULA REFS'!AM$1,$Y143,"")))</f>
        <v/>
      </c>
      <c r="BC265" s="1286" t="str">
        <f>IF($E$30="Enter Duration (wks)","",IF($Y143="Enter Hrs/Wk","",IF($E$30&gt;='FORMULA REFS'!AN$1,$Y143,"")))</f>
        <v/>
      </c>
      <c r="BD265" s="1286" t="str">
        <f>IF($E$30="Enter Duration (wks)","",IF($Y143="Enter Hrs/Wk","",IF($E$30&gt;='FORMULA REFS'!AO$1,$Y143,"")))</f>
        <v/>
      </c>
      <c r="BE265" s="1286" t="str">
        <f>IF($E$30="Enter Duration (wks)","",IF($Y143="Enter Hrs/Wk","",IF($E$30&gt;='FORMULA REFS'!AP$1,$Y143,"")))</f>
        <v/>
      </c>
      <c r="BF265" s="1286" t="str">
        <f>IF($E$30="Enter Duration (wks)","",IF($Y143="Enter Hrs/Wk","",IF($E$30&gt;='FORMULA REFS'!AQ$1,$Y143,"")))</f>
        <v/>
      </c>
      <c r="BG265" s="1286" t="str">
        <f>IF($E$30="Enter Duration (wks)","",IF($Y143="Enter Hrs/Wk","",IF($E$30&gt;='FORMULA REFS'!AR$1,$Y143,"")))</f>
        <v/>
      </c>
      <c r="BH265" s="1286" t="str">
        <f>IF($E$30="Enter Duration (wks)","",IF($Y143="Enter Hrs/Wk","",IF($E$30&gt;='FORMULA REFS'!AS$1,$Y143,"")))</f>
        <v/>
      </c>
      <c r="BI265" s="1286" t="str">
        <f>IF($E$30="Enter Duration (wks)","",IF($Y143="Enter Hrs/Wk","",IF($E$30&gt;='FORMULA REFS'!AT$1,$Y143,"")))</f>
        <v/>
      </c>
      <c r="BJ265" s="1286" t="str">
        <f>IF($E$30="Enter Duration (wks)","",IF($Y143="Enter Hrs/Wk","",IF($E$30&gt;='FORMULA REFS'!AU$1,$Y143,"")))</f>
        <v/>
      </c>
      <c r="BK265" s="1286" t="str">
        <f>IF($E$30="Enter Duration (wks)","",IF($Y143="Enter Hrs/Wk","",IF($E$30&gt;='FORMULA REFS'!AV$1,$Y143,"")))</f>
        <v/>
      </c>
      <c r="BL265" s="1286" t="str">
        <f>IF($E$30="Enter Duration (wks)","",IF($Y143="Enter Hrs/Wk","",IF($E$30&gt;='FORMULA REFS'!AW$1,$Y143,"")))</f>
        <v/>
      </c>
      <c r="BM265" s="1286" t="str">
        <f>IF($E$30="Enter Duration (wks)","",IF($Y143="Enter Hrs/Wk","",IF($E$30&gt;='FORMULA REFS'!AX$1,$Y143,"")))</f>
        <v/>
      </c>
      <c r="BN265" s="1286" t="str">
        <f>IF($E$30="Enter Duration (wks)","",IF($Y143="Enter Hrs/Wk","",IF($E$30&gt;='FORMULA REFS'!AY$1,$Y143,"")))</f>
        <v/>
      </c>
      <c r="BO265" s="1286" t="str">
        <f>IF($E$30="Enter Duration (wks)","",IF($Y143="Enter Hrs/Wk","",IF($E$30&gt;='FORMULA REFS'!AZ$1,$Y143,"")))</f>
        <v/>
      </c>
    </row>
    <row r="266" spans="2:67" hidden="1" outlineLevel="1" x14ac:dyDescent="0.25">
      <c r="C266" s="1291" t="str">
        <f t="shared" si="83"/>
        <v/>
      </c>
      <c r="D266" s="1319" t="str">
        <f t="shared" si="84"/>
        <v/>
      </c>
      <c r="E266" s="1326"/>
      <c r="F266" s="1327" t="str">
        <f>IF($E$30="Enter Duration (wks)","",IF($Y144="Enter Hrs/Wk","",IF($E$30&gt;='FORMULA REFS'!A$1,$Y144,"")))</f>
        <v/>
      </c>
      <c r="G266" s="1328"/>
      <c r="H266" s="1570"/>
      <c r="I266" s="1329" t="str">
        <f>IF($E$30="Enter Duration (wks)","",IF($Y144="Enter Hrs/Wk","",IF($E$30&gt;='FORMULA REFS'!B$1,$Y144,"")))</f>
        <v/>
      </c>
      <c r="J266" s="1323"/>
      <c r="K266" s="1286" t="str">
        <f>IF($E$30="Enter Duration (wks)","",IF($Y144="Enter Hrs/Wk","",IF($E$30&gt;='FORMULA REFS'!C$1,$Y144,"")))</f>
        <v/>
      </c>
      <c r="L266" s="882" t="str">
        <f>IF($E$30="Enter Duration (wks)","",IF($Y144="Enter Hrs/Wk","",IF($E$30&gt;='FORMULA REFS'!D$1,$Y144,"")))</f>
        <v/>
      </c>
      <c r="M266" s="882" t="str">
        <f>IF($E$30="Enter Duration (wks)","",IF($Y144="Enter Hrs/Wk","",IF($E$30&gt;='FORMULA REFS'!E$1,$Y144,"")))</f>
        <v/>
      </c>
      <c r="N266" s="882" t="str">
        <f>IF($E$30="Enter Duration (wks)","",IF($Y144="Enter Hrs/Wk","",IF($E$30&gt;='FORMULA REFS'!F$1,$Y144,"")))</f>
        <v/>
      </c>
      <c r="O266" s="882" t="str">
        <f>IF($E$30="Enter Duration (wks)","",IF($Y144="Enter Hrs/Wk","",IF($E$30&gt;='FORMULA REFS'!G$1,$Y144,"")))</f>
        <v/>
      </c>
      <c r="P266" s="882" t="str">
        <f>IF($E$30="Enter Duration (wks)","",IF($Y144="Enter Hrs/Wk","",IF($E$30&gt;='FORMULA REFS'!H$1,$Y144,"")))</f>
        <v/>
      </c>
      <c r="Q266" s="882" t="str">
        <f>IF($E$30="Enter Duration (wks)","",IF($Y144="Enter Hrs/Wk","",IF($E$30&gt;='FORMULA REFS'!I$1,$Y144,"")))</f>
        <v/>
      </c>
      <c r="R266" s="882" t="str">
        <f>IF($E$30="Enter Duration (wks)","",IF($Y144="Enter Hrs/Wk","",IF($E$30&gt;='FORMULA REFS'!J$1,$Y144,"")))</f>
        <v/>
      </c>
      <c r="S266" s="882" t="str">
        <f>IF($E$30="Enter Duration (wks)","",IF($Y144="Enter Hrs/Wk","",IF($E$30&gt;='FORMULA REFS'!K$1,$Y144,"")))</f>
        <v/>
      </c>
      <c r="T266" s="1323" t="str">
        <f>IF($E$30="Enter Duration (wks)","",IF($Y144="Enter Hrs/Wk","",IF($E$30&gt;='FORMULA REFS'!L$1,$Y144,"")))</f>
        <v/>
      </c>
      <c r="U266" s="882" t="str">
        <f>IF($E$30="Enter Duration (wks)","",IF($Y144="Enter Hrs/Wk","",IF($E$30&gt;='FORMULA REFS'!M$1,$Y144,"")))</f>
        <v/>
      </c>
      <c r="V266" s="882"/>
      <c r="W266" s="882"/>
      <c r="X266" s="1285"/>
      <c r="Y266" s="1285" t="str">
        <f>IF($E$30="Enter Duration (wks)","",IF($Y144="Enter Hrs/Wk","",IF($E$30&gt;='FORMULA REFS'!N$1,$Y144,"")))</f>
        <v/>
      </c>
      <c r="Z266" s="1343" t="str">
        <f>IF($E$30="Enter Duration (wks)","",IF($Y144="Enter Hrs/Wk","",IF($E$30&gt;='FORMULA REFS'!O$1,$Y144,"")))</f>
        <v/>
      </c>
      <c r="AA266" s="882" t="str">
        <f>IF($E$30="Enter Duration (wks)","",IF($Y144="Enter Hrs/Wk","",IF($E$30&gt;='FORMULA REFS'!P$1,$Y144,"")))</f>
        <v/>
      </c>
      <c r="AB266" s="882" t="str">
        <f>IF($E$30="Enter Duration (wks)","",IF($Y144="Enter Hrs/Wk","",IF($E$30&gt;='FORMULA REFS'!Q$1,$Y144,"")))</f>
        <v/>
      </c>
      <c r="AC266" s="882"/>
      <c r="AD266" s="882"/>
      <c r="AE266" s="882"/>
      <c r="AF266" s="882"/>
      <c r="AG266" s="1286" t="str">
        <f>IF($E$30="Enter Duration (wks)","",IF($Y144="Enter Hrs/Wk","",IF($E$30&gt;='FORMULA REFS'!R$1,$Y144,"")))</f>
        <v/>
      </c>
      <c r="AH266" s="1286" t="str">
        <f>IF($E$30="Enter Duration (wks)","",IF($Y144="Enter Hrs/Wk","",IF($E$30&gt;='FORMULA REFS'!S$1,$Y144,"")))</f>
        <v/>
      </c>
      <c r="AI266" s="1286" t="str">
        <f>IF($E$30="Enter Duration (wks)","",IF($Y144="Enter Hrs/Wk","",IF($E$30&gt;='FORMULA REFS'!T$1,$Y144,"")))</f>
        <v/>
      </c>
      <c r="AJ266" s="1286" t="str">
        <f>IF($E$30="Enter Duration (wks)","",IF($Y144="Enter Hrs/Wk","",IF($E$30&gt;='FORMULA REFS'!U$1,$Y144,"")))</f>
        <v/>
      </c>
      <c r="AK266" s="1286" t="str">
        <f>IF($E$30="Enter Duration (wks)","",IF($Y144="Enter Hrs/Wk","",IF($E$30&gt;='FORMULA REFS'!V$1,$Y144,"")))</f>
        <v/>
      </c>
      <c r="AL266" s="1286" t="str">
        <f>IF($E$30="Enter Duration (wks)","",IF($Y144="Enter Hrs/Wk","",IF($E$30&gt;='FORMULA REFS'!W$1,$Y144,"")))</f>
        <v/>
      </c>
      <c r="AM266" s="1286" t="str">
        <f>IF($E$30="Enter Duration (wks)","",IF($Y144="Enter Hrs/Wk","",IF($E$30&gt;='FORMULA REFS'!X$1,$Y144,"")))</f>
        <v/>
      </c>
      <c r="AN266" s="1286" t="str">
        <f>IF($E$30="Enter Duration (wks)","",IF($Y144="Enter Hrs/Wk","",IF($E$30&gt;='FORMULA REFS'!Y$1,$Y144,"")))</f>
        <v/>
      </c>
      <c r="AO266" s="1286" t="str">
        <f>IF($E$30="Enter Duration (wks)","",IF($Y144="Enter Hrs/Wk","",IF($E$30&gt;='FORMULA REFS'!Z$1,$Y144,"")))</f>
        <v/>
      </c>
      <c r="AP266" s="1286" t="str">
        <f>IF($E$30="Enter Duration (wks)","",IF($Y144="Enter Hrs/Wk","",IF($E$30&gt;='FORMULA REFS'!AA$1,$Y144,"")))</f>
        <v/>
      </c>
      <c r="AQ266" s="1286" t="str">
        <f>IF($E$30="Enter Duration (wks)","",IF($Y144="Enter Hrs/Wk","",IF($E$30&gt;='FORMULA REFS'!AB$1,$Y144,"")))</f>
        <v/>
      </c>
      <c r="AR266" s="1286" t="str">
        <f>IF($E$30="Enter Duration (wks)","",IF($Y144="Enter Hrs/Wk","",IF($E$30&gt;='FORMULA REFS'!AC$1,$Y144,"")))</f>
        <v/>
      </c>
      <c r="AS266" s="1286" t="str">
        <f>IF($E$30="Enter Duration (wks)","",IF($Y144="Enter Hrs/Wk","",IF($E$30&gt;='FORMULA REFS'!AD$1,$Y144,"")))</f>
        <v/>
      </c>
      <c r="AT266" s="1286" t="str">
        <f>IF($E$30="Enter Duration (wks)","",IF($Y144="Enter Hrs/Wk","",IF($E$30&gt;='FORMULA REFS'!AE$1,$Y144,"")))</f>
        <v/>
      </c>
      <c r="AU266" s="1286" t="str">
        <f>IF($E$30="Enter Duration (wks)","",IF($Y144="Enter Hrs/Wk","",IF($E$30&gt;='FORMULA REFS'!AF$1,$Y144,"")))</f>
        <v/>
      </c>
      <c r="AV266" s="1286" t="str">
        <f>IF($E$30="Enter Duration (wks)","",IF($Y144="Enter Hrs/Wk","",IF($E$30&gt;='FORMULA REFS'!AG$1,$Y144,"")))</f>
        <v/>
      </c>
      <c r="AW266" s="1286" t="str">
        <f>IF($E$30="Enter Duration (wks)","",IF($Y144="Enter Hrs/Wk","",IF($E$30&gt;='FORMULA REFS'!AH$1,$Y144,"")))</f>
        <v/>
      </c>
      <c r="AX266" s="1286" t="str">
        <f>IF($E$30="Enter Duration (wks)","",IF($Y144="Enter Hrs/Wk","",IF($E$30&gt;='FORMULA REFS'!AI$1,$Y144,"")))</f>
        <v/>
      </c>
      <c r="AY266" s="1286" t="str">
        <f>IF($E$30="Enter Duration (wks)","",IF($Y144="Enter Hrs/Wk","",IF($E$30&gt;='FORMULA REFS'!AJ$1,$Y144,"")))</f>
        <v/>
      </c>
      <c r="AZ266" s="1286" t="str">
        <f>IF($E$30="Enter Duration (wks)","",IF($Y144="Enter Hrs/Wk","",IF($E$30&gt;='FORMULA REFS'!AK$1,$Y144,"")))</f>
        <v/>
      </c>
      <c r="BA266" s="1286" t="str">
        <f>IF($E$30="Enter Duration (wks)","",IF($Y144="Enter Hrs/Wk","",IF($E$30&gt;='FORMULA REFS'!AL$1,$Y144,"")))</f>
        <v/>
      </c>
      <c r="BB266" s="1286" t="str">
        <f>IF($E$30="Enter Duration (wks)","",IF($Y144="Enter Hrs/Wk","",IF($E$30&gt;='FORMULA REFS'!AM$1,$Y144,"")))</f>
        <v/>
      </c>
      <c r="BC266" s="1286" t="str">
        <f>IF($E$30="Enter Duration (wks)","",IF($Y144="Enter Hrs/Wk","",IF($E$30&gt;='FORMULA REFS'!AN$1,$Y144,"")))</f>
        <v/>
      </c>
      <c r="BD266" s="1286" t="str">
        <f>IF($E$30="Enter Duration (wks)","",IF($Y144="Enter Hrs/Wk","",IF($E$30&gt;='FORMULA REFS'!AO$1,$Y144,"")))</f>
        <v/>
      </c>
      <c r="BE266" s="1286" t="str">
        <f>IF($E$30="Enter Duration (wks)","",IF($Y144="Enter Hrs/Wk","",IF($E$30&gt;='FORMULA REFS'!AP$1,$Y144,"")))</f>
        <v/>
      </c>
      <c r="BF266" s="1286" t="str">
        <f>IF($E$30="Enter Duration (wks)","",IF($Y144="Enter Hrs/Wk","",IF($E$30&gt;='FORMULA REFS'!AQ$1,$Y144,"")))</f>
        <v/>
      </c>
      <c r="BG266" s="1286" t="str">
        <f>IF($E$30="Enter Duration (wks)","",IF($Y144="Enter Hrs/Wk","",IF($E$30&gt;='FORMULA REFS'!AR$1,$Y144,"")))</f>
        <v/>
      </c>
      <c r="BH266" s="1286" t="str">
        <f>IF($E$30="Enter Duration (wks)","",IF($Y144="Enter Hrs/Wk","",IF($E$30&gt;='FORMULA REFS'!AS$1,$Y144,"")))</f>
        <v/>
      </c>
      <c r="BI266" s="1286" t="str">
        <f>IF($E$30="Enter Duration (wks)","",IF($Y144="Enter Hrs/Wk","",IF($E$30&gt;='FORMULA REFS'!AT$1,$Y144,"")))</f>
        <v/>
      </c>
      <c r="BJ266" s="1286" t="str">
        <f>IF($E$30="Enter Duration (wks)","",IF($Y144="Enter Hrs/Wk","",IF($E$30&gt;='FORMULA REFS'!AU$1,$Y144,"")))</f>
        <v/>
      </c>
      <c r="BK266" s="1286" t="str">
        <f>IF($E$30="Enter Duration (wks)","",IF($Y144="Enter Hrs/Wk","",IF($E$30&gt;='FORMULA REFS'!AV$1,$Y144,"")))</f>
        <v/>
      </c>
      <c r="BL266" s="1286" t="str">
        <f>IF($E$30="Enter Duration (wks)","",IF($Y144="Enter Hrs/Wk","",IF($E$30&gt;='FORMULA REFS'!AW$1,$Y144,"")))</f>
        <v/>
      </c>
      <c r="BM266" s="1286" t="str">
        <f>IF($E$30="Enter Duration (wks)","",IF($Y144="Enter Hrs/Wk","",IF($E$30&gt;='FORMULA REFS'!AX$1,$Y144,"")))</f>
        <v/>
      </c>
      <c r="BN266" s="1286" t="str">
        <f>IF($E$30="Enter Duration (wks)","",IF($Y144="Enter Hrs/Wk","",IF($E$30&gt;='FORMULA REFS'!AY$1,$Y144,"")))</f>
        <v/>
      </c>
      <c r="BO266" s="1286" t="str">
        <f>IF($E$30="Enter Duration (wks)","",IF($Y144="Enter Hrs/Wk","",IF($E$30&gt;='FORMULA REFS'!AZ$1,$Y144,"")))</f>
        <v/>
      </c>
    </row>
    <row r="267" spans="2:67" hidden="1" outlineLevel="1" x14ac:dyDescent="0.25">
      <c r="C267" s="1291" t="str">
        <f t="shared" ref="C267:C269" si="85">IF(ISBLANK(C145),"",C145)</f>
        <v/>
      </c>
      <c r="D267" s="1319" t="str">
        <f t="shared" si="84"/>
        <v/>
      </c>
      <c r="E267" s="1326"/>
      <c r="F267" s="1327" t="str">
        <f>IF($E$30="Enter Duration (wks)","",IF($Y145="Enter Hrs/Wk","",IF($E$30&gt;='FORMULA REFS'!A$1,$Y145,"")))</f>
        <v/>
      </c>
      <c r="G267" s="1328"/>
      <c r="H267" s="1570"/>
      <c r="I267" s="1329" t="str">
        <f>IF($E$30="Enter Duration (wks)","",IF($Y145="Enter Hrs/Wk","",IF($E$30&gt;='FORMULA REFS'!B$1,$Y145,"")))</f>
        <v/>
      </c>
      <c r="J267" s="1323"/>
      <c r="K267" s="1286" t="str">
        <f>IF($E$30="Enter Duration (wks)","",IF($Y145="Enter Hrs/Wk","",IF($E$30&gt;='FORMULA REFS'!C$1,$Y145,"")))</f>
        <v/>
      </c>
      <c r="L267" s="882" t="str">
        <f>IF($E$30="Enter Duration (wks)","",IF($Y145="Enter Hrs/Wk","",IF($E$30&gt;='FORMULA REFS'!D$1,$Y145,"")))</f>
        <v/>
      </c>
      <c r="M267" s="882" t="str">
        <f>IF($E$30="Enter Duration (wks)","",IF($Y145="Enter Hrs/Wk","",IF($E$30&gt;='FORMULA REFS'!E$1,$Y145,"")))</f>
        <v/>
      </c>
      <c r="N267" s="882" t="str">
        <f>IF($E$30="Enter Duration (wks)","",IF($Y145="Enter Hrs/Wk","",IF($E$30&gt;='FORMULA REFS'!F$1,$Y145,"")))</f>
        <v/>
      </c>
      <c r="O267" s="882" t="str">
        <f>IF($E$30="Enter Duration (wks)","",IF($Y145="Enter Hrs/Wk","",IF($E$30&gt;='FORMULA REFS'!G$1,$Y145,"")))</f>
        <v/>
      </c>
      <c r="P267" s="882" t="str">
        <f>IF($E$30="Enter Duration (wks)","",IF($Y145="Enter Hrs/Wk","",IF($E$30&gt;='FORMULA REFS'!H$1,$Y145,"")))</f>
        <v/>
      </c>
      <c r="Q267" s="882" t="str">
        <f>IF($E$30="Enter Duration (wks)","",IF($Y145="Enter Hrs/Wk","",IF($E$30&gt;='FORMULA REFS'!I$1,$Y145,"")))</f>
        <v/>
      </c>
      <c r="R267" s="882" t="str">
        <f>IF($E$30="Enter Duration (wks)","",IF($Y145="Enter Hrs/Wk","",IF($E$30&gt;='FORMULA REFS'!J$1,$Y145,"")))</f>
        <v/>
      </c>
      <c r="S267" s="882" t="str">
        <f>IF($E$30="Enter Duration (wks)","",IF($Y145="Enter Hrs/Wk","",IF($E$30&gt;='FORMULA REFS'!K$1,$Y145,"")))</f>
        <v/>
      </c>
      <c r="T267" s="1323" t="str">
        <f>IF($E$30="Enter Duration (wks)","",IF($Y145="Enter Hrs/Wk","",IF($E$30&gt;='FORMULA REFS'!L$1,$Y145,"")))</f>
        <v/>
      </c>
      <c r="U267" s="882" t="str">
        <f>IF($E$30="Enter Duration (wks)","",IF($Y145="Enter Hrs/Wk","",IF($E$30&gt;='FORMULA REFS'!M$1,$Y145,"")))</f>
        <v/>
      </c>
      <c r="V267" s="882"/>
      <c r="W267" s="882"/>
      <c r="X267" s="1285"/>
      <c r="Y267" s="1285" t="str">
        <f>IF($E$30="Enter Duration (wks)","",IF($Y145="Enter Hrs/Wk","",IF($E$30&gt;='FORMULA REFS'!N$1,$Y145,"")))</f>
        <v/>
      </c>
      <c r="Z267" s="1343" t="str">
        <f>IF($E$30="Enter Duration (wks)","",IF($Y145="Enter Hrs/Wk","",IF($E$30&gt;='FORMULA REFS'!O$1,$Y145,"")))</f>
        <v/>
      </c>
      <c r="AA267" s="882" t="str">
        <f>IF($E$30="Enter Duration (wks)","",IF($Y145="Enter Hrs/Wk","",IF($E$30&gt;='FORMULA REFS'!P$1,$Y145,"")))</f>
        <v/>
      </c>
      <c r="AB267" s="882" t="str">
        <f>IF($E$30="Enter Duration (wks)","",IF($Y145="Enter Hrs/Wk","",IF($E$30&gt;='FORMULA REFS'!Q$1,$Y145,"")))</f>
        <v/>
      </c>
      <c r="AC267" s="882"/>
      <c r="AD267" s="882"/>
      <c r="AE267" s="882"/>
      <c r="AF267" s="882"/>
      <c r="AG267" s="1286" t="str">
        <f>IF($E$30="Enter Duration (wks)","",IF($Y145="Enter Hrs/Wk","",IF($E$30&gt;='FORMULA REFS'!R$1,$Y145,"")))</f>
        <v/>
      </c>
      <c r="AH267" s="1286" t="str">
        <f>IF($E$30="Enter Duration (wks)","",IF($Y145="Enter Hrs/Wk","",IF($E$30&gt;='FORMULA REFS'!S$1,$Y145,"")))</f>
        <v/>
      </c>
      <c r="AI267" s="1286" t="str">
        <f>IF($E$30="Enter Duration (wks)","",IF($Y145="Enter Hrs/Wk","",IF($E$30&gt;='FORMULA REFS'!T$1,$Y145,"")))</f>
        <v/>
      </c>
      <c r="AJ267" s="1286" t="str">
        <f>IF($E$30="Enter Duration (wks)","",IF($Y145="Enter Hrs/Wk","",IF($E$30&gt;='FORMULA REFS'!U$1,$Y145,"")))</f>
        <v/>
      </c>
      <c r="AK267" s="1286" t="str">
        <f>IF($E$30="Enter Duration (wks)","",IF($Y145="Enter Hrs/Wk","",IF($E$30&gt;='FORMULA REFS'!V$1,$Y145,"")))</f>
        <v/>
      </c>
      <c r="AL267" s="1286" t="str">
        <f>IF($E$30="Enter Duration (wks)","",IF($Y145="Enter Hrs/Wk","",IF($E$30&gt;='FORMULA REFS'!W$1,$Y145,"")))</f>
        <v/>
      </c>
      <c r="AM267" s="1286" t="str">
        <f>IF($E$30="Enter Duration (wks)","",IF($Y145="Enter Hrs/Wk","",IF($E$30&gt;='FORMULA REFS'!X$1,$Y145,"")))</f>
        <v/>
      </c>
      <c r="AN267" s="1286" t="str">
        <f>IF($E$30="Enter Duration (wks)","",IF($Y145="Enter Hrs/Wk","",IF($E$30&gt;='FORMULA REFS'!Y$1,$Y145,"")))</f>
        <v/>
      </c>
      <c r="AO267" s="1286" t="str">
        <f>IF($E$30="Enter Duration (wks)","",IF($Y145="Enter Hrs/Wk","",IF($E$30&gt;='FORMULA REFS'!Z$1,$Y145,"")))</f>
        <v/>
      </c>
      <c r="AP267" s="1286" t="str">
        <f>IF($E$30="Enter Duration (wks)","",IF($Y145="Enter Hrs/Wk","",IF($E$30&gt;='FORMULA REFS'!AA$1,$Y145,"")))</f>
        <v/>
      </c>
      <c r="AQ267" s="1286" t="str">
        <f>IF($E$30="Enter Duration (wks)","",IF($Y145="Enter Hrs/Wk","",IF($E$30&gt;='FORMULA REFS'!AB$1,$Y145,"")))</f>
        <v/>
      </c>
      <c r="AR267" s="1286" t="str">
        <f>IF($E$30="Enter Duration (wks)","",IF($Y145="Enter Hrs/Wk","",IF($E$30&gt;='FORMULA REFS'!AC$1,$Y145,"")))</f>
        <v/>
      </c>
      <c r="AS267" s="1286" t="str">
        <f>IF($E$30="Enter Duration (wks)","",IF($Y145="Enter Hrs/Wk","",IF($E$30&gt;='FORMULA REFS'!AD$1,$Y145,"")))</f>
        <v/>
      </c>
      <c r="AT267" s="1286" t="str">
        <f>IF($E$30="Enter Duration (wks)","",IF($Y145="Enter Hrs/Wk","",IF($E$30&gt;='FORMULA REFS'!AE$1,$Y145,"")))</f>
        <v/>
      </c>
      <c r="AU267" s="1286" t="str">
        <f>IF($E$30="Enter Duration (wks)","",IF($Y145="Enter Hrs/Wk","",IF($E$30&gt;='FORMULA REFS'!AF$1,$Y145,"")))</f>
        <v/>
      </c>
      <c r="AV267" s="1286" t="str">
        <f>IF($E$30="Enter Duration (wks)","",IF($Y145="Enter Hrs/Wk","",IF($E$30&gt;='FORMULA REFS'!AG$1,$Y145,"")))</f>
        <v/>
      </c>
      <c r="AW267" s="1286" t="str">
        <f>IF($E$30="Enter Duration (wks)","",IF($Y145="Enter Hrs/Wk","",IF($E$30&gt;='FORMULA REFS'!AH$1,$Y145,"")))</f>
        <v/>
      </c>
      <c r="AX267" s="1286" t="str">
        <f>IF($E$30="Enter Duration (wks)","",IF($Y145="Enter Hrs/Wk","",IF($E$30&gt;='FORMULA REFS'!AI$1,$Y145,"")))</f>
        <v/>
      </c>
      <c r="AY267" s="1286" t="str">
        <f>IF($E$30="Enter Duration (wks)","",IF($Y145="Enter Hrs/Wk","",IF($E$30&gt;='FORMULA REFS'!AJ$1,$Y145,"")))</f>
        <v/>
      </c>
      <c r="AZ267" s="1286" t="str">
        <f>IF($E$30="Enter Duration (wks)","",IF($Y145="Enter Hrs/Wk","",IF($E$30&gt;='FORMULA REFS'!AK$1,$Y145,"")))</f>
        <v/>
      </c>
      <c r="BA267" s="1286" t="str">
        <f>IF($E$30="Enter Duration (wks)","",IF($Y145="Enter Hrs/Wk","",IF($E$30&gt;='FORMULA REFS'!AL$1,$Y145,"")))</f>
        <v/>
      </c>
      <c r="BB267" s="1286" t="str">
        <f>IF($E$30="Enter Duration (wks)","",IF($Y145="Enter Hrs/Wk","",IF($E$30&gt;='FORMULA REFS'!AM$1,$Y145,"")))</f>
        <v/>
      </c>
      <c r="BC267" s="1286" t="str">
        <f>IF($E$30="Enter Duration (wks)","",IF($Y145="Enter Hrs/Wk","",IF($E$30&gt;='FORMULA REFS'!AN$1,$Y145,"")))</f>
        <v/>
      </c>
      <c r="BD267" s="1286" t="str">
        <f>IF($E$30="Enter Duration (wks)","",IF($Y145="Enter Hrs/Wk","",IF($E$30&gt;='FORMULA REFS'!AO$1,$Y145,"")))</f>
        <v/>
      </c>
      <c r="BE267" s="1286" t="str">
        <f>IF($E$30="Enter Duration (wks)","",IF($Y145="Enter Hrs/Wk","",IF($E$30&gt;='FORMULA REFS'!AP$1,$Y145,"")))</f>
        <v/>
      </c>
      <c r="BF267" s="1286" t="str">
        <f>IF($E$30="Enter Duration (wks)","",IF($Y145="Enter Hrs/Wk","",IF($E$30&gt;='FORMULA REFS'!AQ$1,$Y145,"")))</f>
        <v/>
      </c>
      <c r="BG267" s="1286" t="str">
        <f>IF($E$30="Enter Duration (wks)","",IF($Y145="Enter Hrs/Wk","",IF($E$30&gt;='FORMULA REFS'!AR$1,$Y145,"")))</f>
        <v/>
      </c>
      <c r="BH267" s="1286" t="str">
        <f>IF($E$30="Enter Duration (wks)","",IF($Y145="Enter Hrs/Wk","",IF($E$30&gt;='FORMULA REFS'!AS$1,$Y145,"")))</f>
        <v/>
      </c>
      <c r="BI267" s="1286" t="str">
        <f>IF($E$30="Enter Duration (wks)","",IF($Y145="Enter Hrs/Wk","",IF($E$30&gt;='FORMULA REFS'!AT$1,$Y145,"")))</f>
        <v/>
      </c>
      <c r="BJ267" s="1286" t="str">
        <f>IF($E$30="Enter Duration (wks)","",IF($Y145="Enter Hrs/Wk","",IF($E$30&gt;='FORMULA REFS'!AU$1,$Y145,"")))</f>
        <v/>
      </c>
      <c r="BK267" s="1286" t="str">
        <f>IF($E$30="Enter Duration (wks)","",IF($Y145="Enter Hrs/Wk","",IF($E$30&gt;='FORMULA REFS'!AV$1,$Y145,"")))</f>
        <v/>
      </c>
      <c r="BL267" s="1286" t="str">
        <f>IF($E$30="Enter Duration (wks)","",IF($Y145="Enter Hrs/Wk","",IF($E$30&gt;='FORMULA REFS'!AW$1,$Y145,"")))</f>
        <v/>
      </c>
      <c r="BM267" s="1286" t="str">
        <f>IF($E$30="Enter Duration (wks)","",IF($Y145="Enter Hrs/Wk","",IF($E$30&gt;='FORMULA REFS'!AX$1,$Y145,"")))</f>
        <v/>
      </c>
      <c r="BN267" s="1286" t="str">
        <f>IF($E$30="Enter Duration (wks)","",IF($Y145="Enter Hrs/Wk","",IF($E$30&gt;='FORMULA REFS'!AY$1,$Y145,"")))</f>
        <v/>
      </c>
      <c r="BO267" s="1286" t="str">
        <f>IF($E$30="Enter Duration (wks)","",IF($Y145="Enter Hrs/Wk","",IF($E$30&gt;='FORMULA REFS'!AZ$1,$Y145,"")))</f>
        <v/>
      </c>
    </row>
    <row r="268" spans="2:67" hidden="1" outlineLevel="1" x14ac:dyDescent="0.25">
      <c r="C268" s="1291" t="str">
        <f t="shared" si="85"/>
        <v/>
      </c>
      <c r="D268" s="1319" t="str">
        <f t="shared" si="84"/>
        <v/>
      </c>
      <c r="E268" s="1326"/>
      <c r="F268" s="1327" t="str">
        <f>IF($E$30="Enter Duration (wks)","",IF($Y146="Enter Hrs/Wk","",IF($E$30&gt;='FORMULA REFS'!A$1,$Y146,"")))</f>
        <v/>
      </c>
      <c r="G268" s="1328"/>
      <c r="H268" s="1570"/>
      <c r="I268" s="1329" t="str">
        <f>IF($E$30="Enter Duration (wks)","",IF($Y146="Enter Hrs/Wk","",IF($E$30&gt;='FORMULA REFS'!B$1,$Y146,"")))</f>
        <v/>
      </c>
      <c r="J268" s="1323"/>
      <c r="K268" s="1286" t="str">
        <f>IF($E$30="Enter Duration (wks)","",IF($Y146="Enter Hrs/Wk","",IF($E$30&gt;='FORMULA REFS'!C$1,$Y146,"")))</f>
        <v/>
      </c>
      <c r="L268" s="882" t="str">
        <f>IF($E$30="Enter Duration (wks)","",IF($Y146="Enter Hrs/Wk","",IF($E$30&gt;='FORMULA REFS'!D$1,$Y146,"")))</f>
        <v/>
      </c>
      <c r="M268" s="882" t="str">
        <f>IF($E$30="Enter Duration (wks)","",IF($Y146="Enter Hrs/Wk","",IF($E$30&gt;='FORMULA REFS'!E$1,$Y146,"")))</f>
        <v/>
      </c>
      <c r="N268" s="882" t="str">
        <f>IF($E$30="Enter Duration (wks)","",IF($Y146="Enter Hrs/Wk","",IF($E$30&gt;='FORMULA REFS'!F$1,$Y146,"")))</f>
        <v/>
      </c>
      <c r="O268" s="882" t="str">
        <f>IF($E$30="Enter Duration (wks)","",IF($Y146="Enter Hrs/Wk","",IF($E$30&gt;='FORMULA REFS'!G$1,$Y146,"")))</f>
        <v/>
      </c>
      <c r="P268" s="882" t="str">
        <f>IF($E$30="Enter Duration (wks)","",IF($Y146="Enter Hrs/Wk","",IF($E$30&gt;='FORMULA REFS'!H$1,$Y146,"")))</f>
        <v/>
      </c>
      <c r="Q268" s="882" t="str">
        <f>IF($E$30="Enter Duration (wks)","",IF($Y146="Enter Hrs/Wk","",IF($E$30&gt;='FORMULA REFS'!I$1,$Y146,"")))</f>
        <v/>
      </c>
      <c r="R268" s="882" t="str">
        <f>IF($E$30="Enter Duration (wks)","",IF($Y146="Enter Hrs/Wk","",IF($E$30&gt;='FORMULA REFS'!J$1,$Y146,"")))</f>
        <v/>
      </c>
      <c r="S268" s="882" t="str">
        <f>IF($E$30="Enter Duration (wks)","",IF($Y146="Enter Hrs/Wk","",IF($E$30&gt;='FORMULA REFS'!K$1,$Y146,"")))</f>
        <v/>
      </c>
      <c r="T268" s="1323" t="str">
        <f>IF($E$30="Enter Duration (wks)","",IF($Y146="Enter Hrs/Wk","",IF($E$30&gt;='FORMULA REFS'!L$1,$Y146,"")))</f>
        <v/>
      </c>
      <c r="U268" s="1342" t="str">
        <f>IF($E$30="Enter Duration (wks)","",IF($Y146="Enter Hrs/Wk","",IF($E$30&gt;='FORMULA REFS'!M$1,$Y146,"")))</f>
        <v/>
      </c>
      <c r="V268" s="1342"/>
      <c r="W268" s="1342"/>
      <c r="X268" s="1595"/>
      <c r="Y268" s="1285" t="str">
        <f>IF($E$30="Enter Duration (wks)","",IF($Y146="Enter Hrs/Wk","",IF($E$30&gt;='FORMULA REFS'!N$1,$Y146,"")))</f>
        <v/>
      </c>
      <c r="Z268" s="1343" t="str">
        <f>IF($E$30="Enter Duration (wks)","",IF($Y146="Enter Hrs/Wk","",IF($E$30&gt;='FORMULA REFS'!O$1,$Y146,"")))</f>
        <v/>
      </c>
      <c r="AA268" s="882" t="str">
        <f>IF($E$30="Enter Duration (wks)","",IF($Y146="Enter Hrs/Wk","",IF($E$30&gt;='FORMULA REFS'!P$1,$Y146,"")))</f>
        <v/>
      </c>
      <c r="AB268" s="882" t="str">
        <f>IF($E$30="Enter Duration (wks)","",IF($Y146="Enter Hrs/Wk","",IF($E$30&gt;='FORMULA REFS'!Q$1,$Y146,"")))</f>
        <v/>
      </c>
      <c r="AC268" s="882"/>
      <c r="AD268" s="882"/>
      <c r="AE268" s="882"/>
      <c r="AF268" s="882"/>
      <c r="AG268" s="1286" t="str">
        <f>IF($E$30="Enter Duration (wks)","",IF($Y146="Enter Hrs/Wk","",IF($E$30&gt;='FORMULA REFS'!R$1,$Y146,"")))</f>
        <v/>
      </c>
      <c r="AH268" s="1286" t="str">
        <f>IF($E$30="Enter Duration (wks)","",IF($Y146="Enter Hrs/Wk","",IF($E$30&gt;='FORMULA REFS'!S$1,$Y146,"")))</f>
        <v/>
      </c>
      <c r="AI268" s="1286" t="str">
        <f>IF($E$30="Enter Duration (wks)","",IF($Y146="Enter Hrs/Wk","",IF($E$30&gt;='FORMULA REFS'!T$1,$Y146,"")))</f>
        <v/>
      </c>
      <c r="AJ268" s="1286" t="str">
        <f>IF($E$30="Enter Duration (wks)","",IF($Y146="Enter Hrs/Wk","",IF($E$30&gt;='FORMULA REFS'!U$1,$Y146,"")))</f>
        <v/>
      </c>
      <c r="AK268" s="1286" t="str">
        <f>IF($E$30="Enter Duration (wks)","",IF($Y146="Enter Hrs/Wk","",IF($E$30&gt;='FORMULA REFS'!V$1,$Y146,"")))</f>
        <v/>
      </c>
      <c r="AL268" s="1286" t="str">
        <f>IF($E$30="Enter Duration (wks)","",IF($Y146="Enter Hrs/Wk","",IF($E$30&gt;='FORMULA REFS'!W$1,$Y146,"")))</f>
        <v/>
      </c>
      <c r="AM268" s="1286" t="str">
        <f>IF($E$30="Enter Duration (wks)","",IF($Y146="Enter Hrs/Wk","",IF($E$30&gt;='FORMULA REFS'!X$1,$Y146,"")))</f>
        <v/>
      </c>
      <c r="AN268" s="1286" t="str">
        <f>IF($E$30="Enter Duration (wks)","",IF($Y146="Enter Hrs/Wk","",IF($E$30&gt;='FORMULA REFS'!Y$1,$Y146,"")))</f>
        <v/>
      </c>
      <c r="AO268" s="1286" t="str">
        <f>IF($E$30="Enter Duration (wks)","",IF($Y146="Enter Hrs/Wk","",IF($E$30&gt;='FORMULA REFS'!Z$1,$Y146,"")))</f>
        <v/>
      </c>
      <c r="AP268" s="1286" t="str">
        <f>IF($E$30="Enter Duration (wks)","",IF($Y146="Enter Hrs/Wk","",IF($E$30&gt;='FORMULA REFS'!AA$1,$Y146,"")))</f>
        <v/>
      </c>
      <c r="AQ268" s="1286" t="str">
        <f>IF($E$30="Enter Duration (wks)","",IF($Y146="Enter Hrs/Wk","",IF($E$30&gt;='FORMULA REFS'!AB$1,$Y146,"")))</f>
        <v/>
      </c>
      <c r="AR268" s="1286" t="str">
        <f>IF($E$30="Enter Duration (wks)","",IF($Y146="Enter Hrs/Wk","",IF($E$30&gt;='FORMULA REFS'!AC$1,$Y146,"")))</f>
        <v/>
      </c>
      <c r="AS268" s="1286" t="str">
        <f>IF($E$30="Enter Duration (wks)","",IF($Y146="Enter Hrs/Wk","",IF($E$30&gt;='FORMULA REFS'!AD$1,$Y146,"")))</f>
        <v/>
      </c>
      <c r="AT268" s="1286" t="str">
        <f>IF($E$30="Enter Duration (wks)","",IF($Y146="Enter Hrs/Wk","",IF($E$30&gt;='FORMULA REFS'!AE$1,$Y146,"")))</f>
        <v/>
      </c>
      <c r="AU268" s="1286" t="str">
        <f>IF($E$30="Enter Duration (wks)","",IF($Y146="Enter Hrs/Wk","",IF($E$30&gt;='FORMULA REFS'!AF$1,$Y146,"")))</f>
        <v/>
      </c>
      <c r="AV268" s="1286" t="str">
        <f>IF($E$30="Enter Duration (wks)","",IF($Y146="Enter Hrs/Wk","",IF($E$30&gt;='FORMULA REFS'!AG$1,$Y146,"")))</f>
        <v/>
      </c>
      <c r="AW268" s="1286" t="str">
        <f>IF($E$30="Enter Duration (wks)","",IF($Y146="Enter Hrs/Wk","",IF($E$30&gt;='FORMULA REFS'!AH$1,$Y146,"")))</f>
        <v/>
      </c>
      <c r="AX268" s="1286" t="str">
        <f>IF($E$30="Enter Duration (wks)","",IF($Y146="Enter Hrs/Wk","",IF($E$30&gt;='FORMULA REFS'!AI$1,$Y146,"")))</f>
        <v/>
      </c>
      <c r="AY268" s="1286" t="str">
        <f>IF($E$30="Enter Duration (wks)","",IF($Y146="Enter Hrs/Wk","",IF($E$30&gt;='FORMULA REFS'!AJ$1,$Y146,"")))</f>
        <v/>
      </c>
      <c r="AZ268" s="1286" t="str">
        <f>IF($E$30="Enter Duration (wks)","",IF($Y146="Enter Hrs/Wk","",IF($E$30&gt;='FORMULA REFS'!AK$1,$Y146,"")))</f>
        <v/>
      </c>
      <c r="BA268" s="1286" t="str">
        <f>IF($E$30="Enter Duration (wks)","",IF($Y146="Enter Hrs/Wk","",IF($E$30&gt;='FORMULA REFS'!AL$1,$Y146,"")))</f>
        <v/>
      </c>
      <c r="BB268" s="1286" t="str">
        <f>IF($E$30="Enter Duration (wks)","",IF($Y146="Enter Hrs/Wk","",IF($E$30&gt;='FORMULA REFS'!AM$1,$Y146,"")))</f>
        <v/>
      </c>
      <c r="BC268" s="1286" t="str">
        <f>IF($E$30="Enter Duration (wks)","",IF($Y146="Enter Hrs/Wk","",IF($E$30&gt;='FORMULA REFS'!AN$1,$Y146,"")))</f>
        <v/>
      </c>
      <c r="BD268" s="1286" t="str">
        <f>IF($E$30="Enter Duration (wks)","",IF($Y146="Enter Hrs/Wk","",IF($E$30&gt;='FORMULA REFS'!AO$1,$Y146,"")))</f>
        <v/>
      </c>
      <c r="BE268" s="1286" t="str">
        <f>IF($E$30="Enter Duration (wks)","",IF($Y146="Enter Hrs/Wk","",IF($E$30&gt;='FORMULA REFS'!AP$1,$Y146,"")))</f>
        <v/>
      </c>
      <c r="BF268" s="1286" t="str">
        <f>IF($E$30="Enter Duration (wks)","",IF($Y146="Enter Hrs/Wk","",IF($E$30&gt;='FORMULA REFS'!AQ$1,$Y146,"")))</f>
        <v/>
      </c>
      <c r="BG268" s="1286" t="str">
        <f>IF($E$30="Enter Duration (wks)","",IF($Y146="Enter Hrs/Wk","",IF($E$30&gt;='FORMULA REFS'!AR$1,$Y146,"")))</f>
        <v/>
      </c>
      <c r="BH268" s="1286" t="str">
        <f>IF($E$30="Enter Duration (wks)","",IF($Y146="Enter Hrs/Wk","",IF($E$30&gt;='FORMULA REFS'!AS$1,$Y146,"")))</f>
        <v/>
      </c>
      <c r="BI268" s="1286" t="str">
        <f>IF($E$30="Enter Duration (wks)","",IF($Y146="Enter Hrs/Wk","",IF($E$30&gt;='FORMULA REFS'!AT$1,$Y146,"")))</f>
        <v/>
      </c>
      <c r="BJ268" s="1286" t="str">
        <f>IF($E$30="Enter Duration (wks)","",IF($Y146="Enter Hrs/Wk","",IF($E$30&gt;='FORMULA REFS'!AU$1,$Y146,"")))</f>
        <v/>
      </c>
      <c r="BK268" s="1286" t="str">
        <f>IF($E$30="Enter Duration (wks)","",IF($Y146="Enter Hrs/Wk","",IF($E$30&gt;='FORMULA REFS'!AV$1,$Y146,"")))</f>
        <v/>
      </c>
      <c r="BL268" s="1286" t="str">
        <f>IF($E$30="Enter Duration (wks)","",IF($Y146="Enter Hrs/Wk","",IF($E$30&gt;='FORMULA REFS'!AW$1,$Y146,"")))</f>
        <v/>
      </c>
      <c r="BM268" s="1286" t="str">
        <f>IF($E$30="Enter Duration (wks)","",IF($Y146="Enter Hrs/Wk","",IF($E$30&gt;='FORMULA REFS'!AX$1,$Y146,"")))</f>
        <v/>
      </c>
      <c r="BN268" s="1286" t="str">
        <f>IF($E$30="Enter Duration (wks)","",IF($Y146="Enter Hrs/Wk","",IF($E$30&gt;='FORMULA REFS'!AY$1,$Y146,"")))</f>
        <v/>
      </c>
      <c r="BO268" s="1286" t="str">
        <f>IF($E$30="Enter Duration (wks)","",IF($Y146="Enter Hrs/Wk","",IF($E$30&gt;='FORMULA REFS'!AZ$1,$Y146,"")))</f>
        <v/>
      </c>
    </row>
    <row r="269" spans="2:67" hidden="1" outlineLevel="1" x14ac:dyDescent="0.25">
      <c r="C269" s="1292" t="str">
        <f t="shared" si="85"/>
        <v/>
      </c>
      <c r="D269" s="1320" t="str">
        <f t="shared" si="84"/>
        <v/>
      </c>
      <c r="E269" s="1330"/>
      <c r="F269" s="1461" t="str">
        <f>IF($E$30="Enter Duration (wks)","",IF($Y147="Enter Hrs/Wk","",IF($E$30&gt;='FORMULA REFS'!A$1,$Y147,"")))</f>
        <v/>
      </c>
      <c r="G269" s="1461"/>
      <c r="H269" s="1572"/>
      <c r="I269" s="1344" t="str">
        <f>IF($E$30="Enter Duration (wks)","",IF($Y147="Enter Hrs/Wk","",IF($E$30&gt;='FORMULA REFS'!B$1,$Y147,"")))</f>
        <v/>
      </c>
      <c r="J269" s="1334"/>
      <c r="K269" s="1462" t="str">
        <f>IF($E$30="Enter Duration (wks)","",IF($Y147="Enter Hrs/Wk","",IF($E$30&gt;='FORMULA REFS'!C$1,$Y147,"")))</f>
        <v/>
      </c>
      <c r="L269" s="898" t="str">
        <f>IF($E$30="Enter Duration (wks)","",IF($Y147="Enter Hrs/Wk","",IF($E$30&gt;='FORMULA REFS'!D$1,$Y147,"")))</f>
        <v/>
      </c>
      <c r="M269" s="898" t="str">
        <f>IF($E$30="Enter Duration (wks)","",IF($Y147="Enter Hrs/Wk","",IF($E$30&gt;='FORMULA REFS'!E$1,$Y147,"")))</f>
        <v/>
      </c>
      <c r="N269" s="898" t="str">
        <f>IF($E$30="Enter Duration (wks)","",IF($Y147="Enter Hrs/Wk","",IF($E$30&gt;='FORMULA REFS'!F$1,$Y147,"")))</f>
        <v/>
      </c>
      <c r="O269" s="898" t="str">
        <f>IF($E$30="Enter Duration (wks)","",IF($Y147="Enter Hrs/Wk","",IF($E$30&gt;='FORMULA REFS'!G$1,$Y147,"")))</f>
        <v/>
      </c>
      <c r="P269" s="898" t="str">
        <f>IF($E$30="Enter Duration (wks)","",IF($Y147="Enter Hrs/Wk","",IF($E$30&gt;='FORMULA REFS'!H$1,$Y147,"")))</f>
        <v/>
      </c>
      <c r="Q269" s="898" t="str">
        <f>IF($E$30="Enter Duration (wks)","",IF($Y147="Enter Hrs/Wk","",IF($E$30&gt;='FORMULA REFS'!I$1,$Y147,"")))</f>
        <v/>
      </c>
      <c r="R269" s="898" t="str">
        <f>IF($E$30="Enter Duration (wks)","",IF($Y147="Enter Hrs/Wk","",IF($E$30&gt;='FORMULA REFS'!J$1,$Y147,"")))</f>
        <v/>
      </c>
      <c r="S269" s="898" t="str">
        <f>IF($E$30="Enter Duration (wks)","",IF($Y147="Enter Hrs/Wk","",IF($E$30&gt;='FORMULA REFS'!K$1,$Y147,"")))</f>
        <v/>
      </c>
      <c r="T269" s="1334" t="str">
        <f>IF($E$30="Enter Duration (wks)","",IF($Y147="Enter Hrs/Wk","",IF($E$30&gt;='FORMULA REFS'!L$1,$Y147,"")))</f>
        <v/>
      </c>
      <c r="U269" s="898" t="str">
        <f>IF($E$30="Enter Duration (wks)","",IF($Y147="Enter Hrs/Wk","",IF($E$30&gt;='FORMULA REFS'!M$1,$Y147,"")))</f>
        <v/>
      </c>
      <c r="V269" s="898"/>
      <c r="W269" s="898"/>
      <c r="X269" s="1341"/>
      <c r="Y269" s="1341" t="str">
        <f>IF($E$30="Enter Duration (wks)","",IF($Y147="Enter Hrs/Wk","",IF($E$30&gt;='FORMULA REFS'!N$1,$Y147,"")))</f>
        <v/>
      </c>
      <c r="Z269" s="1344" t="str">
        <f>IF($E$30="Enter Duration (wks)","",IF($Y147="Enter Hrs/Wk","",IF($E$30&gt;='FORMULA REFS'!O$1,$Y147,"")))</f>
        <v/>
      </c>
      <c r="AA269" s="898" t="str">
        <f>IF($E$30="Enter Duration (wks)","",IF($Y147="Enter Hrs/Wk","",IF($E$30&gt;='FORMULA REFS'!P$1,$Y147,"")))</f>
        <v/>
      </c>
      <c r="AB269" s="898" t="str">
        <f>IF($E$30="Enter Duration (wks)","",IF($Y147="Enter Hrs/Wk","",IF($E$30&gt;='FORMULA REFS'!Q$1,$Y147,"")))</f>
        <v/>
      </c>
      <c r="AC269" s="898"/>
      <c r="AD269" s="898"/>
      <c r="AE269" s="898"/>
      <c r="AF269" s="898"/>
      <c r="AG269" s="1286" t="str">
        <f>IF($E$30="Enter Duration (wks)","",IF($Y147="Enter Hrs/Wk","",IF($E$30&gt;='FORMULA REFS'!R$1,$Y147,"")))</f>
        <v/>
      </c>
      <c r="AH269" s="1286" t="str">
        <f>IF($E$30="Enter Duration (wks)","",IF($Y147="Enter Hrs/Wk","",IF($E$30&gt;='FORMULA REFS'!S$1,$Y147,"")))</f>
        <v/>
      </c>
      <c r="AI269" s="1286" t="str">
        <f>IF($E$30="Enter Duration (wks)","",IF($Y147="Enter Hrs/Wk","",IF($E$30&gt;='FORMULA REFS'!T$1,$Y147,"")))</f>
        <v/>
      </c>
      <c r="AJ269" s="1286" t="str">
        <f>IF($E$30="Enter Duration (wks)","",IF($Y147="Enter Hrs/Wk","",IF($E$30&gt;='FORMULA REFS'!U$1,$Y147,"")))</f>
        <v/>
      </c>
      <c r="AK269" s="1286" t="str">
        <f>IF($E$30="Enter Duration (wks)","",IF($Y147="Enter Hrs/Wk","",IF($E$30&gt;='FORMULA REFS'!V$1,$Y147,"")))</f>
        <v/>
      </c>
      <c r="AL269" s="1286" t="str">
        <f>IF($E$30="Enter Duration (wks)","",IF($Y147="Enter Hrs/Wk","",IF($E$30&gt;='FORMULA REFS'!W$1,$Y147,"")))</f>
        <v/>
      </c>
      <c r="AM269" s="1286" t="str">
        <f>IF($E$30="Enter Duration (wks)","",IF($Y147="Enter Hrs/Wk","",IF($E$30&gt;='FORMULA REFS'!X$1,$Y147,"")))</f>
        <v/>
      </c>
      <c r="AN269" s="1286" t="str">
        <f>IF($E$30="Enter Duration (wks)","",IF($Y147="Enter Hrs/Wk","",IF($E$30&gt;='FORMULA REFS'!Y$1,$Y147,"")))</f>
        <v/>
      </c>
      <c r="AO269" s="1286" t="str">
        <f>IF($E$30="Enter Duration (wks)","",IF($Y147="Enter Hrs/Wk","",IF($E$30&gt;='FORMULA REFS'!Z$1,$Y147,"")))</f>
        <v/>
      </c>
      <c r="AP269" s="1286" t="str">
        <f>IF($E$30="Enter Duration (wks)","",IF($Y147="Enter Hrs/Wk","",IF($E$30&gt;='FORMULA REFS'!AA$1,$Y147,"")))</f>
        <v/>
      </c>
      <c r="AQ269" s="1286" t="str">
        <f>IF($E$30="Enter Duration (wks)","",IF($Y147="Enter Hrs/Wk","",IF($E$30&gt;='FORMULA REFS'!AB$1,$Y147,"")))</f>
        <v/>
      </c>
      <c r="AR269" s="1286" t="str">
        <f>IF($E$30="Enter Duration (wks)","",IF($Y147="Enter Hrs/Wk","",IF($E$30&gt;='FORMULA REFS'!AC$1,$Y147,"")))</f>
        <v/>
      </c>
      <c r="AS269" s="1286" t="str">
        <f>IF($E$30="Enter Duration (wks)","",IF($Y147="Enter Hrs/Wk","",IF($E$30&gt;='FORMULA REFS'!AD$1,$Y147,"")))</f>
        <v/>
      </c>
      <c r="AT269" s="1286" t="str">
        <f>IF($E$30="Enter Duration (wks)","",IF($Y147="Enter Hrs/Wk","",IF($E$30&gt;='FORMULA REFS'!AE$1,$Y147,"")))</f>
        <v/>
      </c>
      <c r="AU269" s="1286" t="str">
        <f>IF($E$30="Enter Duration (wks)","",IF($Y147="Enter Hrs/Wk","",IF($E$30&gt;='FORMULA REFS'!AF$1,$Y147,"")))</f>
        <v/>
      </c>
      <c r="AV269" s="1286" t="str">
        <f>IF($E$30="Enter Duration (wks)","",IF($Y147="Enter Hrs/Wk","",IF($E$30&gt;='FORMULA REFS'!AG$1,$Y147,"")))</f>
        <v/>
      </c>
      <c r="AW269" s="1286" t="str">
        <f>IF($E$30="Enter Duration (wks)","",IF($Y147="Enter Hrs/Wk","",IF($E$30&gt;='FORMULA REFS'!AH$1,$Y147,"")))</f>
        <v/>
      </c>
      <c r="AX269" s="1286" t="str">
        <f>IF($E$30="Enter Duration (wks)","",IF($Y147="Enter Hrs/Wk","",IF($E$30&gt;='FORMULA REFS'!AI$1,$Y147,"")))</f>
        <v/>
      </c>
      <c r="AY269" s="1286" t="str">
        <f>IF($E$30="Enter Duration (wks)","",IF($Y147="Enter Hrs/Wk","",IF($E$30&gt;='FORMULA REFS'!AJ$1,$Y147,"")))</f>
        <v/>
      </c>
      <c r="AZ269" s="1286" t="str">
        <f>IF($E$30="Enter Duration (wks)","",IF($Y147="Enter Hrs/Wk","",IF($E$30&gt;='FORMULA REFS'!AK$1,$Y147,"")))</f>
        <v/>
      </c>
      <c r="BA269" s="1286" t="str">
        <f>IF($E$30="Enter Duration (wks)","",IF($Y147="Enter Hrs/Wk","",IF($E$30&gt;='FORMULA REFS'!AL$1,$Y147,"")))</f>
        <v/>
      </c>
      <c r="BB269" s="1286" t="str">
        <f>IF($E$30="Enter Duration (wks)","",IF($Y147="Enter Hrs/Wk","",IF($E$30&gt;='FORMULA REFS'!AM$1,$Y147,"")))</f>
        <v/>
      </c>
      <c r="BC269" s="1286" t="str">
        <f>IF($E$30="Enter Duration (wks)","",IF($Y147="Enter Hrs/Wk","",IF($E$30&gt;='FORMULA REFS'!AN$1,$Y147,"")))</f>
        <v/>
      </c>
      <c r="BD269" s="1286" t="str">
        <f>IF($E$30="Enter Duration (wks)","",IF($Y147="Enter Hrs/Wk","",IF($E$30&gt;='FORMULA REFS'!AO$1,$Y147,"")))</f>
        <v/>
      </c>
      <c r="BE269" s="1286" t="str">
        <f>IF($E$30="Enter Duration (wks)","",IF($Y147="Enter Hrs/Wk","",IF($E$30&gt;='FORMULA REFS'!AP$1,$Y147,"")))</f>
        <v/>
      </c>
      <c r="BF269" s="1286" t="str">
        <f>IF($E$30="Enter Duration (wks)","",IF($Y147="Enter Hrs/Wk","",IF($E$30&gt;='FORMULA REFS'!AQ$1,$Y147,"")))</f>
        <v/>
      </c>
      <c r="BG269" s="1286" t="str">
        <f>IF($E$30="Enter Duration (wks)","",IF($Y147="Enter Hrs/Wk","",IF($E$30&gt;='FORMULA REFS'!AR$1,$Y147,"")))</f>
        <v/>
      </c>
      <c r="BH269" s="1286" t="str">
        <f>IF($E$30="Enter Duration (wks)","",IF($Y147="Enter Hrs/Wk","",IF($E$30&gt;='FORMULA REFS'!AS$1,$Y147,"")))</f>
        <v/>
      </c>
      <c r="BI269" s="1286" t="str">
        <f>IF($E$30="Enter Duration (wks)","",IF($Y147="Enter Hrs/Wk","",IF($E$30&gt;='FORMULA REFS'!AT$1,$Y147,"")))</f>
        <v/>
      </c>
      <c r="BJ269" s="1286" t="str">
        <f>IF($E$30="Enter Duration (wks)","",IF($Y147="Enter Hrs/Wk","",IF($E$30&gt;='FORMULA REFS'!AU$1,$Y147,"")))</f>
        <v/>
      </c>
      <c r="BK269" s="1286" t="str">
        <f>IF($E$30="Enter Duration (wks)","",IF($Y147="Enter Hrs/Wk","",IF($E$30&gt;='FORMULA REFS'!AV$1,$Y147,"")))</f>
        <v/>
      </c>
      <c r="BL269" s="1286" t="str">
        <f>IF($E$30="Enter Duration (wks)","",IF($Y147="Enter Hrs/Wk","",IF($E$30&gt;='FORMULA REFS'!AW$1,$Y147,"")))</f>
        <v/>
      </c>
      <c r="BM269" s="1286" t="str">
        <f>IF($E$30="Enter Duration (wks)","",IF($Y147="Enter Hrs/Wk","",IF($E$30&gt;='FORMULA REFS'!AX$1,$Y147,"")))</f>
        <v/>
      </c>
      <c r="BN269" s="1286" t="str">
        <f>IF($E$30="Enter Duration (wks)","",IF($Y147="Enter Hrs/Wk","",IF($E$30&gt;='FORMULA REFS'!AY$1,$Y147,"")))</f>
        <v/>
      </c>
      <c r="BO269" s="1286" t="str">
        <f>IF($E$30="Enter Duration (wks)","",IF($Y147="Enter Hrs/Wk","",IF($E$30&gt;='FORMULA REFS'!AZ$1,$Y147,"")))</f>
        <v/>
      </c>
    </row>
    <row r="270" spans="2:67" collapsed="1" x14ac:dyDescent="0.25">
      <c r="B270" s="395" t="s">
        <v>2235</v>
      </c>
      <c r="C270" s="522" t="s">
        <v>2238</v>
      </c>
      <c r="E270" s="425"/>
      <c r="F270" s="437"/>
      <c r="G270" s="425"/>
      <c r="H270" s="425"/>
      <c r="I270" s="437"/>
      <c r="J270" s="425"/>
      <c r="K270" s="437"/>
      <c r="L270" s="425"/>
      <c r="M270" s="425"/>
      <c r="N270" s="425"/>
      <c r="O270" s="425"/>
      <c r="P270" s="425"/>
      <c r="Q270" s="425"/>
      <c r="R270" s="425"/>
      <c r="S270" s="425"/>
      <c r="T270" s="425"/>
      <c r="U270" s="425"/>
      <c r="V270" s="425"/>
      <c r="W270" s="425"/>
      <c r="X270" s="425"/>
      <c r="Y270" s="425"/>
      <c r="Z270" s="425"/>
      <c r="AA270" s="425"/>
      <c r="AB270" s="425"/>
      <c r="AC270" s="425"/>
      <c r="AH270" s="425"/>
      <c r="AI270" s="425"/>
      <c r="AJ270" s="425"/>
      <c r="AK270" s="425"/>
      <c r="AL270" s="425"/>
      <c r="AM270" s="425"/>
      <c r="AN270" s="425"/>
      <c r="AO270" s="425"/>
      <c r="AP270" s="425"/>
      <c r="AQ270" s="425"/>
      <c r="AR270" s="425"/>
      <c r="AS270" s="425"/>
      <c r="AT270" s="425"/>
      <c r="AU270" s="425"/>
      <c r="AV270" s="425"/>
      <c r="AW270" s="425"/>
      <c r="AX270" s="425"/>
      <c r="AY270" s="425"/>
      <c r="AZ270" s="425"/>
      <c r="BA270" s="425"/>
      <c r="BB270" s="425"/>
      <c r="BC270" s="425"/>
    </row>
    <row r="271" spans="2:67" x14ac:dyDescent="0.25">
      <c r="D271" s="525"/>
      <c r="E271" s="425"/>
      <c r="F271" s="425"/>
      <c r="G271" s="425"/>
      <c r="H271" s="425"/>
      <c r="I271" s="425"/>
      <c r="J271" s="425"/>
      <c r="K271" s="425"/>
      <c r="L271" s="425"/>
      <c r="M271" s="425"/>
      <c r="N271" s="425"/>
      <c r="O271" s="425"/>
      <c r="P271" s="425"/>
      <c r="Q271" s="425"/>
      <c r="R271" s="425"/>
      <c r="S271" s="425"/>
      <c r="T271" s="425"/>
      <c r="U271" s="425"/>
      <c r="V271" s="425"/>
      <c r="W271" s="425"/>
      <c r="X271" s="425"/>
      <c r="Y271" s="425"/>
      <c r="Z271" s="425"/>
      <c r="AA271" s="425"/>
      <c r="AB271" s="425"/>
      <c r="AC271" s="425"/>
      <c r="AH271" s="425"/>
      <c r="AI271" s="425"/>
      <c r="AJ271" s="425"/>
      <c r="AK271" s="425"/>
      <c r="AL271" s="425"/>
      <c r="AM271" s="425"/>
      <c r="AN271" s="425"/>
      <c r="AO271" s="425"/>
      <c r="AP271" s="425"/>
      <c r="AQ271" s="425"/>
      <c r="AR271" s="425"/>
      <c r="AS271" s="425"/>
      <c r="AT271" s="425"/>
      <c r="AU271" s="425"/>
      <c r="AV271" s="425"/>
      <c r="AW271" s="425"/>
      <c r="AX271" s="425"/>
      <c r="AY271" s="425"/>
      <c r="AZ271" s="425"/>
      <c r="BA271" s="425"/>
      <c r="BB271" s="425"/>
      <c r="BC271" s="425"/>
    </row>
    <row r="272" spans="2:67" ht="37.950000000000003" customHeight="1" x14ac:dyDescent="0.25">
      <c r="C272" s="1727" t="s">
        <v>3172</v>
      </c>
      <c r="D272" s="1728"/>
      <c r="E272" s="711" t="str">
        <f>IF(E169=0," ",(SUM($D$169:E169))/$M$289)</f>
        <v xml:space="preserve"> </v>
      </c>
      <c r="F272" s="1569">
        <f>IF(F169=0," ",(SUM($D$169:F169))/$M$289)</f>
        <v>2.9106628242074929E-2</v>
      </c>
      <c r="G272" s="1569" t="str">
        <f>IF(G169=0," ",(SUM($D$169:G169))/$M$289)</f>
        <v xml:space="preserve"> </v>
      </c>
      <c r="H272" s="1569"/>
      <c r="I272" s="1569">
        <f>IF(I169=0," ",(SUM($D$169:I169))/$M$289)</f>
        <v>5.8213256484149857E-2</v>
      </c>
      <c r="J272" s="1569" t="str">
        <f>IF(J169=0," ",(SUM($D$169:J169))/$M$289)</f>
        <v xml:space="preserve"> </v>
      </c>
      <c r="K272" s="1569">
        <f>IF(K169=0," ",(SUM($D$169:K169))/$M$289)</f>
        <v>8.7319884726224789E-2</v>
      </c>
      <c r="L272" s="1569">
        <f>IF(L169=0," ",(SUM($D$169:L169))/$M$289)</f>
        <v>0.11642651296829971</v>
      </c>
      <c r="M272" s="1569">
        <f>IF(M169=0," ",(SUM($D$169:M169))/$M$289)</f>
        <v>0.15129682997118155</v>
      </c>
      <c r="N272" s="1569">
        <f>IF(N169=0," ",(SUM($D$169:N169))/$M$289)</f>
        <v>0.18616714697406339</v>
      </c>
      <c r="O272" s="1569">
        <f>IF(O169=0," ",(SUM($D$169:O169))/$M$289)</f>
        <v>0.22103746397694524</v>
      </c>
      <c r="P272" s="1569">
        <f>IF(P169=0," ",(SUM($D$169:P169))/$M$289)</f>
        <v>0.25590778097982708</v>
      </c>
      <c r="Q272" s="1569">
        <f>IF(Q169=0," ",(SUM($D$169:Q169))/$M$289)</f>
        <v>0.29077809798270893</v>
      </c>
      <c r="R272" s="1569">
        <f>IF(R169=0," ",(SUM($D$169:R169))/$M$289)</f>
        <v>0.32564841498559077</v>
      </c>
      <c r="S272" s="1569">
        <f>IF(S169=0," ",(SUM($D$169:S169))/$M$289)</f>
        <v>0.36051873198847262</v>
      </c>
      <c r="T272" s="1569">
        <f>IF(T169=0," ",(SUM($D$169:T169))/$M$289)</f>
        <v>0.39538904899135446</v>
      </c>
      <c r="U272" s="1569">
        <f>IF(U169=0," ",(SUM($D$169:U169))/$M$289)</f>
        <v>0.43025936599423631</v>
      </c>
      <c r="V272" s="1569" t="str">
        <f>IF(V169=0," ",(SUM($D$169:V169))/$M$289)</f>
        <v xml:space="preserve"> </v>
      </c>
      <c r="W272" s="1569" t="str">
        <f>IF(W169=0," ",(SUM($D$169:W169))/$M$289)</f>
        <v xml:space="preserve"> </v>
      </c>
      <c r="X272" s="1569"/>
      <c r="Y272" s="1569">
        <f>IF(Y169=0," ",(SUM($D$169:Y169))/$M$289)</f>
        <v>0.45936599423631125</v>
      </c>
      <c r="Z272" s="1569">
        <f>IF(Z169=0," ",(SUM($D$169:Z169))/$M$289)</f>
        <v>0.48847262247838619</v>
      </c>
      <c r="AA272" s="711">
        <f>IF(AA169=0," ",(SUM($D$169:AA169))/$M$289)</f>
        <v>0.51757925072046107</v>
      </c>
      <c r="AB272" s="711">
        <f>IF(AB169=0," ",(SUM($D$169:AB169))/$M$289)</f>
        <v>0.54668587896253606</v>
      </c>
      <c r="AC272" s="711" t="str">
        <f>IF(AC169=0," ",(SUM($D$169:AC169))/$M$289)</f>
        <v xml:space="preserve"> </v>
      </c>
      <c r="AD272" s="711" t="str">
        <f>IF(AD169=0," ",(SUM($D$169:AD169))/$M$289)</f>
        <v xml:space="preserve"> </v>
      </c>
      <c r="AE272" s="711" t="str">
        <f>IF(AE169=0," ",(SUM($D$169:AE169))/$M$289)</f>
        <v xml:space="preserve"> </v>
      </c>
      <c r="AF272" s="711" t="str">
        <f>IF(AF169=0," ",(SUM($D$169:AF169))/$M$289)</f>
        <v xml:space="preserve"> </v>
      </c>
      <c r="AG272" s="711">
        <f>IF(AG169=0," ",(SUM($D$169:AG169))/$M$289)</f>
        <v>0.58155619596541785</v>
      </c>
      <c r="AH272" s="711">
        <f>IF(AH169=0," ",(SUM($D$169:AH169))/$M$289)</f>
        <v>0.61642651296829976</v>
      </c>
      <c r="AI272" s="711">
        <f>IF(AI169=0," ",(SUM($D$169:AI169))/$M$289)</f>
        <v>0.65129682997118155</v>
      </c>
      <c r="AJ272" s="711">
        <f>IF(AJ169=0," ",(SUM($D$169:AJ169))/$M$289)</f>
        <v>0.68616714697406345</v>
      </c>
      <c r="AK272" s="711">
        <f>IF(AK169=0," ",(SUM($D$169:AK169))/$M$289)</f>
        <v>0.72103746397694524</v>
      </c>
      <c r="AL272" s="711">
        <f>IF(AL169=0," ",(SUM($D$169:AL169))/$M$289)</f>
        <v>0.75590778097982714</v>
      </c>
      <c r="AM272" s="711">
        <f>IF(AM169=0," ",(SUM($D$169:AM169))/$M$289)</f>
        <v>0.79077809798270893</v>
      </c>
      <c r="AN272" s="711">
        <f>IF(AN169=0," ",(SUM($D$169:AN169))/$M$289)</f>
        <v>0.82564841498559083</v>
      </c>
      <c r="AO272" s="711">
        <f>IF(AO169=0," ",(SUM($D$169:AO169))/$M$289)</f>
        <v>0.86051873198847262</v>
      </c>
      <c r="AP272" s="711">
        <f>IF(AP169=0," ",(SUM($D$169:AP169))/$M$289)</f>
        <v>0.89538904899135452</v>
      </c>
      <c r="AQ272" s="711">
        <f>IF(AQ169=0," ",(SUM($D$169:AQ169))/$M$289)</f>
        <v>0.93025936599423631</v>
      </c>
      <c r="AR272" s="711">
        <f>IF(AR169=0," ",(SUM($D$169:AR169))/$M$289)</f>
        <v>0.96512968299711821</v>
      </c>
      <c r="AS272" s="711">
        <f>IF(AS169=0," ",(SUM($D$169:AS169))/$M$289)</f>
        <v>1</v>
      </c>
      <c r="AT272" s="711" t="str">
        <f>IF(AT169=0," ",(SUM($D$169:AT169))/$M$289)</f>
        <v xml:space="preserve"> </v>
      </c>
      <c r="AU272" s="711" t="str">
        <f>IF(AU169=0," ",(SUM($D$169:AU169))/$M$289)</f>
        <v xml:space="preserve"> </v>
      </c>
      <c r="AV272" s="711" t="str">
        <f>IF(AV169=0," ",(SUM($D$169:AV169))/$M$289)</f>
        <v xml:space="preserve"> </v>
      </c>
      <c r="AW272" s="711" t="str">
        <f>IF(AW169=0," ",(SUM($D$169:AW169))/$M$289)</f>
        <v xml:space="preserve"> </v>
      </c>
      <c r="AX272" s="711" t="str">
        <f>IF(AX169=0," ",(SUM($D$169:AX169))/$M$289)</f>
        <v xml:space="preserve"> </v>
      </c>
      <c r="AY272" s="711" t="str">
        <f>IF(AY169=0," ",(SUM($D$169:AY169))/$M$289)</f>
        <v xml:space="preserve"> </v>
      </c>
      <c r="AZ272" s="711" t="str">
        <f>IF(AZ169=0," ",(SUM($D$169:AZ169))/$M$289)</f>
        <v xml:space="preserve"> </v>
      </c>
      <c r="BA272" s="711" t="str">
        <f>IF(BA169=0," ",(SUM($D$169:BA169))/$M$289)</f>
        <v xml:space="preserve"> </v>
      </c>
      <c r="BB272" s="711" t="str">
        <f>IF(BB169=0," ",(SUM($D$169:BB169))/$M$289)</f>
        <v xml:space="preserve"> </v>
      </c>
      <c r="BC272" s="711" t="str">
        <f>IF(BC169=0," ",(SUM($D$169:BC169))/$M$289)</f>
        <v xml:space="preserve"> </v>
      </c>
      <c r="BD272" s="711" t="str">
        <f>IF(BD169=0," ",(SUM($D$169:BD169))/$M$289)</f>
        <v xml:space="preserve"> </v>
      </c>
      <c r="BE272" s="711" t="str">
        <f>IF(BE169=0," ",(SUM($D$169:BE169))/$M$289)</f>
        <v xml:space="preserve"> </v>
      </c>
      <c r="BF272" s="711" t="str">
        <f>IF(BF169=0," ",(SUM($D$169:BF169))/$M$289)</f>
        <v xml:space="preserve"> </v>
      </c>
      <c r="BG272" s="711" t="str">
        <f>IF(BG169=0," ",(SUM($D$169:BG169))/$M$289)</f>
        <v xml:space="preserve"> </v>
      </c>
      <c r="BH272" s="711" t="str">
        <f>IF(BH169=0," ",(SUM($D$169:BH169))/$M$289)</f>
        <v xml:space="preserve"> </v>
      </c>
      <c r="BI272" s="711" t="str">
        <f>IF(BI169=0," ",(SUM($D$169:BI169))/$M$289)</f>
        <v xml:space="preserve"> </v>
      </c>
      <c r="BJ272" s="711" t="str">
        <f>IF(BJ169=0," ",(SUM($D$169:BJ169))/$M$289)</f>
        <v xml:space="preserve"> </v>
      </c>
      <c r="BK272" s="711" t="str">
        <f>IF(BK169=0," ",(SUM($D$169:BK169))/$M$289)</f>
        <v xml:space="preserve"> </v>
      </c>
      <c r="BL272" s="711" t="str">
        <f>IF(BL169=0," ",(SUM($D$169:BL169))/$M$289)</f>
        <v xml:space="preserve"> </v>
      </c>
      <c r="BM272" s="711" t="str">
        <f>IF(BM169=0," ",(SUM($D$169:BM169))/$M$289)</f>
        <v xml:space="preserve"> </v>
      </c>
      <c r="BN272" s="711" t="str">
        <f>IF(BN169=0," ",(SUM($D$169:BN169))/$M$289)</f>
        <v xml:space="preserve"> </v>
      </c>
    </row>
    <row r="273" spans="1:66" hidden="1" x14ac:dyDescent="0.25">
      <c r="E273" s="398"/>
      <c r="F273" s="398"/>
      <c r="G273" s="398"/>
      <c r="H273" s="398"/>
      <c r="I273" s="398"/>
      <c r="J273" s="398"/>
      <c r="K273" s="398"/>
      <c r="L273" s="398"/>
      <c r="M273" s="398"/>
      <c r="N273" s="398"/>
      <c r="O273" s="398"/>
      <c r="P273" s="398"/>
      <c r="Q273" s="398"/>
      <c r="R273" s="398"/>
      <c r="S273" s="398"/>
      <c r="T273" s="398"/>
      <c r="U273" s="398"/>
      <c r="V273" s="398"/>
      <c r="W273" s="398"/>
      <c r="X273" s="398"/>
      <c r="Y273" s="398"/>
      <c r="Z273" s="398"/>
      <c r="AA273" s="398"/>
      <c r="AB273" s="398"/>
      <c r="AC273" s="398"/>
      <c r="AH273" s="398"/>
      <c r="AI273" s="398"/>
      <c r="AJ273" s="398"/>
      <c r="AK273" s="398"/>
      <c r="AL273" s="398"/>
      <c r="AM273" s="398"/>
      <c r="AN273" s="398"/>
      <c r="AO273" s="398"/>
      <c r="AP273" s="398"/>
      <c r="AQ273" s="398"/>
      <c r="AR273" s="398"/>
      <c r="AS273" s="398"/>
      <c r="AT273" s="398"/>
      <c r="AU273" s="398"/>
      <c r="AV273" s="398"/>
      <c r="AW273" s="398"/>
      <c r="AX273" s="398"/>
      <c r="AY273" s="398"/>
      <c r="AZ273" s="398"/>
      <c r="BA273" s="398"/>
      <c r="BB273" s="398"/>
      <c r="BC273" s="398"/>
      <c r="BD273" s="398"/>
      <c r="BE273" s="398"/>
      <c r="BF273" s="398"/>
      <c r="BG273" s="398"/>
      <c r="BH273" s="398"/>
      <c r="BI273" s="398"/>
      <c r="BJ273" s="398"/>
      <c r="BK273" s="398"/>
      <c r="BL273" s="398"/>
      <c r="BM273" s="398"/>
      <c r="BN273" s="398"/>
    </row>
    <row r="274" spans="1:66" hidden="1" x14ac:dyDescent="0.25">
      <c r="D274" s="720" t="s">
        <v>179</v>
      </c>
      <c r="E274" s="902"/>
      <c r="F274" s="902"/>
      <c r="G274" s="902"/>
      <c r="H274" s="902"/>
      <c r="I274" s="902"/>
      <c r="J274" s="902"/>
      <c r="K274" s="902"/>
      <c r="L274" s="902"/>
      <c r="M274" s="902"/>
      <c r="N274" s="902"/>
      <c r="O274" s="902"/>
      <c r="P274" s="902"/>
      <c r="Q274" s="902"/>
      <c r="R274" s="902"/>
      <c r="S274" s="902"/>
      <c r="T274" s="902"/>
      <c r="U274" s="902"/>
      <c r="V274" s="902"/>
      <c r="W274" s="902"/>
      <c r="X274" s="902"/>
      <c r="Y274" s="902"/>
      <c r="Z274" s="902"/>
      <c r="AA274" s="902"/>
      <c r="AB274" s="902"/>
      <c r="AC274" s="902"/>
      <c r="AH274" s="902"/>
      <c r="AI274" s="902"/>
      <c r="AJ274" s="902"/>
      <c r="AK274" s="902"/>
      <c r="AL274" s="902"/>
      <c r="AM274" s="902"/>
      <c r="AN274" s="902"/>
      <c r="AO274" s="902"/>
      <c r="AP274" s="902"/>
      <c r="AQ274" s="902"/>
      <c r="AR274" s="902"/>
      <c r="AS274" s="902"/>
      <c r="AT274" s="902"/>
      <c r="AU274" s="902"/>
      <c r="AV274" s="902"/>
      <c r="AW274" s="902"/>
      <c r="AX274" s="902"/>
      <c r="AY274" s="902"/>
      <c r="AZ274" s="902"/>
      <c r="BA274" s="902"/>
      <c r="BB274" s="902"/>
      <c r="BC274" s="902"/>
      <c r="BD274" s="902"/>
      <c r="BE274" s="902"/>
      <c r="BF274" s="902"/>
      <c r="BG274" s="902"/>
      <c r="BH274" s="902"/>
      <c r="BI274" s="902"/>
      <c r="BJ274" s="902"/>
      <c r="BK274" s="902"/>
      <c r="BL274" s="902"/>
      <c r="BM274" s="902"/>
      <c r="BN274" s="902"/>
    </row>
    <row r="275" spans="1:66" hidden="1" x14ac:dyDescent="0.25">
      <c r="D275" s="903" t="s">
        <v>180</v>
      </c>
      <c r="E275" s="713" t="str">
        <f>IF($D$30="T&amp;M",IF($D$26="Select Margin Class"," ",IF($D$26="Standard Rates",SUMPRODUCT(E170:E269,$F291:$F390),IF($D$26="Client Custom Rates",SUMPRODUCT(E170:E269,$I291:$I390),IF($D$26="Investment",SUMPRODUCT(E170:E269,#REF!)))))," ")</f>
        <v xml:space="preserve"> </v>
      </c>
      <c r="F275" s="713"/>
      <c r="G275" s="713" t="str">
        <f>IF($D$30="T&amp;M",IF($D$26="Select Margin Class"," ",IF($D$26="Standard Rates",SUMPRODUCT(G170:G269,$F291:$F390),IF($D$26="Client Custom Rates",SUMPRODUCT(G170:G269,$I291:$I390),IF($D$26="Investment",SUMPRODUCT(G170:G269,#REF!)))))," ")</f>
        <v xml:space="preserve"> </v>
      </c>
      <c r="H275" s="713"/>
      <c r="I275" s="713"/>
      <c r="J275" s="713" t="str">
        <f>IF($D$30="T&amp;M",IF($D$26="Select Margin Class"," ",IF($D$26="Standard Rates",SUMPRODUCT(J170:J269,$F291:$F390),IF($D$26="Client Custom Rates",SUMPRODUCT(J170:J269,$I291:$I390),IF($D$26="Investment",SUMPRODUCT(J170:J269,#REF!)))))," ")</f>
        <v xml:space="preserve"> </v>
      </c>
      <c r="K275" s="713" t="str">
        <f>IF($D$30="T&amp;M",IF($D$26="Select Margin Class"," ",IF($D$26="Standard Rates",SUMPRODUCT(L170:L269,$F291:$F390),IF($D$26="Client Custom Rates",SUMPRODUCT(L170:L269,$I291:$I390),IF($D$26="Investment",SUMPRODUCT(L170:L269,#REF!)))))," ")</f>
        <v xml:space="preserve"> </v>
      </c>
      <c r="L275" s="713" t="str">
        <f>IF($D$30="T&amp;M",IF($D$26="Select Margin Class"," ",IF($D$26="Standard Rates",SUMPRODUCT(L170:L269,$F291:$F390),IF($D$26="Client Custom Rates",SUMPRODUCT(L170:L269,$I291:$I390),IF($D$26="Investment",SUMPRODUCT(L170:L269,#REF!)))))," ")</f>
        <v xml:space="preserve"> </v>
      </c>
      <c r="M275" s="713" t="str">
        <f>IF($D$30="T&amp;M",IF($D$26="Select Margin Class"," ",IF($D$26="Standard Rates",SUMPRODUCT(M170:M269,$F291:$F390),IF($D$26="Client Custom Rates",SUMPRODUCT(M170:M269,$I291:$I390),IF($D$26="Investment",SUMPRODUCT(M170:M269,#REF!)))))," ")</f>
        <v xml:space="preserve"> </v>
      </c>
      <c r="N275" s="713" t="str">
        <f>IF($D$30="T&amp;M",IF($D$26="Select Margin Class"," ",IF($D$26="Standard Rates",SUMPRODUCT(N170:N269,$F291:$F390),IF($D$26="Client Custom Rates",SUMPRODUCT(N170:N269,$I291:$I390),IF($D$26="Investment",SUMPRODUCT(N170:N269,#REF!)))))," ")</f>
        <v xml:space="preserve"> </v>
      </c>
      <c r="O275" s="713" t="str">
        <f>IF($D$30="T&amp;M",IF($D$26="Select Margin Class"," ",IF($D$26="Standard Rates",SUMPRODUCT(O170:O269,$F291:$F390),IF($D$26="Client Custom Rates",SUMPRODUCT(O170:O269,$I291:$I390),IF($D$26="Investment",SUMPRODUCT(O170:O269,#REF!)))))," ")</f>
        <v xml:space="preserve"> </v>
      </c>
      <c r="P275" s="713" t="str">
        <f>IF($D$30="T&amp;M",IF($D$26="Select Margin Class"," ",IF($D$26="Standard Rates",SUMPRODUCT(P170:P269,$F291:$F390),IF($D$26="Client Custom Rates",SUMPRODUCT(P170:P269,$I291:$I390),IF($D$26="Investment",SUMPRODUCT(P170:P269,#REF!)))))," ")</f>
        <v xml:space="preserve"> </v>
      </c>
      <c r="Q275" s="713" t="str">
        <f>IF($D$30="T&amp;M",IF($D$26="Select Margin Class"," ",IF($D$26="Standard Rates",SUMPRODUCT(Q170:Q269,$F291:$F390),IF($D$26="Client Custom Rates",SUMPRODUCT(Q170:Q269,$I291:$I390),IF($D$26="Investment",SUMPRODUCT(Q170:Q269,#REF!)))))," ")</f>
        <v xml:space="preserve"> </v>
      </c>
      <c r="R275" s="713" t="str">
        <f>IF($D$30="T&amp;M",IF($D$26="Select Margin Class"," ",IF($D$26="Standard Rates",SUMPRODUCT(R170:R269,$F291:$F390),IF($D$26="Client Custom Rates",SUMPRODUCT(R170:R269,$I291:$I390),IF($D$26="Investment",SUMPRODUCT(R170:R269,#REF!)))))," ")</f>
        <v xml:space="preserve"> </v>
      </c>
      <c r="S275" s="713" t="str">
        <f>IF($D$30="T&amp;M",IF($D$26="Select Margin Class"," ",IF($D$26="Standard Rates",SUMPRODUCT(S170:S269,$F291:$F390),IF($D$26="Client Custom Rates",SUMPRODUCT(S170:S269,$I291:$I390),IF($D$26="Investment",SUMPRODUCT(S170:S269,#REF!)))))," ")</f>
        <v xml:space="preserve"> </v>
      </c>
      <c r="T275" s="713" t="str">
        <f>IF($D$30="T&amp;M",IF($D$26="Select Margin Class"," ",IF($D$26="Standard Rates",SUMPRODUCT(T170:T269,$F291:$F390),IF($D$26="Client Custom Rates",SUMPRODUCT(T170:T269,$I291:$I390),IF($D$26="Investment",SUMPRODUCT(T170:T269,#REF!)))))," ")</f>
        <v xml:space="preserve"> </v>
      </c>
      <c r="U275" s="713" t="str">
        <f>IF($D$30="T&amp;M",IF($D$26="Select Margin Class"," ",IF($D$26="Standard Rates",SUMPRODUCT(U170:U269,$F291:$F390),IF($D$26="Client Custom Rates",SUMPRODUCT(U170:U269,$I291:$I390),IF($D$26="Investment",SUMPRODUCT(U170:U269,#REF!)))))," ")</f>
        <v xml:space="preserve"> </v>
      </c>
      <c r="V275" s="713" t="str">
        <f>IF($D$30="T&amp;M",IF($D$26="Select Margin Class"," ",IF($D$26="Standard Rates",SUMPRODUCT(V170:V269,$F291:$F390),IF($D$26="Client Custom Rates",SUMPRODUCT(V170:V269,$I291:$I390),IF($D$26="Investment",SUMPRODUCT(V170:V269,#REF!)))))," ")</f>
        <v xml:space="preserve"> </v>
      </c>
      <c r="W275" s="713" t="str">
        <f>IF($D$30="T&amp;M",IF($D$26="Select Margin Class"," ",IF($D$26="Standard Rates",SUMPRODUCT(W170:W269,$F291:$F390),IF($D$26="Client Custom Rates",SUMPRODUCT(W170:W269,$I291:$I390),IF($D$26="Investment",SUMPRODUCT(W170:W269,#REF!)))))," ")</f>
        <v xml:space="preserve"> </v>
      </c>
      <c r="X275" s="713"/>
      <c r="Y275" s="713" t="str">
        <f>IF($D$30="T&amp;M",IF($D$26="Select Margin Class"," ",IF($D$26="Standard Rates",SUMPRODUCT(Y170:Y269,$F291:$F390),IF($D$26="Client Custom Rates",SUMPRODUCT(Y170:Y269,$I291:$I390),IF($D$26="Investment",SUMPRODUCT(Y170:Y269,#REF!)))))," ")</f>
        <v xml:space="preserve"> </v>
      </c>
      <c r="Z275" s="713" t="str">
        <f>IF($D$30="T&amp;M",IF($D$26="Select Margin Class"," ",IF($D$26="Standard Rates",SUMPRODUCT(Z170:Z269,$F291:$F390),IF($D$26="Client Custom Rates",SUMPRODUCT(Z170:Z269,$I291:$I390),IF($D$26="Investment",SUMPRODUCT(Z170:Z269,#REF!)))))," ")</f>
        <v xml:space="preserve"> </v>
      </c>
      <c r="AA275" s="713" t="str">
        <f>IF($D$30="T&amp;M",IF($D$26="Select Margin Class"," ",IF($D$26="Standard Rates",SUMPRODUCT(AA170:AA269,$F291:$F390),IF($D$26="Client Custom Rates",SUMPRODUCT(AA170:AA269,$I291:$I390),IF($D$26="Investment",SUMPRODUCT(AA170:AA269,#REF!)))))," ")</f>
        <v xml:space="preserve"> </v>
      </c>
      <c r="AB275" s="713" t="str">
        <f>IF($D$30="T&amp;M",IF($D$26="Select Margin Class"," ",IF($D$26="Standard Rates",SUMPRODUCT(AB170:AB269,$F291:$F390),IF($D$26="Client Custom Rates",SUMPRODUCT(AB170:AB269,$I291:$I390),IF($D$26="Investment",SUMPRODUCT(AB170:AB269,#REF!)))))," ")</f>
        <v xml:space="preserve"> </v>
      </c>
      <c r="AC275" s="713" t="str">
        <f>IF($D$30="T&amp;M",IF($D$26="Select Margin Class"," ",IF($D$26="Standard Rates",SUMPRODUCT(AC170:AC269,$F291:$F390),IF($D$26="Client Custom Rates",SUMPRODUCT(AC170:AC269,$I291:$I390),IF($D$26="Investment",SUMPRODUCT(AC170:AC269,#REF!)))))," ")</f>
        <v xml:space="preserve"> </v>
      </c>
      <c r="AH275" s="713" t="str">
        <f>IF($D$30="T&amp;M",IF($D$26="Select Margin Class"," ",IF($D$26="Standard Rates",SUMPRODUCT(AH170:AH269,$F291:$F390),IF($D$26="Client Custom Rates",SUMPRODUCT(AH170:AH269,$I291:$I390),IF($D$26="Investment",SUMPRODUCT(AH170:AH269,#REF!)))))," ")</f>
        <v xml:space="preserve"> </v>
      </c>
      <c r="AI275" s="713" t="str">
        <f>IF($D$30="T&amp;M",IF($D$26="Select Margin Class"," ",IF($D$26="Standard Rates",SUMPRODUCT(AI170:AI269,$F291:$F390),IF($D$26="Client Custom Rates",SUMPRODUCT(AI170:AI269,$I291:$I390),IF($D$26="Investment",SUMPRODUCT(AI170:AI269,#REF!)))))," ")</f>
        <v xml:space="preserve"> </v>
      </c>
      <c r="AJ275" s="713" t="str">
        <f>IF($D$30="T&amp;M",IF($D$26="Select Margin Class"," ",IF($D$26="Standard Rates",SUMPRODUCT(AJ170:AJ269,$F291:$F390),IF($D$26="Client Custom Rates",SUMPRODUCT(AJ170:AJ269,$I291:$I390),IF($D$26="Investment",SUMPRODUCT(AJ170:AJ269,#REF!)))))," ")</f>
        <v xml:space="preserve"> </v>
      </c>
      <c r="AK275" s="713" t="str">
        <f>IF($D$30="T&amp;M",IF($D$26="Select Margin Class"," ",IF($D$26="Standard Rates",SUMPRODUCT(AK170:AK269,$F291:$F390),IF($D$26="Client Custom Rates",SUMPRODUCT(AK170:AK269,$I291:$I390),IF($D$26="Investment",SUMPRODUCT(AK170:AK269,#REF!)))))," ")</f>
        <v xml:space="preserve"> </v>
      </c>
      <c r="AL275" s="713" t="str">
        <f>IF($D$30="T&amp;M",IF($D$26="Select Margin Class"," ",IF($D$26="Standard Rates",SUMPRODUCT(AL170:AL269,$F291:$F390),IF($D$26="Client Custom Rates",SUMPRODUCT(AL170:AL269,$I291:$I390),IF($D$26="Investment",SUMPRODUCT(AL170:AL269,#REF!)))))," ")</f>
        <v xml:space="preserve"> </v>
      </c>
      <c r="AM275" s="713" t="str">
        <f>IF($D$30="T&amp;M",IF($D$26="Select Margin Class"," ",IF($D$26="Standard Rates",SUMPRODUCT(AM170:AM269,$F291:$F390),IF($D$26="Client Custom Rates",SUMPRODUCT(AM170:AM269,$I291:$I390),IF($D$26="Investment",SUMPRODUCT(AM170:AM269,#REF!)))))," ")</f>
        <v xml:space="preserve"> </v>
      </c>
      <c r="AN275" s="713" t="str">
        <f>IF($D$30="T&amp;M",IF($D$26="Select Margin Class"," ",IF($D$26="Standard Rates",SUMPRODUCT(AN170:AN269,$F291:$F390),IF($D$26="Client Custom Rates",SUMPRODUCT(AN170:AN269,$I291:$I390),IF($D$26="Investment",SUMPRODUCT(AN170:AN269,#REF!)))))," ")</f>
        <v xml:space="preserve"> </v>
      </c>
      <c r="AO275" s="713" t="str">
        <f>IF($D$30="T&amp;M",IF($D$26="Select Margin Class"," ",IF($D$26="Standard Rates",SUMPRODUCT(AO170:AO269,$F291:$F390),IF($D$26="Client Custom Rates",SUMPRODUCT(AO170:AO269,$I291:$I390),IF($D$26="Investment",SUMPRODUCT(AO170:AO269,#REF!)))))," ")</f>
        <v xml:space="preserve"> </v>
      </c>
      <c r="AP275" s="713" t="str">
        <f>IF($D$30="T&amp;M",IF($D$26="Select Margin Class"," ",IF($D$26="Standard Rates",SUMPRODUCT(AP170:AP269,$F291:$F390),IF($D$26="Client Custom Rates",SUMPRODUCT(AP170:AP269,$I291:$I390),IF($D$26="Investment",SUMPRODUCT(AP170:AP269,#REF!)))))," ")</f>
        <v xml:space="preserve"> </v>
      </c>
      <c r="AQ275" s="713" t="str">
        <f>IF($D$30="T&amp;M",IF($D$26="Select Margin Class"," ",IF($D$26="Standard Rates",SUMPRODUCT(AQ170:AQ269,$F291:$F390),IF($D$26="Client Custom Rates",SUMPRODUCT(AQ170:AQ269,$I291:$I390),IF($D$26="Investment",SUMPRODUCT(AQ170:AQ269,#REF!)))))," ")</f>
        <v xml:space="preserve"> </v>
      </c>
      <c r="AR275" s="713" t="str">
        <f>IF($D$30="T&amp;M",IF($D$26="Select Margin Class"," ",IF($D$26="Standard Rates",SUMPRODUCT(AR170:AR269,$F291:$F390),IF($D$26="Client Custom Rates",SUMPRODUCT(AR170:AR269,$I291:$I390),IF($D$26="Investment",SUMPRODUCT(AR170:AR269,#REF!)))))," ")</f>
        <v xml:space="preserve"> </v>
      </c>
      <c r="AS275" s="713" t="str">
        <f>IF($D$30="T&amp;M",IF($D$26="Select Margin Class"," ",IF($D$26="Standard Rates",SUMPRODUCT(AS170:AS269,$F291:$F390),IF($D$26="Client Custom Rates",SUMPRODUCT(AS170:AS269,$I291:$I390),IF($D$26="Investment",SUMPRODUCT(AS170:AS269,#REF!)))))," ")</f>
        <v xml:space="preserve"> </v>
      </c>
      <c r="AT275" s="713" t="str">
        <f>IF($D$30="T&amp;M",IF($D$26="Select Margin Class"," ",IF($D$26="Standard Rates",SUMPRODUCT(AT170:AT269,$F291:$F390),IF($D$26="Client Custom Rates",SUMPRODUCT(AT170:AT269,$I291:$I390),IF($D$26="Investment",SUMPRODUCT(AT170:AT269,#REF!)))))," ")</f>
        <v xml:space="preserve"> </v>
      </c>
      <c r="AU275" s="713" t="str">
        <f>IF($D$30="T&amp;M",IF($D$26="Select Margin Class"," ",IF($D$26="Standard Rates",SUMPRODUCT(AU170:AU269,$F291:$F390),IF($D$26="Client Custom Rates",SUMPRODUCT(AU170:AU269,$I291:$I390),IF($D$26="Investment",SUMPRODUCT(AU170:AU269,#REF!)))))," ")</f>
        <v xml:space="preserve"> </v>
      </c>
      <c r="AV275" s="713" t="str">
        <f>IF($D$30="T&amp;M",IF($D$26="Select Margin Class"," ",IF($D$26="Standard Rates",SUMPRODUCT(AV170:AV269,$F291:$F390),IF($D$26="Client Custom Rates",SUMPRODUCT(AV170:AV269,$I291:$I390),IF($D$26="Investment",SUMPRODUCT(AV170:AV269,#REF!)))))," ")</f>
        <v xml:space="preserve"> </v>
      </c>
      <c r="AW275" s="713" t="str">
        <f>IF($D$30="T&amp;M",IF($D$26="Select Margin Class"," ",IF($D$26="Standard Rates",SUMPRODUCT(AW170:AW269,$F291:$F390),IF($D$26="Client Custom Rates",SUMPRODUCT(AW170:AW269,$I291:$I390),IF($D$26="Investment",SUMPRODUCT(AW170:AW269,#REF!)))))," ")</f>
        <v xml:space="preserve"> </v>
      </c>
      <c r="AX275" s="713" t="str">
        <f>IF($D$30="T&amp;M",IF($D$26="Select Margin Class"," ",IF($D$26="Standard Rates",SUMPRODUCT(AX170:AX269,$F291:$F390),IF($D$26="Client Custom Rates",SUMPRODUCT(AX170:AX269,$I291:$I390),IF($D$26="Investment",SUMPRODUCT(AX170:AX269,#REF!)))))," ")</f>
        <v xml:space="preserve"> </v>
      </c>
      <c r="AY275" s="713" t="str">
        <f>IF($D$30="T&amp;M",IF($D$26="Select Margin Class"," ",IF($D$26="Standard Rates",SUMPRODUCT(AY170:AY269,$F291:$F390),IF($D$26="Client Custom Rates",SUMPRODUCT(AY170:AY269,$I291:$I390),IF($D$26="Investment",SUMPRODUCT(AY170:AY269,#REF!)))))," ")</f>
        <v xml:space="preserve"> </v>
      </c>
      <c r="AZ275" s="713" t="str">
        <f>IF($D$30="T&amp;M",IF($D$26="Select Margin Class"," ",IF($D$26="Standard Rates",SUMPRODUCT(AZ170:AZ269,$F291:$F390),IF($D$26="Client Custom Rates",SUMPRODUCT(AZ170:AZ269,$I291:$I390),IF($D$26="Investment",SUMPRODUCT(AZ170:AZ269,#REF!)))))," ")</f>
        <v xml:space="preserve"> </v>
      </c>
      <c r="BA275" s="713" t="str">
        <f>IF($D$30="T&amp;M",IF($D$26="Select Margin Class"," ",IF($D$26="Standard Rates",SUMPRODUCT(BA170:BA269,$F291:$F390),IF($D$26="Client Custom Rates",SUMPRODUCT(BA170:BA269,$I291:$I390),IF($D$26="Investment",SUMPRODUCT(BA170:BA269,#REF!)))))," ")</f>
        <v xml:space="preserve"> </v>
      </c>
      <c r="BB275" s="713" t="str">
        <f>IF($D$30="T&amp;M",IF($D$26="Select Margin Class"," ",IF($D$26="Standard Rates",SUMPRODUCT(BB170:BB269,$F291:$F390),IF($D$26="Client Custom Rates",SUMPRODUCT(BB170:BB269,$I291:$I390),IF($D$26="Investment",SUMPRODUCT(BB170:BB269,#REF!)))))," ")</f>
        <v xml:space="preserve"> </v>
      </c>
      <c r="BC275" s="713" t="str">
        <f>IF($D$30="T&amp;M",IF($D$26="Select Margin Class"," ",IF($D$26="Standard Rates",SUMPRODUCT(BC170:BC269,$F291:$F390),IF($D$26="Client Custom Rates",SUMPRODUCT(BC170:BC269,$I291:$I390),IF($D$26="Investment",SUMPRODUCT(BC170:BC269,#REF!)))))," ")</f>
        <v xml:space="preserve"> </v>
      </c>
      <c r="BD275" s="713" t="str">
        <f>IF($D$30="T&amp;M",IF($D$26="Select Margin Class"," ",IF($D$26="Standard Rates",SUMPRODUCT(BD170:BD269,$F291:$F390),IF($D$26="Client Custom Rates",SUMPRODUCT(BD170:BD269,$I291:$I390),IF($D$26="Investment",SUMPRODUCT(BD170:BD269,#REF!)))))," ")</f>
        <v xml:space="preserve"> </v>
      </c>
      <c r="BE275" s="713" t="str">
        <f>IF($D$30="T&amp;M",IF($D$26="Select Margin Class"," ",IF($D$26="Standard Rates",SUMPRODUCT(BE170:BE269,$F291:$F390),IF($D$26="Client Custom Rates",SUMPRODUCT(BE170:BE269,$I291:$I390),IF($D$26="Investment",SUMPRODUCT(BE170:BE269,#REF!)))))," ")</f>
        <v xml:space="preserve"> </v>
      </c>
      <c r="BF275" s="713" t="str">
        <f>IF($D$30="T&amp;M",IF($D$26="Select Margin Class"," ",IF($D$26="Standard Rates",SUMPRODUCT(BF170:BF269,$F291:$F390),IF($D$26="Client Custom Rates",SUMPRODUCT(BF170:BF269,$I291:$I390),IF($D$26="Investment",SUMPRODUCT(BF170:BF269,#REF!)))))," ")</f>
        <v xml:space="preserve"> </v>
      </c>
      <c r="BG275" s="713" t="str">
        <f>IF($D$30="T&amp;M",IF($D$26="Select Margin Class"," ",IF($D$26="Standard Rates",SUMPRODUCT(BG170:BG269,$F291:$F390),IF($D$26="Client Custom Rates",SUMPRODUCT(BG170:BG269,$I291:$I390),IF($D$26="Investment",SUMPRODUCT(BG170:BG269,#REF!)))))," ")</f>
        <v xml:space="preserve"> </v>
      </c>
      <c r="BH275" s="713" t="str">
        <f>IF($D$30="T&amp;M",IF($D$26="Select Margin Class"," ",IF($D$26="Standard Rates",SUMPRODUCT(BH170:BH269,$F291:$F390),IF($D$26="Client Custom Rates",SUMPRODUCT(BH170:BH269,$I291:$I390),IF($D$26="Investment",SUMPRODUCT(BH170:BH269,#REF!)))))," ")</f>
        <v xml:space="preserve"> </v>
      </c>
      <c r="BI275" s="713" t="str">
        <f>IF($D$30="T&amp;M",IF($D$26="Select Margin Class"," ",IF($D$26="Standard Rates",SUMPRODUCT(BI170:BI269,$F291:$F390),IF($D$26="Client Custom Rates",SUMPRODUCT(BI170:BI269,$I291:$I390),IF($D$26="Investment",SUMPRODUCT(BI170:BI269,#REF!)))))," ")</f>
        <v xml:space="preserve"> </v>
      </c>
      <c r="BJ275" s="713" t="str">
        <f>IF($D$30="T&amp;M",IF($D$26="Select Margin Class"," ",IF($D$26="Standard Rates",SUMPRODUCT(BJ170:BJ269,$F291:$F390),IF($D$26="Client Custom Rates",SUMPRODUCT(BJ170:BJ269,$I291:$I390),IF($D$26="Investment",SUMPRODUCT(BJ170:BJ269,#REF!)))))," ")</f>
        <v xml:space="preserve"> </v>
      </c>
      <c r="BK275" s="713" t="str">
        <f>IF($D$30="T&amp;M",IF($D$26="Select Margin Class"," ",IF($D$26="Standard Rates",SUMPRODUCT(BK170:BK269,$F291:$F390),IF($D$26="Client Custom Rates",SUMPRODUCT(BK170:BK269,$I291:$I390),IF($D$26="Investment",SUMPRODUCT(BK170:BK269,#REF!)))))," ")</f>
        <v xml:space="preserve"> </v>
      </c>
      <c r="BL275" s="713" t="str">
        <f>IF($D$30="T&amp;M",IF($D$26="Select Margin Class"," ",IF($D$26="Standard Rates",SUMPRODUCT(BL170:BL269,$F291:$F390),IF($D$26="Client Custom Rates",SUMPRODUCT(BL170:BL269,$I291:$I390),IF($D$26="Investment",SUMPRODUCT(BL170:BL269,#REF!)))))," ")</f>
        <v xml:space="preserve"> </v>
      </c>
      <c r="BM275" s="713" t="str">
        <f>IF($D$30="T&amp;M",IF($D$26="Select Margin Class"," ",IF($D$26="Standard Rates",SUMPRODUCT(BM170:BM269,$F291:$F390),IF($D$26="Client Custom Rates",SUMPRODUCT(BM170:BM269,$I291:$I390),IF($D$26="Investment",SUMPRODUCT(BM170:BM269,#REF!)))))," ")</f>
        <v xml:space="preserve"> </v>
      </c>
      <c r="BN275" s="1336" t="str">
        <f>IF($D$30="T&amp;M",IF($D$26="Select Margin Class"," ",IF($D$26="Standard Rates",SUMPRODUCT(BN170:BN269,$F291:$F390),IF($D$26="Client Custom Rates",SUMPRODUCT(BN170:BN269,$I291:$I390),IF($D$26="Investment",SUMPRODUCT(BN170:BN269,#REF!)))))," ")</f>
        <v xml:space="preserve"> </v>
      </c>
    </row>
    <row r="276" spans="1:66" hidden="1" x14ac:dyDescent="0.25">
      <c r="E276" s="398"/>
      <c r="F276" s="398"/>
      <c r="G276" s="398"/>
      <c r="H276" s="398"/>
      <c r="I276" s="398"/>
      <c r="J276" s="398"/>
      <c r="K276" s="398"/>
      <c r="L276" s="398"/>
      <c r="M276" s="398"/>
      <c r="N276" s="398"/>
      <c r="O276" s="398"/>
      <c r="P276" s="398"/>
      <c r="Q276" s="398"/>
      <c r="R276" s="398"/>
      <c r="S276" s="398"/>
      <c r="T276" s="398"/>
      <c r="U276" s="398"/>
      <c r="V276" s="398"/>
      <c r="W276" s="398"/>
      <c r="X276" s="398"/>
      <c r="Y276" s="398"/>
      <c r="Z276" s="398"/>
      <c r="AA276" s="398"/>
      <c r="AB276" s="398"/>
      <c r="AC276" s="398"/>
      <c r="AH276" s="398"/>
      <c r="AI276" s="398"/>
      <c r="AJ276" s="398"/>
      <c r="AK276" s="398"/>
      <c r="AL276" s="398"/>
      <c r="AM276" s="398"/>
      <c r="AN276" s="398"/>
      <c r="AO276" s="398"/>
      <c r="AP276" s="398"/>
      <c r="AQ276" s="398"/>
      <c r="AR276" s="398"/>
      <c r="AS276" s="398"/>
      <c r="AT276" s="398"/>
      <c r="AU276" s="398"/>
      <c r="AV276" s="398"/>
      <c r="AW276" s="398"/>
      <c r="AX276" s="398"/>
      <c r="AY276" s="398"/>
      <c r="AZ276" s="398"/>
      <c r="BA276" s="398"/>
      <c r="BB276" s="398"/>
      <c r="BC276" s="398"/>
      <c r="BD276" s="398"/>
      <c r="BE276" s="398"/>
      <c r="BF276" s="398"/>
      <c r="BG276" s="398"/>
      <c r="BH276" s="398"/>
      <c r="BI276" s="398"/>
      <c r="BJ276" s="398"/>
      <c r="BK276" s="398"/>
      <c r="BL276" s="398"/>
      <c r="BM276" s="398"/>
      <c r="BN276" s="398"/>
    </row>
    <row r="277" spans="1:66" hidden="1" x14ac:dyDescent="0.25">
      <c r="D277" s="904" t="s">
        <v>181</v>
      </c>
      <c r="E277" s="902"/>
      <c r="F277" s="902"/>
      <c r="G277" s="902"/>
      <c r="H277" s="902"/>
      <c r="I277" s="902"/>
      <c r="J277" s="902"/>
      <c r="K277" s="902"/>
      <c r="L277" s="902"/>
      <c r="M277" s="902"/>
      <c r="N277" s="902"/>
      <c r="O277" s="902"/>
      <c r="P277" s="902"/>
      <c r="Q277" s="902"/>
      <c r="R277" s="902"/>
      <c r="S277" s="902"/>
      <c r="T277" s="902"/>
      <c r="U277" s="902"/>
      <c r="V277" s="902"/>
      <c r="W277" s="902"/>
      <c r="X277" s="902"/>
      <c r="Y277" s="902"/>
      <c r="Z277" s="902"/>
      <c r="AA277" s="902"/>
      <c r="AB277" s="902"/>
      <c r="AC277" s="902"/>
      <c r="AH277" s="902"/>
      <c r="AI277" s="902"/>
      <c r="AJ277" s="902"/>
      <c r="AK277" s="902"/>
      <c r="AL277" s="902"/>
      <c r="AM277" s="902"/>
      <c r="AN277" s="902"/>
      <c r="AO277" s="902"/>
      <c r="AP277" s="902"/>
      <c r="AQ277" s="902"/>
      <c r="AR277" s="902"/>
      <c r="AS277" s="902"/>
      <c r="AT277" s="902"/>
      <c r="AU277" s="902"/>
      <c r="AV277" s="902"/>
      <c r="AW277" s="902"/>
      <c r="AX277" s="902"/>
      <c r="AY277" s="902"/>
      <c r="AZ277" s="902"/>
      <c r="BA277" s="902"/>
      <c r="BB277" s="902"/>
      <c r="BC277" s="902"/>
      <c r="BD277" s="902"/>
      <c r="BE277" s="902"/>
      <c r="BF277" s="902"/>
      <c r="BG277" s="902"/>
      <c r="BH277" s="902"/>
      <c r="BI277" s="902"/>
      <c r="BJ277" s="902"/>
      <c r="BK277" s="902"/>
      <c r="BL277" s="902"/>
      <c r="BM277" s="902"/>
      <c r="BN277" s="902"/>
    </row>
    <row r="278" spans="1:66" hidden="1" x14ac:dyDescent="0.25">
      <c r="D278" s="903" t="s">
        <v>180</v>
      </c>
      <c r="E278" s="905" t="str">
        <f>IF($D$30="Fixed Fee",IF($D$26="Select Margin Class"," ",IF($D$26="Standard Rates",SUMPRODUCT(E170:E269,$F291:$F390)*(1+#REF!),IF($D$26="Client Custom Rates",SUMPRODUCT(E170:E269,$I291:$I390)*(1+#REF!),IF($D$26="Investment",SUMPRODUCT(E170:E269,#REF!)*(1+#REF!)))))," ")</f>
        <v xml:space="preserve"> </v>
      </c>
      <c r="F278" s="905" t="str">
        <f>IF($D$30="Fixed Fee",IF($D$26="Select Margin Class"," ",IF($D$26="Standard Rates",SUMPRODUCT(F170:F269,$F291:$F390)*(1+#REF!),IF($D$26="Client Custom Rates",SUMPRODUCT(F170:F269,$I291:$I390)*(1+#REF!),IF($D$26="Investment",SUMPRODUCT(F170:F269,#REF!)*(1+#REF!)))))," ")</f>
        <v xml:space="preserve"> </v>
      </c>
      <c r="G278" s="905" t="str">
        <f>IF($D$30="Fixed Fee",IF($D$26="Select Margin Class"," ",IF($D$26="Standard Rates",SUMPRODUCT(G170:G269,$F291:$F390)*(1+#REF!),IF($D$26="Client Custom Rates",SUMPRODUCT(G170:G269,$I291:$I390)*(1+#REF!),IF($D$26="Investment",SUMPRODUCT(G170:G269,#REF!)*(1+#REF!)))))," ")</f>
        <v xml:space="preserve"> </v>
      </c>
      <c r="H278" s="905"/>
      <c r="I278" s="905" t="str">
        <f>IF($D$30="Fixed Fee",IF($D$26="Select Margin Class"," ",IF($D$26="Standard Rates",SUMPRODUCT(I170:I269,$F291:$F390)*(1+#REF!),IF($D$26="Client Custom Rates",SUMPRODUCT(I170:I269,$I291:$I390)*(1+#REF!),IF($D$26="Investment",SUMPRODUCT(I170:I269,#REF!)*(1+#REF!)))))," ")</f>
        <v xml:space="preserve"> </v>
      </c>
      <c r="J278" s="905" t="str">
        <f>IF($D$30="Fixed Fee",IF($D$26="Select Margin Class"," ",IF($D$26="Standard Rates",SUMPRODUCT(J170:J269,$F291:$F390)*(1+#REF!),IF($D$26="Client Custom Rates",SUMPRODUCT(J170:J269,$I291:$I390)*(1+#REF!),IF($D$26="Investment",SUMPRODUCT(J170:J269,#REF!)*(1+#REF!)))))," ")</f>
        <v xml:space="preserve"> </v>
      </c>
      <c r="K278" s="905" t="str">
        <f>IF($D$30="Fixed Fee",IF($D$26="Select Margin Class"," ",IF($D$26="Standard Rates",SUMPRODUCT(K170:K269,$F291:$F390)*(1+#REF!),IF($D$26="Client Custom Rates",SUMPRODUCT(K170:K269,$I291:$I390)*(1+#REF!),IF($D$26="Investment",SUMPRODUCT(K170:K269,#REF!)*(1+#REF!)))))," ")</f>
        <v xml:space="preserve"> </v>
      </c>
      <c r="L278" s="905" t="str">
        <f>IF($D$30="Fixed Fee",IF($D$26="Select Margin Class"," ",IF($D$26="Standard Rates",SUMPRODUCT(L170:L269,$F291:$F390)*(1+#REF!),IF($D$26="Client Custom Rates",SUMPRODUCT(K28:K170,$I291:$I390)*(1+#REF!),IF($D$26="Investment",SUMPRODUCT(K28:K170,#REF!)*(1+#REF!)))))," ")</f>
        <v xml:space="preserve"> </v>
      </c>
      <c r="M278" s="905" t="str">
        <f>IF($D$30="Fixed Fee",IF($D$26="Select Margin Class"," ",IF($D$26="Standard Rates",SUMPRODUCT(M170:M269,$F291:$F390)*(1+#REF!),IF($D$26="Client Custom Rates",SUMPRODUCT(M170:M269,$I291:$I390)*(1+#REF!),IF($D$26="Investment",SUMPRODUCT(M170:M269,#REF!)*(1+#REF!)))))," ")</f>
        <v xml:space="preserve"> </v>
      </c>
      <c r="N278" s="905" t="str">
        <f>IF($D$30="Fixed Fee",IF($D$26="Select Margin Class"," ",IF($D$26="Standard Rates",SUMPRODUCT(N170:N269,$F291:$F390)*(1+#REF!),IF($D$26="Client Custom Rates",SUMPRODUCT(N170:N269,$I291:$I390)*(1+#REF!),IF($D$26="Investment",SUMPRODUCT(N170:N269,#REF!)*(1+#REF!)))))," ")</f>
        <v xml:space="preserve"> </v>
      </c>
      <c r="O278" s="905" t="str">
        <f>IF($D$30="Fixed Fee",IF($D$26="Select Margin Class"," ",IF($D$26="Standard Rates",SUMPRODUCT(O170:O269,$F291:$F390)*(1+#REF!),IF($D$26="Client Custom Rates",SUMPRODUCT(O170:O269,$I291:$I390)*(1+#REF!),IF($D$26="Investment",SUMPRODUCT(O170:O269,#REF!)*(1+#REF!)))))," ")</f>
        <v xml:space="preserve"> </v>
      </c>
      <c r="P278" s="905" t="str">
        <f>IF($D$30="Fixed Fee",IF($D$26="Select Margin Class"," ",IF($D$26="Standard Rates",SUMPRODUCT(P170:P269,$F291:$F390)*(1+#REF!),IF($D$26="Client Custom Rates",SUMPRODUCT(P170:P269,$I291:$I390)*(1+#REF!),IF($D$26="Investment",SUMPRODUCT(P170:P269,#REF!)*(1+#REF!)))))," ")</f>
        <v xml:space="preserve"> </v>
      </c>
      <c r="Q278" s="905" t="str">
        <f>IF($D$30="Fixed Fee",IF($D$26="Select Margin Class"," ",IF($D$26="Standard Rates",SUMPRODUCT(Q170:Q269,$F291:$F390)*(1+#REF!),IF($D$26="Client Custom Rates",SUMPRODUCT(Q170:Q269,$I291:$I390)*(1+#REF!),IF($D$26="Investment",SUMPRODUCT(Q170:Q269,#REF!)*(1+#REF!)))))," ")</f>
        <v xml:space="preserve"> </v>
      </c>
      <c r="R278" s="905" t="str">
        <f>IF($D$30="Fixed Fee",IF($D$26="Select Margin Class"," ",IF($D$26="Standard Rates",SUMPRODUCT(R170:R269,$F291:$F390)*(1+#REF!),IF($D$26="Client Custom Rates",SUMPRODUCT(R170:R269,$I291:$I390)*(1+#REF!),IF($D$26="Investment",SUMPRODUCT(R170:R269,#REF!)*(1+#REF!)))))," ")</f>
        <v xml:space="preserve"> </v>
      </c>
      <c r="S278" s="905" t="str">
        <f>IF($D$30="Fixed Fee",IF($D$26="Select Margin Class"," ",IF($D$26="Standard Rates",SUMPRODUCT(S170:S269,$F291:$F390)*(1+#REF!),IF($D$26="Client Custom Rates",SUMPRODUCT(S170:S269,$I291:$I390)*(1+#REF!),IF($D$26="Investment",SUMPRODUCT(S170:S269,#REF!)*(1+#REF!)))))," ")</f>
        <v xml:space="preserve"> </v>
      </c>
      <c r="T278" s="905" t="str">
        <f>IF($D$30="Fixed Fee",IF($D$26="Select Margin Class"," ",IF($D$26="Standard Rates",SUMPRODUCT(T170:T269,$F291:$F390)*(1+#REF!),IF($D$26="Client Custom Rates",SUMPRODUCT(T170:T269,$I291:$I390)*(1+#REF!),IF($D$26="Investment",SUMPRODUCT(T170:T269,#REF!)*(1+#REF!)))))," ")</f>
        <v xml:space="preserve"> </v>
      </c>
      <c r="U278" s="905" t="str">
        <f>IF($D$30="Fixed Fee",IF($D$26="Select Margin Class"," ",IF($D$26="Standard Rates",SUMPRODUCT(U170:U269,$F291:$F390)*(1+#REF!),IF($D$26="Client Custom Rates",SUMPRODUCT(U170:U269,$I291:$I390)*(1+#REF!),IF($D$26="Investment",SUMPRODUCT(U170:U269,#REF!)*(1+#REF!)))))," ")</f>
        <v xml:space="preserve"> </v>
      </c>
      <c r="V278" s="905" t="str">
        <f>IF($D$30="Fixed Fee",IF($D$26="Select Margin Class"," ",IF($D$26="Standard Rates",SUMPRODUCT(V170:V269,$F291:$F390)*(1+#REF!),IF($D$26="Client Custom Rates",SUMPRODUCT(V170:V269,$I291:$I390)*(1+#REF!),IF($D$26="Investment",SUMPRODUCT(V170:V269,#REF!)*(1+#REF!)))))," ")</f>
        <v xml:space="preserve"> </v>
      </c>
      <c r="W278" s="905" t="str">
        <f>IF($D$30="Fixed Fee",IF($D$26="Select Margin Class"," ",IF($D$26="Standard Rates",SUMPRODUCT(W170:W269,$F291:$F390)*(1+#REF!),IF($D$26="Client Custom Rates",SUMPRODUCT(W170:W269,$I291:$I390)*(1+#REF!),IF($D$26="Investment",SUMPRODUCT(W170:W269,#REF!)*(1+#REF!)))))," ")</f>
        <v xml:space="preserve"> </v>
      </c>
      <c r="X278" s="905"/>
      <c r="Y278" s="905" t="str">
        <f>IF($D$30="Fixed Fee",IF($D$26="Select Margin Class"," ",IF($D$26="Standard Rates",SUMPRODUCT(Y170:Y269,$F291:$F390)*(1+#REF!),IF($D$26="Client Custom Rates",SUMPRODUCT(Y170:Y269,$I291:$I390)*(1+#REF!),IF($D$26="Investment",SUMPRODUCT(Y170:Y269,#REF!)*(1+#REF!)))))," ")</f>
        <v xml:space="preserve"> </v>
      </c>
      <c r="Z278" s="905" t="str">
        <f>IF($D$30="Fixed Fee",IF($D$26="Select Margin Class"," ",IF($D$26="Standard Rates",SUMPRODUCT(Z170:Z269,$F291:$F390)*(1+#REF!),IF($D$26="Client Custom Rates",SUMPRODUCT(Z170:Z269,$I291:$I390)*(1+#REF!),IF($D$26="Investment",SUMPRODUCT(Z170:Z269,#REF!)*(1+#REF!)))))," ")</f>
        <v xml:space="preserve"> </v>
      </c>
      <c r="AA278" s="905" t="str">
        <f>IF($D$30="Fixed Fee",IF($D$26="Select Margin Class"," ",IF($D$26="Standard Rates",SUMPRODUCT(AA170:AA269,$F291:$F390)*(1+#REF!),IF($D$26="Client Custom Rates",SUMPRODUCT(AA170:AA269,$I291:$I390)*(1+#REF!),IF($D$26="Investment",SUMPRODUCT(AA170:AA269,#REF!)*(1+#REF!)))))," ")</f>
        <v xml:space="preserve"> </v>
      </c>
      <c r="AB278" s="905" t="str">
        <f>IF($D$30="Fixed Fee",IF($D$26="Select Margin Class"," ",IF($D$26="Standard Rates",SUMPRODUCT(AB170:AB269,$F291:$F390)*(1+#REF!),IF($D$26="Client Custom Rates",SUMPRODUCT(AB170:AB269,$I291:$I390)*(1+#REF!),IF($D$26="Investment",SUMPRODUCT(AB170:AB269,#REF!)*(1+#REF!)))))," ")</f>
        <v xml:space="preserve"> </v>
      </c>
      <c r="AC278" s="905" t="str">
        <f>IF($D$30="Fixed Fee",IF($D$26="Select Margin Class"," ",IF($D$26="Standard Rates",SUMPRODUCT(AC170:AC269,$F291:$F390)*(1+#REF!),IF($D$26="Client Custom Rates",SUMPRODUCT(AC170:AC269,$I291:$I390)*(1+#REF!),IF($D$26="Investment",SUMPRODUCT(AC170:AC269,#REF!)*(1+#REF!)))))," ")</f>
        <v xml:space="preserve"> </v>
      </c>
      <c r="AH278" s="905" t="str">
        <f>IF($D$30="Fixed Fee",IF($D$26="Select Margin Class"," ",IF($D$26="Standard Rates",SUMPRODUCT(AH170:AH269,$F291:$F390)*(1+#REF!),IF($D$26="Client Custom Rates",SUMPRODUCT(AH170:AH269,$I291:$I390)*(1+#REF!),IF($D$26="Investment",SUMPRODUCT(AH170:AH269,#REF!)*(1+#REF!)))))," ")</f>
        <v xml:space="preserve"> </v>
      </c>
      <c r="AI278" s="905" t="str">
        <f>IF($D$30="Fixed Fee",IF($D$26="Select Margin Class"," ",IF($D$26="Standard Rates",SUMPRODUCT(AI170:AI269,$F291:$F390)*(1+#REF!),IF($D$26="Client Custom Rates",SUMPRODUCT(AI170:AI269,$I291:$I390)*(1+#REF!),IF($D$26="Investment",SUMPRODUCT(AI170:AI269,#REF!)*(1+#REF!)))))," ")</f>
        <v xml:space="preserve"> </v>
      </c>
      <c r="AJ278" s="905" t="str">
        <f>IF($D$30="Fixed Fee",IF($D$26="Select Margin Class"," ",IF($D$26="Standard Rates",SUMPRODUCT(AJ170:AJ269,$F291:$F390)*(1+#REF!),IF($D$26="Client Custom Rates",SUMPRODUCT(AJ170:AJ269,$I291:$I390)*(1+#REF!),IF($D$26="Investment",SUMPRODUCT(AJ170:AJ269,#REF!)*(1+#REF!)))))," ")</f>
        <v xml:space="preserve"> </v>
      </c>
      <c r="AK278" s="905" t="str">
        <f>IF($D$30="Fixed Fee",IF($D$26="Select Margin Class"," ",IF($D$26="Standard Rates",SUMPRODUCT(AK170:AK269,$F291:$F390)*(1+#REF!),IF($D$26="Client Custom Rates",SUMPRODUCT(AK170:AK269,$I291:$I390)*(1+#REF!),IF($D$26="Investment",SUMPRODUCT(AK170:AK269,#REF!)*(1+#REF!)))))," ")</f>
        <v xml:space="preserve"> </v>
      </c>
      <c r="AL278" s="905" t="str">
        <f>IF($D$30="Fixed Fee",IF($D$26="Select Margin Class"," ",IF($D$26="Standard Rates",SUMPRODUCT(AL170:AL269,$F291:$F390)*(1+#REF!),IF($D$26="Client Custom Rates",SUMPRODUCT(AL170:AL269,$I291:$I390)*(1+#REF!),IF($D$26="Investment",SUMPRODUCT(AL170:AL269,#REF!)*(1+#REF!)))))," ")</f>
        <v xml:space="preserve"> </v>
      </c>
      <c r="AM278" s="905" t="str">
        <f>IF($D$30="Fixed Fee",IF($D$26="Select Margin Class"," ",IF($D$26="Standard Rates",SUMPRODUCT(AM170:AM269,$F291:$F390)*(1+#REF!),IF($D$26="Client Custom Rates",SUMPRODUCT(AM170:AM269,$I291:$I390)*(1+#REF!),IF($D$26="Investment",SUMPRODUCT(AM170:AM269,#REF!)*(1+#REF!)))))," ")</f>
        <v xml:space="preserve"> </v>
      </c>
      <c r="AN278" s="905" t="str">
        <f>IF($D$30="Fixed Fee",IF($D$26="Select Margin Class"," ",IF($D$26="Standard Rates",SUMPRODUCT(AN170:AN269,$F291:$F390)*(1+#REF!),IF($D$26="Client Custom Rates",SUMPRODUCT(AN170:AN269,$I291:$I390)*(1+#REF!),IF($D$26="Investment",SUMPRODUCT(AN170:AN269,#REF!)*(1+#REF!)))))," ")</f>
        <v xml:space="preserve"> </v>
      </c>
      <c r="AO278" s="905" t="str">
        <f>IF($D$30="Fixed Fee",IF($D$26="Select Margin Class"," ",IF($D$26="Standard Rates",SUMPRODUCT(AO170:AO269,$F291:$F390)*(1+#REF!),IF($D$26="Client Custom Rates",SUMPRODUCT(AO170:AO269,$I291:$I390)*(1+#REF!),IF($D$26="Investment",SUMPRODUCT(AO170:AO269,#REF!)*(1+#REF!)))))," ")</f>
        <v xml:space="preserve"> </v>
      </c>
      <c r="AP278" s="905" t="str">
        <f>IF($D$30="Fixed Fee",IF($D$26="Select Margin Class"," ",IF($D$26="Standard Rates",SUMPRODUCT(AP170:AP269,$F291:$F390)*(1+#REF!),IF($D$26="Client Custom Rates",SUMPRODUCT(AP170:AP269,$I291:$I390)*(1+#REF!),IF($D$26="Investment",SUMPRODUCT(AP170:AP269,#REF!)*(1+#REF!)))))," ")</f>
        <v xml:space="preserve"> </v>
      </c>
      <c r="AQ278" s="905" t="str">
        <f>IF($D$30="Fixed Fee",IF($D$26="Select Margin Class"," ",IF($D$26="Standard Rates",SUMPRODUCT(AQ170:AQ269,$F291:$F390)*(1+#REF!),IF($D$26="Client Custom Rates",SUMPRODUCT(AQ170:AQ269,$I291:$I390)*(1+#REF!),IF($D$26="Investment",SUMPRODUCT(AQ170:AQ269,#REF!)*(1+#REF!)))))," ")</f>
        <v xml:space="preserve"> </v>
      </c>
      <c r="AR278" s="905" t="str">
        <f>IF($D$30="Fixed Fee",IF($D$26="Select Margin Class"," ",IF($D$26="Standard Rates",SUMPRODUCT(AR170:AR269,$F291:$F390)*(1+#REF!),IF($D$26="Client Custom Rates",SUMPRODUCT(AR170:AR269,$I291:$I390)*(1+#REF!),IF($D$26="Investment",SUMPRODUCT(AR170:AR269,#REF!)*(1+#REF!)))))," ")</f>
        <v xml:space="preserve"> </v>
      </c>
      <c r="AS278" s="905" t="str">
        <f>IF($D$30="Fixed Fee",IF($D$26="Select Margin Class"," ",IF($D$26="Standard Rates",SUMPRODUCT(AS170:AS269,$F291:$F390)*(1+#REF!),IF($D$26="Client Custom Rates",SUMPRODUCT(AS170:AS269,$I291:$I390)*(1+#REF!),IF($D$26="Investment",SUMPRODUCT(AS170:AS269,#REF!)*(1+#REF!)))))," ")</f>
        <v xml:space="preserve"> </v>
      </c>
      <c r="AT278" s="905" t="str">
        <f>IF($D$30="Fixed Fee",IF($D$26="Select Margin Class"," ",IF($D$26="Standard Rates",SUMPRODUCT(AT170:AT269,$F291:$F390)*(1+#REF!),IF($D$26="Client Custom Rates",SUMPRODUCT(AT170:AT269,$I291:$I390)*(1+#REF!),IF($D$26="Investment",SUMPRODUCT(AT170:AT269,#REF!)*(1+#REF!)))))," ")</f>
        <v xml:space="preserve"> </v>
      </c>
      <c r="AU278" s="905" t="str">
        <f>IF($D$30="Fixed Fee",IF($D$26="Select Margin Class"," ",IF($D$26="Standard Rates",SUMPRODUCT(AU170:AU269,$F291:$F390)*(1+#REF!),IF($D$26="Client Custom Rates",SUMPRODUCT(AU170:AU269,$I291:$I390)*(1+#REF!),IF($D$26="Investment",SUMPRODUCT(AU170:AU269,#REF!)*(1+#REF!)))))," ")</f>
        <v xml:space="preserve"> </v>
      </c>
      <c r="AV278" s="905" t="str">
        <f>IF($D$30="Fixed Fee",IF($D$26="Select Margin Class"," ",IF($D$26="Standard Rates",SUMPRODUCT(AV170:AV269,$F291:$F390)*(1+#REF!),IF($D$26="Client Custom Rates",SUMPRODUCT(AV170:AV269,$I291:$I390)*(1+#REF!),IF($D$26="Investment",SUMPRODUCT(AV170:AV269,#REF!)*(1+#REF!)))))," ")</f>
        <v xml:space="preserve"> </v>
      </c>
      <c r="AW278" s="905" t="str">
        <f>IF($D$30="Fixed Fee",IF($D$26="Select Margin Class"," ",IF($D$26="Standard Rates",SUMPRODUCT(AW170:AW269,$F291:$F390)*(1+#REF!),IF($D$26="Client Custom Rates",SUMPRODUCT(AW170:AW269,$I291:$I390)*(1+#REF!),IF($D$26="Investment",SUMPRODUCT(AW170:AW269,#REF!)*(1+#REF!)))))," ")</f>
        <v xml:space="preserve"> </v>
      </c>
      <c r="AX278" s="905" t="str">
        <f>IF($D$30="Fixed Fee",IF($D$26="Select Margin Class"," ",IF($D$26="Standard Rates",SUMPRODUCT(AX170:AX269,$F291:$F390)*(1+#REF!),IF($D$26="Client Custom Rates",SUMPRODUCT(AX170:AX269,$I291:$I390)*(1+#REF!),IF($D$26="Investment",SUMPRODUCT(AX170:AX269,#REF!)*(1+#REF!)))))," ")</f>
        <v xml:space="preserve"> </v>
      </c>
      <c r="AY278" s="905" t="str">
        <f>IF($D$30="Fixed Fee",IF($D$26="Select Margin Class"," ",IF($D$26="Standard Rates",SUMPRODUCT(AY170:AY269,$F291:$F390)*(1+#REF!),IF($D$26="Client Custom Rates",SUMPRODUCT(AY170:AY269,$I291:$I390)*(1+#REF!),IF($D$26="Investment",SUMPRODUCT(AY170:AY269,#REF!)*(1+#REF!)))))," ")</f>
        <v xml:space="preserve"> </v>
      </c>
      <c r="AZ278" s="905" t="str">
        <f>IF($D$30="Fixed Fee",IF($D$26="Select Margin Class"," ",IF($D$26="Standard Rates",SUMPRODUCT(AZ170:AZ269,$F291:$F390)*(1+#REF!),IF($D$26="Client Custom Rates",SUMPRODUCT(AZ170:AZ269,$I291:$I390)*(1+#REF!),IF($D$26="Investment",SUMPRODUCT(AZ170:AZ269,#REF!)*(1+#REF!)))))," ")</f>
        <v xml:space="preserve"> </v>
      </c>
      <c r="BA278" s="905" t="str">
        <f>IF($D$30="Fixed Fee",IF($D$26="Select Margin Class"," ",IF($D$26="Standard Rates",SUMPRODUCT(BA170:BA269,$F291:$F390)*(1+#REF!),IF($D$26="Client Custom Rates",SUMPRODUCT(BA170:BA269,$I291:$I390)*(1+#REF!),IF($D$26="Investment",SUMPRODUCT(BA170:BA269,#REF!)*(1+#REF!)))))," ")</f>
        <v xml:space="preserve"> </v>
      </c>
      <c r="BB278" s="905" t="str">
        <f>IF($D$30="Fixed Fee",IF($D$26="Select Margin Class"," ",IF($D$26="Standard Rates",SUMPRODUCT(BB170:BB269,$F291:$F390)*(1+#REF!),IF($D$26="Client Custom Rates",SUMPRODUCT(BB170:BB269,$I291:$I390)*(1+#REF!),IF($D$26="Investment",SUMPRODUCT(BB170:BB269,#REF!)*(1+#REF!)))))," ")</f>
        <v xml:space="preserve"> </v>
      </c>
      <c r="BC278" s="905" t="str">
        <f>IF($D$30="Fixed Fee",IF($D$26="Select Margin Class"," ",IF($D$26="Standard Rates",SUMPRODUCT(BC170:BC269,$F291:$F390)*(1+#REF!),IF($D$26="Client Custom Rates",SUMPRODUCT(BC170:BC269,$I291:$I390)*(1+#REF!),IF($D$26="Investment",SUMPRODUCT(BC170:BC269,#REF!)*(1+#REF!)))))," ")</f>
        <v xml:space="preserve"> </v>
      </c>
      <c r="BD278" s="905" t="str">
        <f>IF($D$30="Fixed Fee",IF($D$26="Select Margin Class"," ",IF($D$26="Standard Rates",SUMPRODUCT(BD170:BD269,$F291:$F390)*(1+#REF!),IF($D$26="Client Custom Rates",SUMPRODUCT(BD170:BD269,$I291:$I390)*(1+#REF!),IF($D$26="Investment",SUMPRODUCT(BD170:BD269,#REF!)*(1+#REF!)))))," ")</f>
        <v xml:space="preserve"> </v>
      </c>
      <c r="BE278" s="905" t="str">
        <f>IF($D$30="Fixed Fee",IF($D$26="Select Margin Class"," ",IF($D$26="Standard Rates",SUMPRODUCT(BE170:BE269,$F291:$F390)*(1+#REF!),IF($D$26="Client Custom Rates",SUMPRODUCT(BE170:BE269,$I291:$I390)*(1+#REF!),IF($D$26="Investment",SUMPRODUCT(BE170:BE269,#REF!)*(1+#REF!)))))," ")</f>
        <v xml:space="preserve"> </v>
      </c>
      <c r="BF278" s="905" t="str">
        <f>IF($D$30="Fixed Fee",IF($D$26="Select Margin Class"," ",IF($D$26="Standard Rates",SUMPRODUCT(BF170:BF269,$F291:$F390)*(1+#REF!),IF($D$26="Client Custom Rates",SUMPRODUCT(BF170:BF269,$I291:$I390)*(1+#REF!),IF($D$26="Investment",SUMPRODUCT(BF170:BF269,#REF!)*(1+#REF!)))))," ")</f>
        <v xml:space="preserve"> </v>
      </c>
      <c r="BG278" s="905" t="str">
        <f>IF($D$30="Fixed Fee",IF($D$26="Select Margin Class"," ",IF($D$26="Standard Rates",SUMPRODUCT(BG170:BG269,$F291:$F390)*(1+#REF!),IF($D$26="Client Custom Rates",SUMPRODUCT(BG170:BG269,$I291:$I390)*(1+#REF!),IF($D$26="Investment",SUMPRODUCT(BG170:BG269,#REF!)*(1+#REF!)))))," ")</f>
        <v xml:space="preserve"> </v>
      </c>
      <c r="BH278" s="905" t="str">
        <f>IF($D$30="Fixed Fee",IF($D$26="Select Margin Class"," ",IF($D$26="Standard Rates",SUMPRODUCT(BH170:BH269,$F291:$F390)*(1+#REF!),IF($D$26="Client Custom Rates",SUMPRODUCT(BH170:BH269,$I291:$I390)*(1+#REF!),IF($D$26="Investment",SUMPRODUCT(BH170:BH269,#REF!)*(1+#REF!)))))," ")</f>
        <v xml:space="preserve"> </v>
      </c>
      <c r="BI278" s="905" t="str">
        <f>IF($D$30="Fixed Fee",IF($D$26="Select Margin Class"," ",IF($D$26="Standard Rates",SUMPRODUCT(BI170:BI269,$F291:$F390)*(1+#REF!),IF($D$26="Client Custom Rates",SUMPRODUCT(BI170:BI269,$I291:$I390)*(1+#REF!),IF($D$26="Investment",SUMPRODUCT(BI170:BI269,#REF!)*(1+#REF!)))))," ")</f>
        <v xml:space="preserve"> </v>
      </c>
      <c r="BJ278" s="905" t="str">
        <f>IF($D$30="Fixed Fee",IF($D$26="Select Margin Class"," ",IF($D$26="Standard Rates",SUMPRODUCT(BJ170:BJ269,$F291:$F390)*(1+#REF!),IF($D$26="Client Custom Rates",SUMPRODUCT(BJ170:BJ269,$I291:$I390)*(1+#REF!),IF($D$26="Investment",SUMPRODUCT(BJ170:BJ269,#REF!)*(1+#REF!)))))," ")</f>
        <v xml:space="preserve"> </v>
      </c>
      <c r="BK278" s="905" t="str">
        <f>IF($D$30="Fixed Fee",IF($D$26="Select Margin Class"," ",IF($D$26="Standard Rates",SUMPRODUCT(BK170:BK269,$F291:$F390)*(1+#REF!),IF($D$26="Client Custom Rates",SUMPRODUCT(BK170:BK269,$I291:$I390)*(1+#REF!),IF($D$26="Investment",SUMPRODUCT(BK170:BK269,#REF!)*(1+#REF!)))))," ")</f>
        <v xml:space="preserve"> </v>
      </c>
      <c r="BL278" s="905" t="str">
        <f>IF($D$30="Fixed Fee",IF($D$26="Select Margin Class"," ",IF($D$26="Standard Rates",SUMPRODUCT(BL170:BL269,$F291:$F390)*(1+#REF!),IF($D$26="Client Custom Rates",SUMPRODUCT(BL170:BL269,$I291:$I390)*(1+#REF!),IF($D$26="Investment",SUMPRODUCT(BL170:BL269,#REF!)*(1+#REF!)))))," ")</f>
        <v xml:space="preserve"> </v>
      </c>
      <c r="BM278" s="906" t="str">
        <f>IF($D$30="Fixed Fee",IF($D$26="Select Margin Class"," ",IF($D$26="Standard Rates",SUMPRODUCT(BM170:BM269,$F291:$F390)*(1+#REF!),IF($D$26="Client Custom Rates",SUMPRODUCT(BM170:BM269,$I291:$I390)*(1+#REF!),IF($D$26="Investment",SUMPRODUCT(BM170:BM269,#REF!)*(1+#REF!)))))," ")</f>
        <v xml:space="preserve"> </v>
      </c>
      <c r="BN278" s="906" t="str">
        <f>IF($D$30="Fixed Fee",IF($D$26="Select Margin Class"," ",IF($D$26="Standard Rates",SUMPRODUCT(BN170:BN269,$F291:$F390)*(1+#REF!),IF($D$26="Client Custom Rates",SUMPRODUCT(BN170:BN269,$I291:$I390)*(1+#REF!),IF($D$26="Investment",SUMPRODUCT(BN170:BN269,#REF!)*(1+#REF!)))))," ")</f>
        <v xml:space="preserve"> </v>
      </c>
    </row>
    <row r="279" spans="1:66" hidden="1" x14ac:dyDescent="0.25">
      <c r="D279" s="1211" t="s">
        <v>2270</v>
      </c>
    </row>
    <row r="280" spans="1:66" hidden="1" x14ac:dyDescent="0.25"/>
    <row r="282" spans="1:66" s="403" customFormat="1" ht="17.399999999999999" x14ac:dyDescent="0.25">
      <c r="A282" s="395"/>
      <c r="B282" s="395"/>
      <c r="C282" s="801" t="s">
        <v>2322</v>
      </c>
    </row>
    <row r="283" spans="1:66" x14ac:dyDescent="0.25">
      <c r="C283" s="1672" t="s">
        <v>3247</v>
      </c>
      <c r="D283" s="1672"/>
      <c r="E283" s="1672"/>
      <c r="F283" s="1672"/>
      <c r="G283" s="1672"/>
      <c r="H283" s="1673"/>
      <c r="I283" s="1672"/>
      <c r="J283" s="1672"/>
      <c r="K283" s="1672"/>
      <c r="L283" s="1672"/>
      <c r="M283" s="1672"/>
      <c r="N283" s="1672"/>
      <c r="O283" s="1469"/>
      <c r="P283" s="1469"/>
    </row>
    <row r="284" spans="1:66" x14ac:dyDescent="0.25">
      <c r="C284" s="1674" t="s">
        <v>2323</v>
      </c>
      <c r="D284" s="1674"/>
      <c r="E284" s="1674"/>
      <c r="F284" s="1674"/>
      <c r="G284" s="1674"/>
      <c r="H284" s="1674"/>
      <c r="I284" s="1674"/>
      <c r="J284" s="1674"/>
      <c r="K284" s="1674"/>
      <c r="L284" s="1674"/>
      <c r="M284" s="1674"/>
      <c r="N284" s="1674"/>
      <c r="O284" s="649"/>
      <c r="P284" s="649"/>
    </row>
    <row r="285" spans="1:66" x14ac:dyDescent="0.25">
      <c r="C285" s="1467" t="s">
        <v>3174</v>
      </c>
      <c r="D285" s="1466"/>
      <c r="E285" s="1466"/>
      <c r="F285" s="1466"/>
      <c r="G285" s="1466"/>
      <c r="H285" s="1466"/>
      <c r="I285" s="1466"/>
      <c r="J285" s="1466"/>
      <c r="K285" s="1466"/>
      <c r="L285" s="1466"/>
      <c r="M285" s="1466"/>
      <c r="N285" s="1466"/>
      <c r="O285" s="649"/>
      <c r="P285" s="649"/>
    </row>
    <row r="286" spans="1:66" x14ac:dyDescent="0.25">
      <c r="C286" s="1708" t="s">
        <v>3248</v>
      </c>
      <c r="D286" s="1708"/>
      <c r="E286" s="1708"/>
      <c r="F286" s="1708"/>
      <c r="G286" s="1708"/>
      <c r="H286" s="1708"/>
      <c r="I286" s="1708"/>
      <c r="J286" s="1708"/>
      <c r="K286" s="1708"/>
      <c r="L286" s="1708"/>
      <c r="M286" s="1708"/>
      <c r="N286" s="1708"/>
      <c r="O286" s="1708"/>
      <c r="P286" s="1708"/>
    </row>
    <row r="287" spans="1:66" ht="18" customHeight="1" x14ac:dyDescent="0.25">
      <c r="C287" s="1729" t="s">
        <v>3249</v>
      </c>
      <c r="D287" s="1729"/>
      <c r="E287" s="1729"/>
      <c r="F287" s="1729"/>
      <c r="G287" s="1729"/>
      <c r="H287" s="1729"/>
      <c r="I287" s="1729"/>
      <c r="J287" s="1729"/>
      <c r="K287" s="1729"/>
      <c r="L287" s="1729"/>
      <c r="M287" s="1729"/>
      <c r="N287" s="1729"/>
      <c r="O287" s="1729"/>
      <c r="P287" s="1729"/>
    </row>
    <row r="288" spans="1:66" ht="25.05" customHeight="1" x14ac:dyDescent="0.25">
      <c r="B288" s="555"/>
      <c r="C288" s="907" t="s">
        <v>189</v>
      </c>
      <c r="D288" s="1582">
        <f>IFERROR('3. Financial Inputs'!B52,"")</f>
        <v>0.55101827676240211</v>
      </c>
      <c r="E288" s="520"/>
      <c r="F288" s="521"/>
      <c r="G288" s="1211"/>
      <c r="H288" s="1211"/>
      <c r="J288" s="1211"/>
    </row>
    <row r="289" spans="2:16" ht="25.95" customHeight="1" x14ac:dyDescent="0.25">
      <c r="B289" s="555"/>
      <c r="C289" s="907" t="s">
        <v>2197</v>
      </c>
      <c r="D289" s="908">
        <f>SUM(D291:D390)</f>
        <v>766000</v>
      </c>
      <c r="E289" s="908"/>
      <c r="F289" s="908">
        <f>SUM(F291:F390)</f>
        <v>343920</v>
      </c>
      <c r="G289" s="398"/>
      <c r="H289" s="398"/>
      <c r="K289" s="714"/>
      <c r="M289" s="1349">
        <f>SUM(M291:M346)</f>
        <v>6940</v>
      </c>
    </row>
    <row r="290" spans="2:16" ht="45" customHeight="1" x14ac:dyDescent="0.25">
      <c r="C290" s="712" t="s">
        <v>237</v>
      </c>
      <c r="D290" s="1396" t="s">
        <v>3320</v>
      </c>
      <c r="E290" s="1397" t="s">
        <v>110</v>
      </c>
      <c r="F290" s="1397" t="s">
        <v>239</v>
      </c>
      <c r="G290" s="884"/>
      <c r="H290" s="884"/>
      <c r="I290" s="1397" t="s">
        <v>2168</v>
      </c>
      <c r="K290" s="800" t="s">
        <v>175</v>
      </c>
      <c r="L290" s="1398" t="s">
        <v>2324</v>
      </c>
      <c r="M290" s="800" t="s">
        <v>103</v>
      </c>
      <c r="N290" s="800" t="s">
        <v>2264</v>
      </c>
      <c r="P290" s="1577"/>
    </row>
    <row r="291" spans="2:16" ht="13.95" customHeight="1" x14ac:dyDescent="0.25">
      <c r="C291" s="1353" t="str">
        <f t="shared" ref="C291:C322" si="86">IF(K48="","",K48)</f>
        <v>Data Analyst</v>
      </c>
      <c r="D291" s="917">
        <f>IFERROR(IF($L291="Enter Override $",(IF($E$26="Select Type","Select Margin Class",IF($E$26="Standard Rates",I291*M291,IF($E$26="Client Custom Rates",K291*M291)))),L291*M291),"")</f>
        <v>192000</v>
      </c>
      <c r="E291" s="909"/>
      <c r="F291" s="909" cm="1">
        <f t="array" ref="F291">IFERROR(IF($E$20="Credera US",_xlfn.XLOOKUP($O48,'Rates &amp; Drop Downs INT'!F:F,'Rates &amp; Drop Downs INT'!G:G)*M291,IF($C48="TADNorthAmerica",SUMPRODUCT(('Rates &amp; Drop Downs INT'!$CG$6:$CG$708=$D48)*('Rates &amp; Drop Downs INT'!$CI$6:$CI$708=$F48)*('Rates &amp; Drop Downs INT'!$CK$6:$CK$708=$K48)*('Rates &amp; Drop Downs INT'!$CQ$6:$CQ$708))*M291,SUMPRODUCT(('Rates &amp; Drop Downs INT'!$CG$6:$CG$708=$D48)*('Rates &amp; Drop Downs INT'!$CI$6:$CI$708=$F48)*('Rates &amp; Drop Downs INT'!$CK$6:$CK$708=$K48)*('Rates &amp; Drop Downs INT'!$CT$6:$CT$708))*M291)),0)</f>
        <v>102000</v>
      </c>
      <c r="G291" s="910"/>
      <c r="H291" s="910"/>
      <c r="I291" s="909" cm="1">
        <f t="array" ref="I291">IF($E$20="Credera US",IF(L291&lt;&gt;"Enter Override $","",IF($E$26="Select Type","Select Margin Class",IFERROR(IF($O48="",0,IF($E$26="Client Custom Rates",0,IF($E$26="Standard Rates",_xlfn.XLOOKUP($O48,'Rates &amp; Drop Downs INT'!$F:$F,'Rates &amp; Drop Downs INT'!I:I)))),0))),IF($C48="TADNorthAmerica",SUMPRODUCT((TADIndia='2. Roles &amp; Pricing'!D48)*('Rates &amp; Drop Downs INT'!$CI$6:$CI$747='2. Roles &amp; Pricing'!F48)*('Rates &amp; Drop Downs INT'!$CK$6:$CK$747='2. Roles &amp; Pricing'!K48)*('Rates &amp; Drop Downs INT'!$CP$6:$CP$747)),SUMPRODUCT((TADIndia='2. Roles &amp; Pricing'!D48)*('Rates &amp; Drop Downs INT'!$CI$6:$CI$747='2. Roles &amp; Pricing'!F48)*('Rates &amp; Drop Downs INT'!$CK$6:$CK$747='2. Roles &amp; Pricing'!K48)*('Rates &amp; Drop Downs INT'!$CR$6:$CR$747))))</f>
        <v>160</v>
      </c>
      <c r="K291" s="909" cm="1">
        <f t="array" ref="K291">IF($E$20&lt;&gt;"Credera US",0,IF(L291&lt;&gt;"Enter Override $","",IFERROR(IF($D$26&lt;&gt;"Client Custom Rates",0,INDEX('Client Rate Cards'!E:E,MATCH(1,('Client Rate Cards'!B:B='2. Roles &amp; Pricing'!$D$27)*('Client Rate Cards'!D:D='2. Roles &amp; Pricing'!T48),0))),0)))</f>
        <v>0</v>
      </c>
      <c r="L291" s="1351" t="s">
        <v>3688</v>
      </c>
      <c r="M291" s="911">
        <f t="shared" ref="M291:M322" si="87">IF(SUM(E170:BM170)=0,"",SUM(E170:BM170))</f>
        <v>1200</v>
      </c>
      <c r="N291" s="912">
        <f t="shared" ref="N291:N322" si="88">IF(COUNTIF($D170:$BC170,"&gt;0")=0,"",COUNTIF($D170:$BC170,"&gt;0"))</f>
        <v>30</v>
      </c>
      <c r="O291" s="803"/>
      <c r="P291" s="803"/>
    </row>
    <row r="292" spans="2:16" ht="13.95" customHeight="1" x14ac:dyDescent="0.25">
      <c r="C292" s="1352" t="str">
        <f t="shared" si="86"/>
        <v>Data Analyst</v>
      </c>
      <c r="D292" s="918">
        <f>IFERROR(IF($L292="",(IF($E$26="Select Type","Select Margin Class",IF($E$26="Standard Rates",I292*M292,IF($E$26="Client Custom Rates",K292*M292)))),L292*M292),"")</f>
        <v>48400</v>
      </c>
      <c r="E292" s="885"/>
      <c r="F292" s="885" cm="1">
        <f t="array" ref="F292">IFERROR(IF($E$20="Credera US",_xlfn.XLOOKUP($O49,'Rates &amp; Drop Downs INT'!F:F,'Rates &amp; Drop Downs INT'!G:G)*M292,IF($C49="TADNorthAmerica",SUMPRODUCT(('Rates &amp; Drop Downs INT'!$CG$6:$CG$708=$D49)*('Rates &amp; Drop Downs INT'!$CI$6:$CI$708=$F49)*('Rates &amp; Drop Downs INT'!$CK$6:$CK$708=$K49)*('Rates &amp; Drop Downs INT'!$CQ$6:$CQ$708))*M292,SUMPRODUCT(('Rates &amp; Drop Downs INT'!$CG$6:$CG$708=$D49)*('Rates &amp; Drop Downs INT'!$CI$6:$CI$708=$F49)*('Rates &amp; Drop Downs INT'!$CK$6:$CK$708=$K49)*('Rates &amp; Drop Downs INT'!$CT$6:$CT$708))*M292)),0)</f>
        <v>15840</v>
      </c>
      <c r="G292" s="885" t="str">
        <f>IF(M292&lt;&gt;"","",IF($E$26="Select Type","Select Margin Class",IFERROR(IF($O49="",0,IF($E$26="Client Custom Rates",0,IF($E$26="Standard Rates",_xlfn.XLOOKUP($O49,'Rates &amp; Drop Downs INT'!$F:$F,'Rates &amp; Drop Downs INT'!J:J)))),0)))</f>
        <v/>
      </c>
      <c r="H292" s="885"/>
      <c r="I292" s="885" cm="1">
        <f t="array" ref="I292">IF($E$20="TA Digital",IF($C49="TADNorthAmerica",SUMPRODUCT((TADIndia='2. Roles &amp; Pricing'!D49)*('Rates &amp; Drop Downs INT'!$CI$6:$CI$747='2. Roles &amp; Pricing'!F49)*('Rates &amp; Drop Downs INT'!$CK$6:$CK$747='2. Roles &amp; Pricing'!K49)*('Rates &amp; Drop Downs INT'!$CP$6:$CP$747)),SUMPRODUCT((TADIndia='2. Roles &amp; Pricing'!D49)*('Rates &amp; Drop Downs INT'!$CI$6:$CI$747='2. Roles &amp; Pricing'!F49)*('Rates &amp; Drop Downs INT'!$CK$6:$CK$747='2. Roles &amp; Pricing'!K49)*('Rates &amp; Drop Downs INT'!$CR$6:$CR$747))),IF(L292&lt;&gt;"","",IF($E$26="Select Type","Select Margin Class",IFERROR(IF($O49="",0,IF($E$26="Client Custom Rates",0,IF($E$26="Standard Rates",_xlfn.XLOOKUP($O49,'Rates &amp; Drop Downs INT'!$F:$F,'Rates &amp; Drop Downs INT'!I:I)))),0))))</f>
        <v>55</v>
      </c>
      <c r="K292" s="885" cm="1">
        <f t="array" ref="K292">IF($E$20&lt;&gt;"Credera US",0,IF(L292&lt;&gt;"","",IFERROR(IF($D$26&lt;&gt;"Client Custom Rates",0,INDEX('Client Rate Cards'!E:E,MATCH(1,('Client Rate Cards'!B:B='2. Roles &amp; Pricing'!$D$27)*('Client Rate Cards'!D:D='2. Roles &amp; Pricing'!T49),0))),0)))</f>
        <v>0</v>
      </c>
      <c r="L292" s="1350"/>
      <c r="M292" s="887">
        <f t="shared" si="87"/>
        <v>880</v>
      </c>
      <c r="N292" s="913">
        <f t="shared" si="88"/>
        <v>22</v>
      </c>
    </row>
    <row r="293" spans="2:16" ht="13.95" customHeight="1" x14ac:dyDescent="0.25">
      <c r="C293" s="1352" t="str">
        <f t="shared" si="86"/>
        <v>UX Designer</v>
      </c>
      <c r="D293" s="918">
        <f t="shared" ref="D293:D356" si="89">IFERROR(IF($L293="",(IF($E$26="Select Type","Select Margin Class",IF($E$26="Standard Rates",I293*M293,IF($E$26="Client Custom Rates",K293*M293)))),L293*M293),"")</f>
        <v>204000</v>
      </c>
      <c r="E293" s="885"/>
      <c r="F293" s="885" cm="1">
        <f t="array" ref="F293">IFERROR(IF($E$20="Credera US",_xlfn.XLOOKUP($O50,'Rates &amp; Drop Downs INT'!F:F,'Rates &amp; Drop Downs INT'!G:G)*M293,IF($C50="TADNorthAmerica",SUMPRODUCT(('Rates &amp; Drop Downs INT'!$CG$6:$CG$708=$D50)*('Rates &amp; Drop Downs INT'!$CI$6:$CI$708=$F50)*('Rates &amp; Drop Downs INT'!$CK$6:$CK$708=$K50)*('Rates &amp; Drop Downs INT'!$CQ$6:$CQ$708))*M293,SUMPRODUCT(('Rates &amp; Drop Downs INT'!$CG$6:$CG$708=$D50)*('Rates &amp; Drop Downs INT'!$CI$6:$CI$708=$F50)*('Rates &amp; Drop Downs INT'!$CK$6:$CK$708=$K50)*('Rates &amp; Drop Downs INT'!$CT$6:$CT$708))*M293)),0)</f>
        <v>84000</v>
      </c>
      <c r="G293" s="886"/>
      <c r="H293" s="886"/>
      <c r="I293" s="885" cm="1">
        <f t="array" ref="I293">IF($E$20="TA Digital",IF($C50="TADNorthAmerica",SUMPRODUCT((TADIndia='2. Roles &amp; Pricing'!D50)*('Rates &amp; Drop Downs INT'!$CI$6:$CI$747='2. Roles &amp; Pricing'!F50)*('Rates &amp; Drop Downs INT'!$CK$6:$CK$747='2. Roles &amp; Pricing'!K50)*('Rates &amp; Drop Downs INT'!$CP$6:$CP$747)),SUMPRODUCT((TADIndia='2. Roles &amp; Pricing'!D50)*('Rates &amp; Drop Downs INT'!$CI$6:$CI$747='2. Roles &amp; Pricing'!F50)*('Rates &amp; Drop Downs INT'!$CK$6:$CK$747='2. Roles &amp; Pricing'!K50)*('Rates &amp; Drop Downs INT'!$CR$6:$CR$747))),IF(L293&lt;&gt;"","",IF($E$26="Select Type","Select Margin Class",IFERROR(IF($O50="",0,IF($E$26="Client Custom Rates",0,IF($E$26="Standard Rates",_xlfn.XLOOKUP($O50,'Rates &amp; Drop Downs INT'!$F:$F,'Rates &amp; Drop Downs INT'!I:I)))),0))))</f>
        <v>170</v>
      </c>
      <c r="K293" s="885" cm="1">
        <f t="array" ref="K293">IF($E$20&lt;&gt;"Credera US",0,IF(L293&lt;&gt;"","",IFERROR(IF($D$26&lt;&gt;"Client Custom Rates",0,INDEX('Client Rate Cards'!E:E,MATCH(1,('Client Rate Cards'!B:B='2. Roles &amp; Pricing'!$D$27)*('Client Rate Cards'!D:D='2. Roles &amp; Pricing'!T50),0))),0)))</f>
        <v>0</v>
      </c>
      <c r="L293" s="1350"/>
      <c r="M293" s="887">
        <f t="shared" si="87"/>
        <v>1200</v>
      </c>
      <c r="N293" s="913">
        <f t="shared" si="88"/>
        <v>30</v>
      </c>
    </row>
    <row r="294" spans="2:16" ht="13.95" customHeight="1" x14ac:dyDescent="0.25">
      <c r="C294" s="1352" t="str">
        <f t="shared" si="86"/>
        <v>UX Designer</v>
      </c>
      <c r="D294" s="918">
        <f t="shared" si="89"/>
        <v>66000</v>
      </c>
      <c r="E294" s="885"/>
      <c r="F294" s="885" cm="1">
        <f t="array" ref="F294">IFERROR(IF($E$20="Credera US",_xlfn.XLOOKUP($O51,'Rates &amp; Drop Downs INT'!F:F,'Rates &amp; Drop Downs INT'!G:G)*M294,IF($C51="TADNorthAmerica",SUMPRODUCT(('Rates &amp; Drop Downs INT'!$CG$6:$CG$708=$D51)*('Rates &amp; Drop Downs INT'!$CI$6:$CI$708=$F51)*('Rates &amp; Drop Downs INT'!$CK$6:$CK$708=$K51)*('Rates &amp; Drop Downs INT'!$CQ$6:$CQ$708))*M294,SUMPRODUCT(('Rates &amp; Drop Downs INT'!$CG$6:$CG$708=$D51)*('Rates &amp; Drop Downs INT'!$CI$6:$CI$708=$F51)*('Rates &amp; Drop Downs INT'!$CK$6:$CK$708=$K51)*('Rates &amp; Drop Downs INT'!$CT$6:$CT$708))*M294)),0)</f>
        <v>21600</v>
      </c>
      <c r="G294" s="886"/>
      <c r="H294" s="886"/>
      <c r="I294" s="885" cm="1">
        <f t="array" ref="I294">IF($E$20="TA Digital",IF($C51="TADNorthAmerica",SUMPRODUCT((TADIndia='2. Roles &amp; Pricing'!D51)*('Rates &amp; Drop Downs INT'!$CI$6:$CI$747='2. Roles &amp; Pricing'!F51)*('Rates &amp; Drop Downs INT'!$CK$6:$CK$747='2. Roles &amp; Pricing'!K51)*('Rates &amp; Drop Downs INT'!$CP$6:$CP$747)),SUMPRODUCT((TADIndia='2. Roles &amp; Pricing'!D51)*('Rates &amp; Drop Downs INT'!$CI$6:$CI$747='2. Roles &amp; Pricing'!F51)*('Rates &amp; Drop Downs INT'!$CK$6:$CK$747='2. Roles &amp; Pricing'!K51)*('Rates &amp; Drop Downs INT'!$CR$6:$CR$747))),IF(L294&lt;&gt;"","",IF($E$26="Select Type","Select Margin Class",IFERROR(IF($O51="",0,IF($E$26="Client Custom Rates",0,IF($E$26="Standard Rates",_xlfn.XLOOKUP($O51,'Rates &amp; Drop Downs INT'!$F:$F,'Rates &amp; Drop Downs INT'!I:I)))),0))))</f>
        <v>55</v>
      </c>
      <c r="K294" s="885" cm="1">
        <f t="array" ref="K294">IF($E$20&lt;&gt;"Credera US",0,IF(L294&lt;&gt;"","",IFERROR(IF($D$26&lt;&gt;"Client Custom Rates",0,INDEX('Client Rate Cards'!E:E,MATCH(1,('Client Rate Cards'!B:B='2. Roles &amp; Pricing'!$D$27)*('Client Rate Cards'!D:D='2. Roles &amp; Pricing'!T51),0))),0)))</f>
        <v>0</v>
      </c>
      <c r="L294" s="1350"/>
      <c r="M294" s="887">
        <f t="shared" si="87"/>
        <v>1200</v>
      </c>
      <c r="N294" s="913">
        <f t="shared" si="88"/>
        <v>30</v>
      </c>
    </row>
    <row r="295" spans="2:16" ht="13.95" customHeight="1" x14ac:dyDescent="0.25">
      <c r="C295" s="1352" t="str">
        <f t="shared" si="86"/>
        <v>Technical Lead</v>
      </c>
      <c r="D295" s="918">
        <f t="shared" si="89"/>
        <v>222000</v>
      </c>
      <c r="E295" s="885"/>
      <c r="F295" s="885" cm="1">
        <f t="array" ref="F295">IFERROR(IF($E$20="Credera US",_xlfn.XLOOKUP($O52,'Rates &amp; Drop Downs INT'!F:F,'Rates &amp; Drop Downs INT'!G:G)*M295,IF($C52="TADNorthAmerica",SUMPRODUCT(('Rates &amp; Drop Downs INT'!$CG$6:$CG$708=$D52)*('Rates &amp; Drop Downs INT'!$CI$6:$CI$708=$F52)*('Rates &amp; Drop Downs INT'!$CK$6:$CK$708=$K52)*('Rates &amp; Drop Downs INT'!$CQ$6:$CQ$708))*M295,SUMPRODUCT(('Rates &amp; Drop Downs INT'!$CG$6:$CG$708=$D52)*('Rates &amp; Drop Downs INT'!$CI$6:$CI$708=$F52)*('Rates &amp; Drop Downs INT'!$CK$6:$CK$708=$K52)*('Rates &amp; Drop Downs INT'!$CT$6:$CT$708))*M295)),0)</f>
        <v>108000</v>
      </c>
      <c r="G295" s="886"/>
      <c r="H295" s="886"/>
      <c r="I295" s="885" cm="1">
        <f t="array" ref="I295">IF($E$20="TA Digital",IF($C52="TADNorthAmerica",SUMPRODUCT((TADIndia='2. Roles &amp; Pricing'!D52)*('Rates &amp; Drop Downs INT'!$CI$6:$CI$747='2. Roles &amp; Pricing'!F52)*('Rates &amp; Drop Downs INT'!$CK$6:$CK$747='2. Roles &amp; Pricing'!K52)*('Rates &amp; Drop Downs INT'!$CP$6:$CP$747)),SUMPRODUCT((TADIndia='2. Roles &amp; Pricing'!D52)*('Rates &amp; Drop Downs INT'!$CI$6:$CI$747='2. Roles &amp; Pricing'!F52)*('Rates &amp; Drop Downs INT'!$CK$6:$CK$747='2. Roles &amp; Pricing'!K52)*('Rates &amp; Drop Downs INT'!$CR$6:$CR$747))),IF(L295&lt;&gt;"","",IF($E$26="Select Type","Select Margin Class",IFERROR(IF($O52="",0,IF($E$26="Client Custom Rates",0,IF($E$26="Standard Rates",_xlfn.XLOOKUP($O52,'Rates &amp; Drop Downs INT'!$F:$F,'Rates &amp; Drop Downs INT'!I:I)))),0))))</f>
        <v>185</v>
      </c>
      <c r="K295" s="885" cm="1">
        <f t="array" ref="K295">IF($E$20&lt;&gt;"Credera US",0,IF(L295&lt;&gt;"","",IFERROR(IF($D$26&lt;&gt;"Client Custom Rates",0,INDEX('Client Rate Cards'!E:E,MATCH(1,('Client Rate Cards'!B:B='2. Roles &amp; Pricing'!$D$27)*('Client Rate Cards'!D:D='2. Roles &amp; Pricing'!T52),0))),0)))</f>
        <v>0</v>
      </c>
      <c r="L295" s="1350"/>
      <c r="M295" s="887">
        <f>IF(SUM(E174:BM174)=0,"",SUM(E174:BM174))</f>
        <v>1200</v>
      </c>
      <c r="N295" s="913">
        <f t="shared" si="88"/>
        <v>30</v>
      </c>
    </row>
    <row r="296" spans="2:16" ht="13.95" customHeight="1" x14ac:dyDescent="0.25">
      <c r="C296" s="1352" t="str">
        <f t="shared" si="86"/>
        <v>Associate DevOps Engineer</v>
      </c>
      <c r="D296" s="918">
        <f t="shared" si="89"/>
        <v>33600</v>
      </c>
      <c r="E296" s="885"/>
      <c r="F296" s="885" cm="1">
        <f t="array" ref="F296">IFERROR(IF($E$20="Credera US",_xlfn.XLOOKUP($O53,'Rates &amp; Drop Downs INT'!F:F,'Rates &amp; Drop Downs INT'!G:G)*M296,IF($C53="TADNorthAmerica",SUMPRODUCT(('Rates &amp; Drop Downs INT'!$CG$6:$CG$708=$D53)*('Rates &amp; Drop Downs INT'!$CI$6:$CI$708=$F53)*('Rates &amp; Drop Downs INT'!$CK$6:$CK$708=$K53)*('Rates &amp; Drop Downs INT'!$CQ$6:$CQ$708))*M296,SUMPRODUCT(('Rates &amp; Drop Downs INT'!$CG$6:$CG$708=$D53)*('Rates &amp; Drop Downs INT'!$CI$6:$CI$708=$F53)*('Rates &amp; Drop Downs INT'!$CK$6:$CK$708=$K53)*('Rates &amp; Drop Downs INT'!$CT$6:$CT$708))*M296)),0)</f>
        <v>12480</v>
      </c>
      <c r="G296" s="886"/>
      <c r="H296" s="886"/>
      <c r="I296" s="885" cm="1">
        <f t="array" ref="I296">IF($E$20="TA Digital",IF($C53="TADNorthAmerica",SUMPRODUCT((TADIndia='2. Roles &amp; Pricing'!D53)*('Rates &amp; Drop Downs INT'!$CI$6:$CI$747='2. Roles &amp; Pricing'!F53)*('Rates &amp; Drop Downs INT'!$CK$6:$CK$747='2. Roles &amp; Pricing'!K53)*('Rates &amp; Drop Downs INT'!$CP$6:$CP$747)),SUMPRODUCT((TADIndia='2. Roles &amp; Pricing'!D53)*('Rates &amp; Drop Downs INT'!$CI$6:$CI$747='2. Roles &amp; Pricing'!F53)*('Rates &amp; Drop Downs INT'!$CK$6:$CK$747='2. Roles &amp; Pricing'!K53)*('Rates &amp; Drop Downs INT'!$CR$6:$CR$747))),IF(L296&lt;&gt;"","",IF($E$26="Select Type","Select Margin Class",IFERROR(IF($O53="",0,IF($E$26="Client Custom Rates",0,IF($E$26="Standard Rates",_xlfn.XLOOKUP($O53,'Rates &amp; Drop Downs INT'!$F:$F,'Rates &amp; Drop Downs INT'!I:I)))),0))))</f>
        <v>35</v>
      </c>
      <c r="K296" s="885" cm="1">
        <f t="array" ref="K296">IF($E$20&lt;&gt;"Credera US",0,IF(L296&lt;&gt;"","",IFERROR(IF($D$26&lt;&gt;"Client Custom Rates",0,INDEX('Client Rate Cards'!E:E,MATCH(1,('Client Rate Cards'!B:B='2. Roles &amp; Pricing'!$D$27)*('Client Rate Cards'!D:D='2. Roles &amp; Pricing'!T53),0))),0)))</f>
        <v>0</v>
      </c>
      <c r="L296" s="1350"/>
      <c r="M296" s="887">
        <f t="shared" si="87"/>
        <v>960</v>
      </c>
      <c r="N296" s="913">
        <f t="shared" si="88"/>
        <v>30</v>
      </c>
    </row>
    <row r="297" spans="2:16" ht="13.95" customHeight="1" x14ac:dyDescent="0.25">
      <c r="C297" s="1352" t="str">
        <f t="shared" si="86"/>
        <v/>
      </c>
      <c r="D297" s="918">
        <f t="shared" si="89"/>
        <v>0</v>
      </c>
      <c r="E297" s="885"/>
      <c r="F297" s="885" cm="1">
        <f t="array" ref="F297">IFERROR(IF($E$20="Credera US",_xlfn.XLOOKUP($O54,'Rates &amp; Drop Downs INT'!F:F,'Rates &amp; Drop Downs INT'!G:G)*M297,IF($C54="TADNorthAmerica",SUMPRODUCT(('Rates &amp; Drop Downs INT'!$CG$6:$CG$708=$D54)*('Rates &amp; Drop Downs INT'!$CI$6:$CI$708=$F54)*('Rates &amp; Drop Downs INT'!$CK$6:$CK$708=$K54)*('Rates &amp; Drop Downs INT'!$CQ$6:$CQ$708))*M297,SUMPRODUCT(('Rates &amp; Drop Downs INT'!$CG$6:$CG$708=$D54)*('Rates &amp; Drop Downs INT'!$CI$6:$CI$708=$F54)*('Rates &amp; Drop Downs INT'!$CK$6:$CK$708=$K54)*('Rates &amp; Drop Downs INT'!$CT$6:$CT$708))*M297)),0)</f>
        <v>0</v>
      </c>
      <c r="G297" s="886"/>
      <c r="H297" s="886"/>
      <c r="I297" s="885" cm="1">
        <f t="array" ref="I297">IF($E$20="TA Digital",IF($C54="TADNorthAmerica",SUMPRODUCT((TADIndia='2. Roles &amp; Pricing'!D54)*('Rates &amp; Drop Downs INT'!$CI$6:$CI$747='2. Roles &amp; Pricing'!F54)*('Rates &amp; Drop Downs INT'!$CK$6:$CK$747='2. Roles &amp; Pricing'!K54)*('Rates &amp; Drop Downs INT'!$CP$6:$CP$747)),SUMPRODUCT((TADIndia='2. Roles &amp; Pricing'!D54)*('Rates &amp; Drop Downs INT'!$CI$6:$CI$747='2. Roles &amp; Pricing'!F54)*('Rates &amp; Drop Downs INT'!$CK$6:$CK$747='2. Roles &amp; Pricing'!K54)*('Rates &amp; Drop Downs INT'!$CR$6:$CR$747))),IF(L297&lt;&gt;"","",IF($E$26="Select Type","Select Margin Class",IFERROR(IF($O54="",0,IF($E$26="Client Custom Rates",0,IF($E$26="Standard Rates",_xlfn.XLOOKUP($O54,'Rates &amp; Drop Downs INT'!$F:$F,'Rates &amp; Drop Downs INT'!I:I)))),0))))</f>
        <v>0</v>
      </c>
      <c r="K297" s="885" cm="1">
        <f t="array" ref="K297">IF($E$20&lt;&gt;"Credera US",0,IF(L297&lt;&gt;"","",IFERROR(IF($D$26&lt;&gt;"Client Custom Rates",0,INDEX('Client Rate Cards'!E:E,MATCH(1,('Client Rate Cards'!B:B='2. Roles &amp; Pricing'!$D$27)*('Client Rate Cards'!D:D='2. Roles &amp; Pricing'!T54),0))),0)))</f>
        <v>0</v>
      </c>
      <c r="L297" s="1350"/>
      <c r="M297" s="887">
        <f t="shared" si="87"/>
        <v>300</v>
      </c>
      <c r="N297" s="913">
        <f t="shared" si="88"/>
        <v>30</v>
      </c>
    </row>
    <row r="298" spans="2:16" ht="13.95" customHeight="1" x14ac:dyDescent="0.25">
      <c r="C298" s="1352" t="str">
        <f t="shared" si="86"/>
        <v/>
      </c>
      <c r="D298" s="918" t="str">
        <f t="shared" si="89"/>
        <v/>
      </c>
      <c r="E298" s="885"/>
      <c r="F298" s="885" cm="1">
        <f t="array" ref="F298">IFERROR(IF($E$20="Credera US",_xlfn.XLOOKUP($O55,'Rates &amp; Drop Downs INT'!F:F,'Rates &amp; Drop Downs INT'!G:G)*M298,IF($C55="TADNorthAmerica",SUMPRODUCT(('Rates &amp; Drop Downs INT'!$CG$6:$CG$708=$D55)*('Rates &amp; Drop Downs INT'!$CI$6:$CI$708=$F55)*('Rates &amp; Drop Downs INT'!$CK$6:$CK$708=$K55)*('Rates &amp; Drop Downs INT'!$CQ$6:$CQ$708))*M298,SUMPRODUCT(('Rates &amp; Drop Downs INT'!$CG$6:$CG$708=$D55)*('Rates &amp; Drop Downs INT'!$CI$6:$CI$708=$F55)*('Rates &amp; Drop Downs INT'!$CK$6:$CK$708=$K55)*('Rates &amp; Drop Downs INT'!$CT$6:$CT$708))*M298)),0)</f>
        <v>0</v>
      </c>
      <c r="G298" s="886"/>
      <c r="H298" s="886"/>
      <c r="I298" s="885" cm="1">
        <f t="array" ref="I298">IF($E$20="TA Digital",IF($C55="TADNorthAmerica",SUMPRODUCT((TADIndia='2. Roles &amp; Pricing'!D55)*('Rates &amp; Drop Downs INT'!$CI$6:$CI$747='2. Roles &amp; Pricing'!F55)*('Rates &amp; Drop Downs INT'!$CK$6:$CK$747='2. Roles &amp; Pricing'!K55)*('Rates &amp; Drop Downs INT'!$CP$6:$CP$747)),SUMPRODUCT((TADIndia='2. Roles &amp; Pricing'!D55)*('Rates &amp; Drop Downs INT'!$CI$6:$CI$747='2. Roles &amp; Pricing'!F55)*('Rates &amp; Drop Downs INT'!$CK$6:$CK$747='2. Roles &amp; Pricing'!K55)*('Rates &amp; Drop Downs INT'!$CR$6:$CR$747))),IF(L298&lt;&gt;"","",IF($E$26="Select Type","Select Margin Class",IFERROR(IF($O55="",0,IF($E$26="Client Custom Rates",0,IF($E$26="Standard Rates",_xlfn.XLOOKUP($O55,'Rates &amp; Drop Downs INT'!$F:$F,'Rates &amp; Drop Downs INT'!I:I)))),0))))</f>
        <v>0</v>
      </c>
      <c r="K298" s="885" cm="1">
        <f t="array" ref="K298">IF($E$20&lt;&gt;"Credera US",0,IF(L298&lt;&gt;"","",IFERROR(IF($D$26&lt;&gt;"Client Custom Rates",0,INDEX('Client Rate Cards'!E:E,MATCH(1,('Client Rate Cards'!B:B='2. Roles &amp; Pricing'!$D$27)*('Client Rate Cards'!D:D='2. Roles &amp; Pricing'!T55),0))),0)))</f>
        <v>0</v>
      </c>
      <c r="L298" s="1350"/>
      <c r="M298" s="887" t="str">
        <f t="shared" si="87"/>
        <v/>
      </c>
      <c r="N298" s="913" t="str">
        <f t="shared" si="88"/>
        <v/>
      </c>
    </row>
    <row r="299" spans="2:16" ht="13.95" customHeight="1" x14ac:dyDescent="0.25">
      <c r="C299" s="1352" t="str">
        <f t="shared" si="86"/>
        <v/>
      </c>
      <c r="D299" s="918" t="str">
        <f t="shared" si="89"/>
        <v/>
      </c>
      <c r="E299" s="885"/>
      <c r="F299" s="885" cm="1">
        <f t="array" ref="F299">IFERROR(IF($E$20="Credera US",_xlfn.XLOOKUP($O56,'Rates &amp; Drop Downs INT'!F:F,'Rates &amp; Drop Downs INT'!G:G)*M299,IF($C56="TADNorthAmerica",SUMPRODUCT(('Rates &amp; Drop Downs INT'!$CG$6:$CG$708=$D56)*('Rates &amp; Drop Downs INT'!$CI$6:$CI$708=$F56)*('Rates &amp; Drop Downs INT'!$CK$6:$CK$708=$K56)*('Rates &amp; Drop Downs INT'!$CQ$6:$CQ$708))*M299,SUMPRODUCT(('Rates &amp; Drop Downs INT'!$CG$6:$CG$708=$D56)*('Rates &amp; Drop Downs INT'!$CI$6:$CI$708=$F56)*('Rates &amp; Drop Downs INT'!$CK$6:$CK$708=$K56)*('Rates &amp; Drop Downs INT'!$CT$6:$CT$708))*M299)),0)</f>
        <v>0</v>
      </c>
      <c r="G299" s="886"/>
      <c r="H299" s="886"/>
      <c r="I299" s="885" cm="1">
        <f t="array" ref="I299">IF($E$20="TA Digital",IF($C56="TADNorthAmerica",SUMPRODUCT((TADIndia='2. Roles &amp; Pricing'!D56)*('Rates &amp; Drop Downs INT'!$CI$6:$CI$747='2. Roles &amp; Pricing'!F56)*('Rates &amp; Drop Downs INT'!$CK$6:$CK$747='2. Roles &amp; Pricing'!K56)*('Rates &amp; Drop Downs INT'!$CP$6:$CP$747)),SUMPRODUCT((TADIndia='2. Roles &amp; Pricing'!D56)*('Rates &amp; Drop Downs INT'!$CI$6:$CI$747='2. Roles &amp; Pricing'!F56)*('Rates &amp; Drop Downs INT'!$CK$6:$CK$747='2. Roles &amp; Pricing'!K56)*('Rates &amp; Drop Downs INT'!$CR$6:$CR$747))),IF(L299&lt;&gt;"","",IF($E$26="Select Type","Select Margin Class",IFERROR(IF($O56="",0,IF($E$26="Client Custom Rates",0,IF($E$26="Standard Rates",_xlfn.XLOOKUP($O56,'Rates &amp; Drop Downs INT'!$F:$F,'Rates &amp; Drop Downs INT'!I:I)))),0))))</f>
        <v>0</v>
      </c>
      <c r="K299" s="885" cm="1">
        <f t="array" ref="K299">IF($E$20&lt;&gt;"Credera US",0,IF(L299&lt;&gt;"","",IFERROR(IF($D$26&lt;&gt;"Client Custom Rates",0,INDEX('Client Rate Cards'!E:E,MATCH(1,('Client Rate Cards'!B:B='2. Roles &amp; Pricing'!$D$27)*('Client Rate Cards'!D:D='2. Roles &amp; Pricing'!T56),0))),0)))</f>
        <v>0</v>
      </c>
      <c r="L299" s="1350"/>
      <c r="M299" s="887" t="str">
        <f t="shared" si="87"/>
        <v/>
      </c>
      <c r="N299" s="913" t="str">
        <f t="shared" si="88"/>
        <v/>
      </c>
    </row>
    <row r="300" spans="2:16" ht="13.95" customHeight="1" x14ac:dyDescent="0.25">
      <c r="C300" s="1352" t="str">
        <f t="shared" si="86"/>
        <v/>
      </c>
      <c r="D300" s="918" t="str">
        <f t="shared" si="89"/>
        <v/>
      </c>
      <c r="E300" s="885"/>
      <c r="F300" s="885" cm="1">
        <f t="array" ref="F300">IFERROR(IF($E$20="Credera US",_xlfn.XLOOKUP($O57,'Rates &amp; Drop Downs INT'!F:F,'Rates &amp; Drop Downs INT'!G:G)*M300,IF($C57="TADNorthAmerica",SUMPRODUCT(('Rates &amp; Drop Downs INT'!$CG$6:$CG$708=$D57)*('Rates &amp; Drop Downs INT'!$CI$6:$CI$708=$F57)*('Rates &amp; Drop Downs INT'!$CK$6:$CK$708=$K57)*('Rates &amp; Drop Downs INT'!$CQ$6:$CQ$708))*M300,SUMPRODUCT(('Rates &amp; Drop Downs INT'!$CG$6:$CG$708=$D57)*('Rates &amp; Drop Downs INT'!$CI$6:$CI$708=$F57)*('Rates &amp; Drop Downs INT'!$CK$6:$CK$708=$K57)*('Rates &amp; Drop Downs INT'!$CT$6:$CT$708))*M300)),0)</f>
        <v>0</v>
      </c>
      <c r="G300" s="886"/>
      <c r="H300" s="886"/>
      <c r="I300" s="885" cm="1">
        <f t="array" ref="I300">IF($E$20="TA Digital",IF($C57="TADNorthAmerica",SUMPRODUCT((TADIndia='2. Roles &amp; Pricing'!D57)*('Rates &amp; Drop Downs INT'!$CI$6:$CI$747='2. Roles &amp; Pricing'!F57)*('Rates &amp; Drop Downs INT'!$CK$6:$CK$747='2. Roles &amp; Pricing'!K57)*('Rates &amp; Drop Downs INT'!$CP$6:$CP$747)),SUMPRODUCT((TADIndia='2. Roles &amp; Pricing'!D57)*('Rates &amp; Drop Downs INT'!$CI$6:$CI$747='2. Roles &amp; Pricing'!F57)*('Rates &amp; Drop Downs INT'!$CK$6:$CK$747='2. Roles &amp; Pricing'!K57)*('Rates &amp; Drop Downs INT'!$CR$6:$CR$747))),IF(L300&lt;&gt;"","",IF($E$26="Select Type","Select Margin Class",IFERROR(IF($O57="",0,IF($E$26="Client Custom Rates",0,IF($E$26="Standard Rates",_xlfn.XLOOKUP($O57,'Rates &amp; Drop Downs INT'!$F:$F,'Rates &amp; Drop Downs INT'!I:I)))),0))))</f>
        <v>0</v>
      </c>
      <c r="K300" s="885" cm="1">
        <f t="array" ref="K300">IF($E$20&lt;&gt;"Credera US",0,IF(L300&lt;&gt;"","",IFERROR(IF($D$26&lt;&gt;"Client Custom Rates",0,INDEX('Client Rate Cards'!E:E,MATCH(1,('Client Rate Cards'!B:B='2. Roles &amp; Pricing'!$D$27)*('Client Rate Cards'!D:D='2. Roles &amp; Pricing'!T57),0))),0)))</f>
        <v>0</v>
      </c>
      <c r="L300" s="1350"/>
      <c r="M300" s="887" t="str">
        <f t="shared" si="87"/>
        <v/>
      </c>
      <c r="N300" s="913" t="str">
        <f t="shared" si="88"/>
        <v/>
      </c>
    </row>
    <row r="301" spans="2:16" ht="13.95" customHeight="1" x14ac:dyDescent="0.25">
      <c r="C301" s="1352" t="str">
        <f t="shared" si="86"/>
        <v/>
      </c>
      <c r="D301" s="918" t="str">
        <f t="shared" si="89"/>
        <v/>
      </c>
      <c r="E301" s="885"/>
      <c r="F301" s="885" cm="1">
        <f t="array" ref="F301">IFERROR(IF($E$20="Credera US",_xlfn.XLOOKUP($O58,'Rates &amp; Drop Downs INT'!F:F,'Rates &amp; Drop Downs INT'!G:G)*M301,IF($C58="TADNorthAmerica",SUMPRODUCT(('Rates &amp; Drop Downs INT'!$CG$6:$CG$708=$D58)*('Rates &amp; Drop Downs INT'!$CI$6:$CI$708=$F58)*('Rates &amp; Drop Downs INT'!$CK$6:$CK$708=$K58)*('Rates &amp; Drop Downs INT'!$CQ$6:$CQ$708))*M301,SUMPRODUCT(('Rates &amp; Drop Downs INT'!$CG$6:$CG$708=$D58)*('Rates &amp; Drop Downs INT'!$CI$6:$CI$708=$F58)*('Rates &amp; Drop Downs INT'!$CK$6:$CK$708=$K58)*('Rates &amp; Drop Downs INT'!$CT$6:$CT$708))*M301)),0)</f>
        <v>0</v>
      </c>
      <c r="G301" s="886"/>
      <c r="H301" s="886"/>
      <c r="I301" s="885" cm="1">
        <f t="array" ref="I301">IF($E$20="TA Digital",IF($C58="TADNorthAmerica",SUMPRODUCT((TADIndia='2. Roles &amp; Pricing'!D58)*('Rates &amp; Drop Downs INT'!$CI$6:$CI$747='2. Roles &amp; Pricing'!F58)*('Rates &amp; Drop Downs INT'!$CK$6:$CK$747='2. Roles &amp; Pricing'!K58)*('Rates &amp; Drop Downs INT'!$CP$6:$CP$747)),SUMPRODUCT((TADIndia='2. Roles &amp; Pricing'!D58)*('Rates &amp; Drop Downs INT'!$CI$6:$CI$747='2. Roles &amp; Pricing'!F58)*('Rates &amp; Drop Downs INT'!$CK$6:$CK$747='2. Roles &amp; Pricing'!K58)*('Rates &amp; Drop Downs INT'!$CR$6:$CR$747))),IF(L301&lt;&gt;"","",IF($E$26="Select Type","Select Margin Class",IFERROR(IF($O58="",0,IF($E$26="Client Custom Rates",0,IF($E$26="Standard Rates",_xlfn.XLOOKUP($O58,'Rates &amp; Drop Downs INT'!$F:$F,'Rates &amp; Drop Downs INT'!I:I)))),0))))</f>
        <v>0</v>
      </c>
      <c r="K301" s="885" cm="1">
        <f t="array" ref="K301">IF($E$20&lt;&gt;"Credera US",0,IF(L301&lt;&gt;"","",IFERROR(IF($D$26&lt;&gt;"Client Custom Rates",0,INDEX('Client Rate Cards'!E:E,MATCH(1,('Client Rate Cards'!B:B='2. Roles &amp; Pricing'!$D$27)*('Client Rate Cards'!D:D='2. Roles &amp; Pricing'!T58),0))),0)))</f>
        <v>0</v>
      </c>
      <c r="L301" s="1350"/>
      <c r="M301" s="887" t="str">
        <f t="shared" si="87"/>
        <v/>
      </c>
      <c r="N301" s="913" t="str">
        <f t="shared" si="88"/>
        <v/>
      </c>
    </row>
    <row r="302" spans="2:16" ht="13.95" customHeight="1" x14ac:dyDescent="0.25">
      <c r="C302" s="1352" t="str">
        <f t="shared" si="86"/>
        <v/>
      </c>
      <c r="D302" s="918" t="str">
        <f t="shared" si="89"/>
        <v/>
      </c>
      <c r="E302" s="885"/>
      <c r="F302" s="885" cm="1">
        <f t="array" ref="F302">IFERROR(IF($E$20="Credera US",_xlfn.XLOOKUP($O59,'Rates &amp; Drop Downs INT'!F:F,'Rates &amp; Drop Downs INT'!G:G)*M302,IF($C59="TADNorthAmerica",SUMPRODUCT(('Rates &amp; Drop Downs INT'!$CG$6:$CG$708=$D59)*('Rates &amp; Drop Downs INT'!$CI$6:$CI$708=$F59)*('Rates &amp; Drop Downs INT'!$CK$6:$CK$708=$K59)*('Rates &amp; Drop Downs INT'!$CQ$6:$CQ$708))*M302,SUMPRODUCT(('Rates &amp; Drop Downs INT'!$CG$6:$CG$708=$D59)*('Rates &amp; Drop Downs INT'!$CI$6:$CI$708=$F59)*('Rates &amp; Drop Downs INT'!$CK$6:$CK$708=$K59)*('Rates &amp; Drop Downs INT'!$CT$6:$CT$708))*M302)),0)</f>
        <v>0</v>
      </c>
      <c r="G302" s="886"/>
      <c r="H302" s="886"/>
      <c r="I302" s="885" cm="1">
        <f t="array" ref="I302">IF($E$20="TA Digital",IF($C59="TADNorthAmerica",SUMPRODUCT((TADIndia='2. Roles &amp; Pricing'!D59)*('Rates &amp; Drop Downs INT'!$CI$6:$CI$747='2. Roles &amp; Pricing'!F59)*('Rates &amp; Drop Downs INT'!$CK$6:$CK$747='2. Roles &amp; Pricing'!K59)*('Rates &amp; Drop Downs INT'!$CP$6:$CP$747)),SUMPRODUCT((TADIndia='2. Roles &amp; Pricing'!D59)*('Rates &amp; Drop Downs INT'!$CI$6:$CI$747='2. Roles &amp; Pricing'!F59)*('Rates &amp; Drop Downs INT'!$CK$6:$CK$747='2. Roles &amp; Pricing'!K59)*('Rates &amp; Drop Downs INT'!$CR$6:$CR$747))),IF(L302&lt;&gt;"","",IF($E$26="Select Type","Select Margin Class",IFERROR(IF($O59="",0,IF($E$26="Client Custom Rates",0,IF($E$26="Standard Rates",_xlfn.XLOOKUP($O59,'Rates &amp; Drop Downs INT'!$F:$F,'Rates &amp; Drop Downs INT'!I:I)))),0))))</f>
        <v>0</v>
      </c>
      <c r="K302" s="885" cm="1">
        <f t="array" ref="K302">IF($E$20&lt;&gt;"Credera US",0,IF(L302&lt;&gt;"","",IFERROR(IF($D$26&lt;&gt;"Client Custom Rates",0,INDEX('Client Rate Cards'!E:E,MATCH(1,('Client Rate Cards'!B:B='2. Roles &amp; Pricing'!$D$27)*('Client Rate Cards'!D:D='2. Roles &amp; Pricing'!T59),0))),0)))</f>
        <v>0</v>
      </c>
      <c r="L302" s="1350"/>
      <c r="M302" s="887" t="str">
        <f t="shared" si="87"/>
        <v/>
      </c>
      <c r="N302" s="913" t="str">
        <f t="shared" si="88"/>
        <v/>
      </c>
    </row>
    <row r="303" spans="2:16" ht="13.95" customHeight="1" x14ac:dyDescent="0.25">
      <c r="C303" s="1352" t="str">
        <f t="shared" si="86"/>
        <v/>
      </c>
      <c r="D303" s="918" t="str">
        <f t="shared" si="89"/>
        <v/>
      </c>
      <c r="E303" s="885"/>
      <c r="F303" s="885" cm="1">
        <f t="array" ref="F303">IFERROR(IF($E$20="Credera US",_xlfn.XLOOKUP($O60,'Rates &amp; Drop Downs INT'!F:F,'Rates &amp; Drop Downs INT'!G:G)*M303,IF($C60="TADNorthAmerica",SUMPRODUCT(('Rates &amp; Drop Downs INT'!$CG$6:$CG$708=$D60)*('Rates &amp; Drop Downs INT'!$CI$6:$CI$708=$F60)*('Rates &amp; Drop Downs INT'!$CK$6:$CK$708=$K60)*('Rates &amp; Drop Downs INT'!$CQ$6:$CQ$708))*M303,SUMPRODUCT(('Rates &amp; Drop Downs INT'!$CG$6:$CG$708=$D60)*('Rates &amp; Drop Downs INT'!$CI$6:$CI$708=$F60)*('Rates &amp; Drop Downs INT'!$CK$6:$CK$708=$K60)*('Rates &amp; Drop Downs INT'!$CT$6:$CT$708))*M303)),0)</f>
        <v>0</v>
      </c>
      <c r="G303" s="886"/>
      <c r="H303" s="886"/>
      <c r="I303" s="885" cm="1">
        <f t="array" ref="I303">IF($E$20="TA Digital",IF($C60="TADNorthAmerica",SUMPRODUCT((TADIndia='2. Roles &amp; Pricing'!D60)*('Rates &amp; Drop Downs INT'!$CI$6:$CI$747='2. Roles &amp; Pricing'!F60)*('Rates &amp; Drop Downs INT'!$CK$6:$CK$747='2. Roles &amp; Pricing'!K60)*('Rates &amp; Drop Downs INT'!$CP$6:$CP$747)),SUMPRODUCT((TADIndia='2. Roles &amp; Pricing'!D60)*('Rates &amp; Drop Downs INT'!$CI$6:$CI$747='2. Roles &amp; Pricing'!F60)*('Rates &amp; Drop Downs INT'!$CK$6:$CK$747='2. Roles &amp; Pricing'!K60)*('Rates &amp; Drop Downs INT'!$CR$6:$CR$747))),IF(L303&lt;&gt;"","",IF($E$26="Select Type","Select Margin Class",IFERROR(IF($O60="",0,IF($E$26="Client Custom Rates",0,IF($E$26="Standard Rates",_xlfn.XLOOKUP($O60,'Rates &amp; Drop Downs INT'!$F:$F,'Rates &amp; Drop Downs INT'!I:I)))),0))))</f>
        <v>0</v>
      </c>
      <c r="K303" s="885" cm="1">
        <f t="array" ref="K303">IF($E$20&lt;&gt;"Credera US",0,IF(L303&lt;&gt;"","",IFERROR(IF($D$26&lt;&gt;"Client Custom Rates",0,INDEX('Client Rate Cards'!E:E,MATCH(1,('Client Rate Cards'!B:B='2. Roles &amp; Pricing'!$D$27)*('Client Rate Cards'!D:D='2. Roles &amp; Pricing'!T60),0))),0)))</f>
        <v>0</v>
      </c>
      <c r="L303" s="1350"/>
      <c r="M303" s="887" t="str">
        <f t="shared" si="87"/>
        <v/>
      </c>
      <c r="N303" s="913" t="str">
        <f t="shared" si="88"/>
        <v/>
      </c>
    </row>
    <row r="304" spans="2:16" ht="13.95" customHeight="1" x14ac:dyDescent="0.25">
      <c r="C304" s="1352" t="str">
        <f t="shared" si="86"/>
        <v/>
      </c>
      <c r="D304" s="918" t="str">
        <f t="shared" si="89"/>
        <v/>
      </c>
      <c r="E304" s="885"/>
      <c r="F304" s="885" cm="1">
        <f t="array" ref="F304">IFERROR(IF($E$20="Credera US",_xlfn.XLOOKUP($O61,'Rates &amp; Drop Downs INT'!F:F,'Rates &amp; Drop Downs INT'!G:G)*M304,IF($C61="TADNorthAmerica",SUMPRODUCT(('Rates &amp; Drop Downs INT'!$CG$6:$CG$708=$D61)*('Rates &amp; Drop Downs INT'!$CI$6:$CI$708=$F61)*('Rates &amp; Drop Downs INT'!$CK$6:$CK$708=$K61)*('Rates &amp; Drop Downs INT'!$CQ$6:$CQ$708))*M304,SUMPRODUCT(('Rates &amp; Drop Downs INT'!$CG$6:$CG$708=$D61)*('Rates &amp; Drop Downs INT'!$CI$6:$CI$708=$F61)*('Rates &amp; Drop Downs INT'!$CK$6:$CK$708=$K61)*('Rates &amp; Drop Downs INT'!$CT$6:$CT$708))*M304)),0)</f>
        <v>0</v>
      </c>
      <c r="G304" s="886"/>
      <c r="H304" s="886"/>
      <c r="I304" s="885" cm="1">
        <f t="array" ref="I304">IF($E$20="TA Digital",IF($C61="TADNorthAmerica",SUMPRODUCT((TADIndia='2. Roles &amp; Pricing'!D61)*('Rates &amp; Drop Downs INT'!$CI$6:$CI$747='2. Roles &amp; Pricing'!F61)*('Rates &amp; Drop Downs INT'!$CK$6:$CK$747='2. Roles &amp; Pricing'!K61)*('Rates &amp; Drop Downs INT'!$CP$6:$CP$747)),SUMPRODUCT((TADIndia='2. Roles &amp; Pricing'!D61)*('Rates &amp; Drop Downs INT'!$CI$6:$CI$747='2. Roles &amp; Pricing'!F61)*('Rates &amp; Drop Downs INT'!$CK$6:$CK$747='2. Roles &amp; Pricing'!K61)*('Rates &amp; Drop Downs INT'!$CR$6:$CR$747))),IF(L304&lt;&gt;"","",IF($E$26="Select Type","Select Margin Class",IFERROR(IF($O61="",0,IF($E$26="Client Custom Rates",0,IF($E$26="Standard Rates",_xlfn.XLOOKUP($O61,'Rates &amp; Drop Downs INT'!$F:$F,'Rates &amp; Drop Downs INT'!I:I)))),0))))</f>
        <v>0</v>
      </c>
      <c r="K304" s="885" cm="1">
        <f t="array" ref="K304">IF($E$20&lt;&gt;"Credera US",0,IF(L304&lt;&gt;"","",IFERROR(IF($D$26&lt;&gt;"Client Custom Rates",0,INDEX('Client Rate Cards'!E:E,MATCH(1,('Client Rate Cards'!B:B='2. Roles &amp; Pricing'!$D$27)*('Client Rate Cards'!D:D='2. Roles &amp; Pricing'!T61),0))),0)))</f>
        <v>0</v>
      </c>
      <c r="L304" s="1350"/>
      <c r="M304" s="887" t="str">
        <f t="shared" si="87"/>
        <v/>
      </c>
      <c r="N304" s="913" t="str">
        <f t="shared" si="88"/>
        <v/>
      </c>
    </row>
    <row r="305" spans="3:14" ht="13.95" customHeight="1" x14ac:dyDescent="0.25">
      <c r="C305" s="1352" t="str">
        <f t="shared" si="86"/>
        <v/>
      </c>
      <c r="D305" s="918" t="str">
        <f t="shared" si="89"/>
        <v/>
      </c>
      <c r="E305" s="885"/>
      <c r="F305" s="885" cm="1">
        <f t="array" ref="F305">IFERROR(IF($E$20="Credera US",_xlfn.XLOOKUP($O62,'Rates &amp; Drop Downs INT'!F:F,'Rates &amp; Drop Downs INT'!G:G)*M305,IF($C62="TADNorthAmerica",SUMPRODUCT(('Rates &amp; Drop Downs INT'!$CG$6:$CG$708=$D62)*('Rates &amp; Drop Downs INT'!$CI$6:$CI$708=$F62)*('Rates &amp; Drop Downs INT'!$CK$6:$CK$708=$K62)*('Rates &amp; Drop Downs INT'!$CQ$6:$CQ$708))*M305,SUMPRODUCT(('Rates &amp; Drop Downs INT'!$CG$6:$CG$708=$D62)*('Rates &amp; Drop Downs INT'!$CI$6:$CI$708=$F62)*('Rates &amp; Drop Downs INT'!$CK$6:$CK$708=$K62)*('Rates &amp; Drop Downs INT'!$CT$6:$CT$708))*M305)),0)</f>
        <v>0</v>
      </c>
      <c r="G305" s="886"/>
      <c r="H305" s="886"/>
      <c r="I305" s="885" cm="1">
        <f t="array" ref="I305">IF($E$20="TA Digital",IF($C62="TADNorthAmerica",SUMPRODUCT((TADIndia='2. Roles &amp; Pricing'!D62)*('Rates &amp; Drop Downs INT'!$CI$6:$CI$747='2. Roles &amp; Pricing'!F62)*('Rates &amp; Drop Downs INT'!$CK$6:$CK$747='2. Roles &amp; Pricing'!K62)*('Rates &amp; Drop Downs INT'!$CP$6:$CP$747)),SUMPRODUCT((TADIndia='2. Roles &amp; Pricing'!D62)*('Rates &amp; Drop Downs INT'!$CI$6:$CI$747='2. Roles &amp; Pricing'!F62)*('Rates &amp; Drop Downs INT'!$CK$6:$CK$747='2. Roles &amp; Pricing'!K62)*('Rates &amp; Drop Downs INT'!$CR$6:$CR$747))),IF(L305&lt;&gt;"","",IF($E$26="Select Type","Select Margin Class",IFERROR(IF($O62="",0,IF($E$26="Client Custom Rates",0,IF($E$26="Standard Rates",_xlfn.XLOOKUP($O62,'Rates &amp; Drop Downs INT'!$F:$F,'Rates &amp; Drop Downs INT'!I:I)))),0))))</f>
        <v>0</v>
      </c>
      <c r="K305" s="885" cm="1">
        <f t="array" ref="K305">IF($E$20&lt;&gt;"Credera US",0,IF(L305&lt;&gt;"","",IFERROR(IF($D$26&lt;&gt;"Client Custom Rates",0,INDEX('Client Rate Cards'!E:E,MATCH(1,('Client Rate Cards'!B:B='2. Roles &amp; Pricing'!$D$27)*('Client Rate Cards'!D:D='2. Roles &amp; Pricing'!T62),0))),0)))</f>
        <v>0</v>
      </c>
      <c r="L305" s="1350"/>
      <c r="M305" s="887" t="str">
        <f t="shared" si="87"/>
        <v/>
      </c>
      <c r="N305" s="913" t="str">
        <f t="shared" si="88"/>
        <v/>
      </c>
    </row>
    <row r="306" spans="3:14" ht="13.95" customHeight="1" x14ac:dyDescent="0.25">
      <c r="C306" s="1352" t="str">
        <f t="shared" si="86"/>
        <v/>
      </c>
      <c r="D306" s="918" t="str">
        <f t="shared" si="89"/>
        <v/>
      </c>
      <c r="E306" s="885"/>
      <c r="F306" s="885" cm="1">
        <f t="array" ref="F306">IFERROR(IF($E$20="Credera US",_xlfn.XLOOKUP($O63,'Rates &amp; Drop Downs INT'!F:F,'Rates &amp; Drop Downs INT'!G:G)*M306,IF($C63="TADNorthAmerica",SUMPRODUCT(('Rates &amp; Drop Downs INT'!$CG$6:$CG$708=$D63)*('Rates &amp; Drop Downs INT'!$CI$6:$CI$708=$F63)*('Rates &amp; Drop Downs INT'!$CK$6:$CK$708=$K63)*('Rates &amp; Drop Downs INT'!$CQ$6:$CQ$708))*M306,SUMPRODUCT(('Rates &amp; Drop Downs INT'!$CG$6:$CG$708=$D63)*('Rates &amp; Drop Downs INT'!$CI$6:$CI$708=$F63)*('Rates &amp; Drop Downs INT'!$CK$6:$CK$708=$K63)*('Rates &amp; Drop Downs INT'!$CT$6:$CT$708))*M306)),0)</f>
        <v>0</v>
      </c>
      <c r="G306" s="886"/>
      <c r="H306" s="886"/>
      <c r="I306" s="885" cm="1">
        <f t="array" ref="I306">IF($E$20="TA Digital",IF($C63="TADNorthAmerica",SUMPRODUCT((TADIndia='2. Roles &amp; Pricing'!D63)*('Rates &amp; Drop Downs INT'!$CI$6:$CI$747='2. Roles &amp; Pricing'!F63)*('Rates &amp; Drop Downs INT'!$CK$6:$CK$747='2. Roles &amp; Pricing'!K63)*('Rates &amp; Drop Downs INT'!$CP$6:$CP$747)),SUMPRODUCT((TADIndia='2. Roles &amp; Pricing'!D63)*('Rates &amp; Drop Downs INT'!$CI$6:$CI$747='2. Roles &amp; Pricing'!F63)*('Rates &amp; Drop Downs INT'!$CK$6:$CK$747='2. Roles &amp; Pricing'!K63)*('Rates &amp; Drop Downs INT'!$CR$6:$CR$747))),IF(L306&lt;&gt;"","",IF($E$26="Select Type","Select Margin Class",IFERROR(IF($O63="",0,IF($E$26="Client Custom Rates",0,IF($E$26="Standard Rates",_xlfn.XLOOKUP($O63,'Rates &amp; Drop Downs INT'!$F:$F,'Rates &amp; Drop Downs INT'!I:I)))),0))))</f>
        <v>0</v>
      </c>
      <c r="K306" s="885" cm="1">
        <f t="array" ref="K306">IF($E$20&lt;&gt;"Credera US",0,IF(L306&lt;&gt;"","",IFERROR(IF($D$26&lt;&gt;"Client Custom Rates",0,INDEX('Client Rate Cards'!E:E,MATCH(1,('Client Rate Cards'!B:B='2. Roles &amp; Pricing'!$D$27)*('Client Rate Cards'!D:D='2. Roles &amp; Pricing'!T63),0))),0)))</f>
        <v>0</v>
      </c>
      <c r="L306" s="1350"/>
      <c r="M306" s="887" t="str">
        <f t="shared" si="87"/>
        <v/>
      </c>
      <c r="N306" s="913" t="str">
        <f t="shared" si="88"/>
        <v/>
      </c>
    </row>
    <row r="307" spans="3:14" ht="13.95" customHeight="1" x14ac:dyDescent="0.25">
      <c r="C307" s="1352" t="str">
        <f t="shared" si="86"/>
        <v/>
      </c>
      <c r="D307" s="918" t="str">
        <f t="shared" si="89"/>
        <v/>
      </c>
      <c r="E307" s="885"/>
      <c r="F307" s="885" cm="1">
        <f t="array" ref="F307">IFERROR(IF($E$20="Credera US",_xlfn.XLOOKUP($O64,'Rates &amp; Drop Downs INT'!F:F,'Rates &amp; Drop Downs INT'!G:G)*M307,IF($C64="TADNorthAmerica",SUMPRODUCT(('Rates &amp; Drop Downs INT'!$CG$6:$CG$708=$D64)*('Rates &amp; Drop Downs INT'!$CI$6:$CI$708=$F64)*('Rates &amp; Drop Downs INT'!$CK$6:$CK$708=$K64)*('Rates &amp; Drop Downs INT'!$CQ$6:$CQ$708))*M307,SUMPRODUCT(('Rates &amp; Drop Downs INT'!$CG$6:$CG$708=$D64)*('Rates &amp; Drop Downs INT'!$CI$6:$CI$708=$F64)*('Rates &amp; Drop Downs INT'!$CK$6:$CK$708=$K64)*('Rates &amp; Drop Downs INT'!$CT$6:$CT$708))*M307)),0)</f>
        <v>0</v>
      </c>
      <c r="G307" s="886"/>
      <c r="H307" s="886"/>
      <c r="I307" s="885" cm="1">
        <f t="array" ref="I307">IF($E$20="TA Digital",IF($C64="TADNorthAmerica",SUMPRODUCT((TADIndia='2. Roles &amp; Pricing'!D64)*('Rates &amp; Drop Downs INT'!$CI$6:$CI$747='2. Roles &amp; Pricing'!F64)*('Rates &amp; Drop Downs INT'!$CK$6:$CK$747='2. Roles &amp; Pricing'!K64)*('Rates &amp; Drop Downs INT'!$CP$6:$CP$747)),SUMPRODUCT((TADIndia='2. Roles &amp; Pricing'!D64)*('Rates &amp; Drop Downs INT'!$CI$6:$CI$747='2. Roles &amp; Pricing'!F64)*('Rates &amp; Drop Downs INT'!$CK$6:$CK$747='2. Roles &amp; Pricing'!K64)*('Rates &amp; Drop Downs INT'!$CR$6:$CR$747))),IF(L307&lt;&gt;"","",IF($E$26="Select Type","Select Margin Class",IFERROR(IF($O64="",0,IF($E$26="Client Custom Rates",0,IF($E$26="Standard Rates",_xlfn.XLOOKUP($O64,'Rates &amp; Drop Downs INT'!$F:$F,'Rates &amp; Drop Downs INT'!I:I)))),0))))</f>
        <v>0</v>
      </c>
      <c r="K307" s="885" cm="1">
        <f t="array" ref="K307">IF($E$20&lt;&gt;"Credera US",0,IF(L307&lt;&gt;"","",IFERROR(IF($D$26&lt;&gt;"Client Custom Rates",0,INDEX('Client Rate Cards'!E:E,MATCH(1,('Client Rate Cards'!B:B='2. Roles &amp; Pricing'!$D$27)*('Client Rate Cards'!D:D='2. Roles &amp; Pricing'!T64),0))),0)))</f>
        <v>0</v>
      </c>
      <c r="L307" s="1350"/>
      <c r="M307" s="887" t="str">
        <f t="shared" si="87"/>
        <v/>
      </c>
      <c r="N307" s="913" t="str">
        <f t="shared" si="88"/>
        <v/>
      </c>
    </row>
    <row r="308" spans="3:14" ht="13.95" customHeight="1" x14ac:dyDescent="0.25">
      <c r="C308" s="1352" t="str">
        <f t="shared" si="86"/>
        <v/>
      </c>
      <c r="D308" s="918" t="str">
        <f t="shared" si="89"/>
        <v/>
      </c>
      <c r="E308" s="885"/>
      <c r="F308" s="885" cm="1">
        <f t="array" ref="F308">IFERROR(IF($E$20="Credera US",_xlfn.XLOOKUP($O65,'Rates &amp; Drop Downs INT'!F:F,'Rates &amp; Drop Downs INT'!G:G)*M308,IF($C65="TADNorthAmerica",SUMPRODUCT(('Rates &amp; Drop Downs INT'!$CG$6:$CG$708=$D65)*('Rates &amp; Drop Downs INT'!$CI$6:$CI$708=$F65)*('Rates &amp; Drop Downs INT'!$CK$6:$CK$708=$K65)*('Rates &amp; Drop Downs INT'!$CQ$6:$CQ$708))*M308,SUMPRODUCT(('Rates &amp; Drop Downs INT'!$CG$6:$CG$708=$D65)*('Rates &amp; Drop Downs INT'!$CI$6:$CI$708=$F65)*('Rates &amp; Drop Downs INT'!$CK$6:$CK$708=$K65)*('Rates &amp; Drop Downs INT'!$CT$6:$CT$708))*M308)),0)</f>
        <v>0</v>
      </c>
      <c r="G308" s="886"/>
      <c r="H308" s="886"/>
      <c r="I308" s="885" cm="1">
        <f t="array" ref="I308">IF($E$20="TA Digital",IF($C65="TADNorthAmerica",SUMPRODUCT((TADIndia='2. Roles &amp; Pricing'!D65)*('Rates &amp; Drop Downs INT'!$CI$6:$CI$747='2. Roles &amp; Pricing'!F65)*('Rates &amp; Drop Downs INT'!$CK$6:$CK$747='2. Roles &amp; Pricing'!K65)*('Rates &amp; Drop Downs INT'!$CP$6:$CP$747)),SUMPRODUCT((TADIndia='2. Roles &amp; Pricing'!D65)*('Rates &amp; Drop Downs INT'!$CI$6:$CI$747='2. Roles &amp; Pricing'!F65)*('Rates &amp; Drop Downs INT'!$CK$6:$CK$747='2. Roles &amp; Pricing'!K65)*('Rates &amp; Drop Downs INT'!$CR$6:$CR$747))),IF(L308&lt;&gt;"","",IF($E$26="Select Type","Select Margin Class",IFERROR(IF($O65="",0,IF($E$26="Client Custom Rates",0,IF($E$26="Standard Rates",_xlfn.XLOOKUP($O65,'Rates &amp; Drop Downs INT'!$F:$F,'Rates &amp; Drop Downs INT'!I:I)))),0))))</f>
        <v>0</v>
      </c>
      <c r="K308" s="885" cm="1">
        <f t="array" ref="K308">IF($E$20&lt;&gt;"Credera US",0,IF(L308&lt;&gt;"","",IFERROR(IF($D$26&lt;&gt;"Client Custom Rates",0,INDEX('Client Rate Cards'!E:E,MATCH(1,('Client Rate Cards'!B:B='2. Roles &amp; Pricing'!$D$27)*('Client Rate Cards'!D:D='2. Roles &amp; Pricing'!T65),0))),0)))</f>
        <v>0</v>
      </c>
      <c r="L308" s="1350"/>
      <c r="M308" s="887" t="str">
        <f t="shared" si="87"/>
        <v/>
      </c>
      <c r="N308" s="913" t="str">
        <f t="shared" si="88"/>
        <v/>
      </c>
    </row>
    <row r="309" spans="3:14" ht="13.95" customHeight="1" x14ac:dyDescent="0.25">
      <c r="C309" s="1352" t="str">
        <f t="shared" si="86"/>
        <v/>
      </c>
      <c r="D309" s="918" t="str">
        <f t="shared" si="89"/>
        <v/>
      </c>
      <c r="E309" s="885"/>
      <c r="F309" s="885" cm="1">
        <f t="array" ref="F309">IFERROR(IF($E$20="Credera US",_xlfn.XLOOKUP($O66,'Rates &amp; Drop Downs INT'!F:F,'Rates &amp; Drop Downs INT'!G:G)*M309,IF($C66="TADNorthAmerica",SUMPRODUCT(('Rates &amp; Drop Downs INT'!$CG$6:$CG$708=$D66)*('Rates &amp; Drop Downs INT'!$CI$6:$CI$708=$F66)*('Rates &amp; Drop Downs INT'!$CK$6:$CK$708=$K66)*('Rates &amp; Drop Downs INT'!$CQ$6:$CQ$708))*M309,SUMPRODUCT(('Rates &amp; Drop Downs INT'!$CG$6:$CG$708=$D66)*('Rates &amp; Drop Downs INT'!$CI$6:$CI$708=$F66)*('Rates &amp; Drop Downs INT'!$CK$6:$CK$708=$K66)*('Rates &amp; Drop Downs INT'!$CT$6:$CT$708))*M309)),0)</f>
        <v>0</v>
      </c>
      <c r="G309" s="886"/>
      <c r="H309" s="886"/>
      <c r="I309" s="885" cm="1">
        <f t="array" ref="I309">IF($E$20="TA Digital",IF($C66="TADNorthAmerica",SUMPRODUCT((TADIndia='2. Roles &amp; Pricing'!D66)*('Rates &amp; Drop Downs INT'!$CI$6:$CI$747='2. Roles &amp; Pricing'!F66)*('Rates &amp; Drop Downs INT'!$CK$6:$CK$747='2. Roles &amp; Pricing'!K66)*('Rates &amp; Drop Downs INT'!$CP$6:$CP$747)),SUMPRODUCT((TADIndia='2. Roles &amp; Pricing'!D66)*('Rates &amp; Drop Downs INT'!$CI$6:$CI$747='2. Roles &amp; Pricing'!F66)*('Rates &amp; Drop Downs INT'!$CK$6:$CK$747='2. Roles &amp; Pricing'!K66)*('Rates &amp; Drop Downs INT'!$CR$6:$CR$747))),IF(L309&lt;&gt;"","",IF($E$26="Select Type","Select Margin Class",IFERROR(IF($O66="",0,IF($E$26="Client Custom Rates",0,IF($E$26="Standard Rates",_xlfn.XLOOKUP($O66,'Rates &amp; Drop Downs INT'!$F:$F,'Rates &amp; Drop Downs INT'!I:I)))),0))))</f>
        <v>0</v>
      </c>
      <c r="K309" s="885" cm="1">
        <f t="array" ref="K309">IF($E$20&lt;&gt;"Credera US",0,IF(L309&lt;&gt;"","",IFERROR(IF($D$26&lt;&gt;"Client Custom Rates",0,INDEX('Client Rate Cards'!E:E,MATCH(1,('Client Rate Cards'!B:B='2. Roles &amp; Pricing'!$D$27)*('Client Rate Cards'!D:D='2. Roles &amp; Pricing'!T66),0))),0)))</f>
        <v>0</v>
      </c>
      <c r="L309" s="1350"/>
      <c r="M309" s="887" t="str">
        <f t="shared" si="87"/>
        <v/>
      </c>
      <c r="N309" s="913" t="str">
        <f t="shared" si="88"/>
        <v/>
      </c>
    </row>
    <row r="310" spans="3:14" ht="13.95" customHeight="1" x14ac:dyDescent="0.25">
      <c r="C310" s="1352" t="str">
        <f t="shared" si="86"/>
        <v/>
      </c>
      <c r="D310" s="918" t="str">
        <f t="shared" si="89"/>
        <v/>
      </c>
      <c r="E310" s="885"/>
      <c r="F310" s="885" cm="1">
        <f t="array" ref="F310">IFERROR(IF($E$20="Credera US",_xlfn.XLOOKUP($O67,'Rates &amp; Drop Downs INT'!F:F,'Rates &amp; Drop Downs INT'!G:G)*M310,IF($C67="TADNorthAmerica",SUMPRODUCT(('Rates &amp; Drop Downs INT'!$CG$6:$CG$708=$D67)*('Rates &amp; Drop Downs INT'!$CI$6:$CI$708=$F67)*('Rates &amp; Drop Downs INT'!$CK$6:$CK$708=$K67)*('Rates &amp; Drop Downs INT'!$CQ$6:$CQ$708))*M310,SUMPRODUCT(('Rates &amp; Drop Downs INT'!$CG$6:$CG$708=$D67)*('Rates &amp; Drop Downs INT'!$CI$6:$CI$708=$F67)*('Rates &amp; Drop Downs INT'!$CK$6:$CK$708=$K67)*('Rates &amp; Drop Downs INT'!$CT$6:$CT$708))*M310)),0)</f>
        <v>0</v>
      </c>
      <c r="G310" s="886"/>
      <c r="H310" s="886"/>
      <c r="I310" s="885" cm="1">
        <f t="array" ref="I310">IF($E$20="TA Digital",IF($C67="TADNorthAmerica",SUMPRODUCT((TADIndia='2. Roles &amp; Pricing'!D67)*('Rates &amp; Drop Downs INT'!$CI$6:$CI$747='2. Roles &amp; Pricing'!F67)*('Rates &amp; Drop Downs INT'!$CK$6:$CK$747='2. Roles &amp; Pricing'!K67)*('Rates &amp; Drop Downs INT'!$CP$6:$CP$747)),SUMPRODUCT((TADIndia='2. Roles &amp; Pricing'!D67)*('Rates &amp; Drop Downs INT'!$CI$6:$CI$747='2. Roles &amp; Pricing'!F67)*('Rates &amp; Drop Downs INT'!$CK$6:$CK$747='2. Roles &amp; Pricing'!K67)*('Rates &amp; Drop Downs INT'!$CR$6:$CR$747))),IF(L310&lt;&gt;"","",IF($E$26="Select Type","Select Margin Class",IFERROR(IF($O67="",0,IF($E$26="Client Custom Rates",0,IF($E$26="Standard Rates",_xlfn.XLOOKUP($O67,'Rates &amp; Drop Downs INT'!$F:$F,'Rates &amp; Drop Downs INT'!I:I)))),0))))</f>
        <v>0</v>
      </c>
      <c r="K310" s="885" cm="1">
        <f t="array" ref="K310">IF($E$20&lt;&gt;"Credera US",0,IF(L310&lt;&gt;"","",IFERROR(IF($D$26&lt;&gt;"Client Custom Rates",0,INDEX('Client Rate Cards'!E:E,MATCH(1,('Client Rate Cards'!B:B='2. Roles &amp; Pricing'!$D$27)*('Client Rate Cards'!D:D='2. Roles &amp; Pricing'!T67),0))),0)))</f>
        <v>0</v>
      </c>
      <c r="L310" s="1350"/>
      <c r="M310" s="887" t="str">
        <f t="shared" si="87"/>
        <v/>
      </c>
      <c r="N310" s="913" t="str">
        <f t="shared" si="88"/>
        <v/>
      </c>
    </row>
    <row r="311" spans="3:14" ht="13.95" customHeight="1" x14ac:dyDescent="0.25">
      <c r="C311" s="1352" t="str">
        <f t="shared" si="86"/>
        <v/>
      </c>
      <c r="D311" s="918" t="str">
        <f t="shared" si="89"/>
        <v/>
      </c>
      <c r="E311" s="885"/>
      <c r="F311" s="885" cm="1">
        <f t="array" ref="F311">IFERROR(IF($E$20="Credera US",_xlfn.XLOOKUP($O68,'Rates &amp; Drop Downs INT'!F:F,'Rates &amp; Drop Downs INT'!G:G)*M311,IF($C68="TADNorthAmerica",SUMPRODUCT(('Rates &amp; Drop Downs INT'!$CG$6:$CG$708=$D68)*('Rates &amp; Drop Downs INT'!$CI$6:$CI$708=$F68)*('Rates &amp; Drop Downs INT'!$CK$6:$CK$708=$K68)*('Rates &amp; Drop Downs INT'!$CQ$6:$CQ$708))*M311,SUMPRODUCT(('Rates &amp; Drop Downs INT'!$CG$6:$CG$708=$D68)*('Rates &amp; Drop Downs INT'!$CI$6:$CI$708=$F68)*('Rates &amp; Drop Downs INT'!$CK$6:$CK$708=$K68)*('Rates &amp; Drop Downs INT'!$CT$6:$CT$708))*M311)),0)</f>
        <v>0</v>
      </c>
      <c r="G311" s="886"/>
      <c r="H311" s="886"/>
      <c r="I311" s="885" cm="1">
        <f t="array" ref="I311">IF($E$20="TA Digital",IF($C68="TADNorthAmerica",SUMPRODUCT((TADIndia='2. Roles &amp; Pricing'!D68)*('Rates &amp; Drop Downs INT'!$CI$6:$CI$747='2. Roles &amp; Pricing'!F68)*('Rates &amp; Drop Downs INT'!$CK$6:$CK$747='2. Roles &amp; Pricing'!K68)*('Rates &amp; Drop Downs INT'!$CP$6:$CP$747)),SUMPRODUCT((TADIndia='2. Roles &amp; Pricing'!D68)*('Rates &amp; Drop Downs INT'!$CI$6:$CI$747='2. Roles &amp; Pricing'!F68)*('Rates &amp; Drop Downs INT'!$CK$6:$CK$747='2. Roles &amp; Pricing'!K68)*('Rates &amp; Drop Downs INT'!$CR$6:$CR$747))),IF(L311&lt;&gt;"","",IF($E$26="Select Type","Select Margin Class",IFERROR(IF($O68="",0,IF($E$26="Client Custom Rates",0,IF($E$26="Standard Rates",_xlfn.XLOOKUP($O68,'Rates &amp; Drop Downs INT'!$F:$F,'Rates &amp; Drop Downs INT'!I:I)))),0))))</f>
        <v>0</v>
      </c>
      <c r="K311" s="885" cm="1">
        <f t="array" ref="K311">IF($E$20&lt;&gt;"Credera US",0,IF(L311&lt;&gt;"","",IFERROR(IF($D$26&lt;&gt;"Client Custom Rates",0,INDEX('Client Rate Cards'!E:E,MATCH(1,('Client Rate Cards'!B:B='2. Roles &amp; Pricing'!$D$27)*('Client Rate Cards'!D:D='2. Roles &amp; Pricing'!T68),0))),0)))</f>
        <v>0</v>
      </c>
      <c r="L311" s="1350"/>
      <c r="M311" s="887" t="str">
        <f t="shared" si="87"/>
        <v/>
      </c>
      <c r="N311" s="913" t="str">
        <f t="shared" si="88"/>
        <v/>
      </c>
    </row>
    <row r="312" spans="3:14" ht="13.95" customHeight="1" x14ac:dyDescent="0.25">
      <c r="C312" s="1352" t="str">
        <f t="shared" si="86"/>
        <v/>
      </c>
      <c r="D312" s="918" t="str">
        <f t="shared" si="89"/>
        <v/>
      </c>
      <c r="E312" s="885"/>
      <c r="F312" s="885" cm="1">
        <f t="array" ref="F312">IFERROR(IF($E$20="Credera US",_xlfn.XLOOKUP($O69,'Rates &amp; Drop Downs INT'!F:F,'Rates &amp; Drop Downs INT'!G:G)*M312,IF($C69="TADNorthAmerica",SUMPRODUCT(('Rates &amp; Drop Downs INT'!$CG$6:$CG$708=$D69)*('Rates &amp; Drop Downs INT'!$CI$6:$CI$708=$F69)*('Rates &amp; Drop Downs INT'!$CK$6:$CK$708=$K69)*('Rates &amp; Drop Downs INT'!$CQ$6:$CQ$708))*M312,SUMPRODUCT(('Rates &amp; Drop Downs INT'!$CG$6:$CG$708=$D69)*('Rates &amp; Drop Downs INT'!$CI$6:$CI$708=$F69)*('Rates &amp; Drop Downs INT'!$CK$6:$CK$708=$K69)*('Rates &amp; Drop Downs INT'!$CT$6:$CT$708))*M312)),0)</f>
        <v>0</v>
      </c>
      <c r="G312" s="886"/>
      <c r="H312" s="886"/>
      <c r="I312" s="885" cm="1">
        <f t="array" ref="I312">IF($E$20="TA Digital",IF($C69="TADNorthAmerica",SUMPRODUCT((TADIndia='2. Roles &amp; Pricing'!D69)*('Rates &amp; Drop Downs INT'!$CI$6:$CI$747='2. Roles &amp; Pricing'!F69)*('Rates &amp; Drop Downs INT'!$CK$6:$CK$747='2. Roles &amp; Pricing'!K69)*('Rates &amp; Drop Downs INT'!$CP$6:$CP$747)),SUMPRODUCT((TADIndia='2. Roles &amp; Pricing'!D69)*('Rates &amp; Drop Downs INT'!$CI$6:$CI$747='2. Roles &amp; Pricing'!F69)*('Rates &amp; Drop Downs INT'!$CK$6:$CK$747='2. Roles &amp; Pricing'!K69)*('Rates &amp; Drop Downs INT'!$CR$6:$CR$747))),IF(L312&lt;&gt;"","",IF($E$26="Select Type","Select Margin Class",IFERROR(IF($O69="",0,IF($E$26="Client Custom Rates",0,IF($E$26="Standard Rates",_xlfn.XLOOKUP($O69,'Rates &amp; Drop Downs INT'!$F:$F,'Rates &amp; Drop Downs INT'!I:I)))),0))))</f>
        <v>0</v>
      </c>
      <c r="K312" s="885" cm="1">
        <f t="array" ref="K312">IF($E$20&lt;&gt;"Credera US",0,IF(L312&lt;&gt;"","",IFERROR(IF($D$26&lt;&gt;"Client Custom Rates",0,INDEX('Client Rate Cards'!E:E,MATCH(1,('Client Rate Cards'!B:B='2. Roles &amp; Pricing'!$D$27)*('Client Rate Cards'!D:D='2. Roles &amp; Pricing'!T69),0))),0)))</f>
        <v>0</v>
      </c>
      <c r="L312" s="1350"/>
      <c r="M312" s="887" t="str">
        <f t="shared" si="87"/>
        <v/>
      </c>
      <c r="N312" s="913" t="str">
        <f t="shared" si="88"/>
        <v/>
      </c>
    </row>
    <row r="313" spans="3:14" ht="13.95" customHeight="1" x14ac:dyDescent="0.25">
      <c r="C313" s="1352" t="str">
        <f t="shared" si="86"/>
        <v/>
      </c>
      <c r="D313" s="918" t="str">
        <f t="shared" si="89"/>
        <v/>
      </c>
      <c r="E313" s="885"/>
      <c r="F313" s="885" cm="1">
        <f t="array" ref="F313">IFERROR(IF($E$20="Credera US",_xlfn.XLOOKUP($O70,'Rates &amp; Drop Downs INT'!F:F,'Rates &amp; Drop Downs INT'!G:G)*M313,IF($C70="TADNorthAmerica",SUMPRODUCT(('Rates &amp; Drop Downs INT'!$CG$6:$CG$708=$D70)*('Rates &amp; Drop Downs INT'!$CI$6:$CI$708=$F70)*('Rates &amp; Drop Downs INT'!$CK$6:$CK$708=$K70)*('Rates &amp; Drop Downs INT'!$CQ$6:$CQ$708))*M313,SUMPRODUCT(('Rates &amp; Drop Downs INT'!$CG$6:$CG$708=$D70)*('Rates &amp; Drop Downs INT'!$CI$6:$CI$708=$F70)*('Rates &amp; Drop Downs INT'!$CK$6:$CK$708=$K70)*('Rates &amp; Drop Downs INT'!$CT$6:$CT$708))*M313)),0)</f>
        <v>0</v>
      </c>
      <c r="G313" s="886"/>
      <c r="H313" s="886"/>
      <c r="I313" s="885" cm="1">
        <f t="array" ref="I313">IF($E$20="TA Digital",IF($C70="TADNorthAmerica",SUMPRODUCT((TADIndia='2. Roles &amp; Pricing'!D70)*('Rates &amp; Drop Downs INT'!$CI$6:$CI$747='2. Roles &amp; Pricing'!F70)*('Rates &amp; Drop Downs INT'!$CK$6:$CK$747='2. Roles &amp; Pricing'!K70)*('Rates &amp; Drop Downs INT'!$CP$6:$CP$747)),SUMPRODUCT((TADIndia='2. Roles &amp; Pricing'!D70)*('Rates &amp; Drop Downs INT'!$CI$6:$CI$747='2. Roles &amp; Pricing'!F70)*('Rates &amp; Drop Downs INT'!$CK$6:$CK$747='2. Roles &amp; Pricing'!K70)*('Rates &amp; Drop Downs INT'!$CR$6:$CR$747))),IF(L313&lt;&gt;"","",IF($E$26="Select Type","Select Margin Class",IFERROR(IF($O70="",0,IF($E$26="Client Custom Rates",0,IF($E$26="Standard Rates",_xlfn.XLOOKUP($O70,'Rates &amp; Drop Downs INT'!$F:$F,'Rates &amp; Drop Downs INT'!I:I)))),0))))</f>
        <v>0</v>
      </c>
      <c r="K313" s="885" cm="1">
        <f t="array" ref="K313">IF($E$20&lt;&gt;"Credera US",0,IF(L313&lt;&gt;"","",IFERROR(IF($D$26&lt;&gt;"Client Custom Rates",0,INDEX('Client Rate Cards'!E:E,MATCH(1,('Client Rate Cards'!B:B='2. Roles &amp; Pricing'!$D$27)*('Client Rate Cards'!D:D='2. Roles &amp; Pricing'!T70),0))),0)))</f>
        <v>0</v>
      </c>
      <c r="L313" s="1350"/>
      <c r="M313" s="887" t="str">
        <f t="shared" si="87"/>
        <v/>
      </c>
      <c r="N313" s="913" t="str">
        <f t="shared" si="88"/>
        <v/>
      </c>
    </row>
    <row r="314" spans="3:14" ht="13.95" customHeight="1" x14ac:dyDescent="0.25">
      <c r="C314" s="1352" t="str">
        <f t="shared" si="86"/>
        <v/>
      </c>
      <c r="D314" s="918" t="str">
        <f t="shared" si="89"/>
        <v/>
      </c>
      <c r="E314" s="885"/>
      <c r="F314" s="885" cm="1">
        <f t="array" ref="F314">IFERROR(IF($E$20="Credera US",_xlfn.XLOOKUP($O71,'Rates &amp; Drop Downs INT'!F:F,'Rates &amp; Drop Downs INT'!G:G)*M314,IF($C71="TADNorthAmerica",SUMPRODUCT(('Rates &amp; Drop Downs INT'!$CG$6:$CG$708=$D71)*('Rates &amp; Drop Downs INT'!$CI$6:$CI$708=$F71)*('Rates &amp; Drop Downs INT'!$CK$6:$CK$708=$K71)*('Rates &amp; Drop Downs INT'!$CQ$6:$CQ$708))*M314,SUMPRODUCT(('Rates &amp; Drop Downs INT'!$CG$6:$CG$708=$D71)*('Rates &amp; Drop Downs INT'!$CI$6:$CI$708=$F71)*('Rates &amp; Drop Downs INT'!$CK$6:$CK$708=$K71)*('Rates &amp; Drop Downs INT'!$CT$6:$CT$708))*M314)),0)</f>
        <v>0</v>
      </c>
      <c r="G314" s="886"/>
      <c r="H314" s="886"/>
      <c r="I314" s="885" cm="1">
        <f t="array" ref="I314">IF($E$20="TA Digital",IF($C71="TADNorthAmerica",SUMPRODUCT((TADIndia='2. Roles &amp; Pricing'!D71)*('Rates &amp; Drop Downs INT'!$CI$6:$CI$747='2. Roles &amp; Pricing'!F71)*('Rates &amp; Drop Downs INT'!$CK$6:$CK$747='2. Roles &amp; Pricing'!K71)*('Rates &amp; Drop Downs INT'!$CP$6:$CP$747)),SUMPRODUCT((TADIndia='2. Roles &amp; Pricing'!D71)*('Rates &amp; Drop Downs INT'!$CI$6:$CI$747='2. Roles &amp; Pricing'!F71)*('Rates &amp; Drop Downs INT'!$CK$6:$CK$747='2. Roles &amp; Pricing'!K71)*('Rates &amp; Drop Downs INT'!$CR$6:$CR$747))),IF(L314&lt;&gt;"","",IF($E$26="Select Type","Select Margin Class",IFERROR(IF($O71="",0,IF($E$26="Client Custom Rates",0,IF($E$26="Standard Rates",_xlfn.XLOOKUP($O71,'Rates &amp; Drop Downs INT'!$F:$F,'Rates &amp; Drop Downs INT'!I:I)))),0))))</f>
        <v>0</v>
      </c>
      <c r="K314" s="885" cm="1">
        <f t="array" ref="K314">IF($E$20&lt;&gt;"Credera US",0,IF(L314&lt;&gt;"","",IFERROR(IF($D$26&lt;&gt;"Client Custom Rates",0,INDEX('Client Rate Cards'!E:E,MATCH(1,('Client Rate Cards'!B:B='2. Roles &amp; Pricing'!$D$27)*('Client Rate Cards'!D:D='2. Roles &amp; Pricing'!T71),0))),0)))</f>
        <v>0</v>
      </c>
      <c r="L314" s="1350"/>
      <c r="M314" s="887" t="str">
        <f t="shared" si="87"/>
        <v/>
      </c>
      <c r="N314" s="913" t="str">
        <f t="shared" si="88"/>
        <v/>
      </c>
    </row>
    <row r="315" spans="3:14" ht="13.95" customHeight="1" x14ac:dyDescent="0.25">
      <c r="C315" s="1352" t="str">
        <f t="shared" si="86"/>
        <v/>
      </c>
      <c r="D315" s="918" t="str">
        <f t="shared" si="89"/>
        <v/>
      </c>
      <c r="E315" s="885"/>
      <c r="F315" s="885" cm="1">
        <f t="array" ref="F315">IFERROR(IF($E$20="Credera US",_xlfn.XLOOKUP($O72,'Rates &amp; Drop Downs INT'!F:F,'Rates &amp; Drop Downs INT'!G:G)*M315,IF($C72="TADNorthAmerica",SUMPRODUCT(('Rates &amp; Drop Downs INT'!$CG$6:$CG$708=$D72)*('Rates &amp; Drop Downs INT'!$CI$6:$CI$708=$F72)*('Rates &amp; Drop Downs INT'!$CK$6:$CK$708=$K72)*('Rates &amp; Drop Downs INT'!$CQ$6:$CQ$708))*M315,SUMPRODUCT(('Rates &amp; Drop Downs INT'!$CG$6:$CG$708=$D72)*('Rates &amp; Drop Downs INT'!$CI$6:$CI$708=$F72)*('Rates &amp; Drop Downs INT'!$CK$6:$CK$708=$K72)*('Rates &amp; Drop Downs INT'!$CT$6:$CT$708))*M315)),0)</f>
        <v>0</v>
      </c>
      <c r="G315" s="886"/>
      <c r="H315" s="886"/>
      <c r="I315" s="885" cm="1">
        <f t="array" ref="I315">IF($E$20="TA Digital",IF($C72="TADNorthAmerica",SUMPRODUCT((TADIndia='2. Roles &amp; Pricing'!D72)*('Rates &amp; Drop Downs INT'!$CI$6:$CI$747='2. Roles &amp; Pricing'!F72)*('Rates &amp; Drop Downs INT'!$CK$6:$CK$747='2. Roles &amp; Pricing'!K72)*('Rates &amp; Drop Downs INT'!$CP$6:$CP$747)),SUMPRODUCT((TADIndia='2. Roles &amp; Pricing'!D72)*('Rates &amp; Drop Downs INT'!$CI$6:$CI$747='2. Roles &amp; Pricing'!F72)*('Rates &amp; Drop Downs INT'!$CK$6:$CK$747='2. Roles &amp; Pricing'!K72)*('Rates &amp; Drop Downs INT'!$CR$6:$CR$747))),IF(L315&lt;&gt;"","",IF($E$26="Select Type","Select Margin Class",IFERROR(IF($O72="",0,IF($E$26="Client Custom Rates",0,IF($E$26="Standard Rates",_xlfn.XLOOKUP($O72,'Rates &amp; Drop Downs INT'!$F:$F,'Rates &amp; Drop Downs INT'!I:I)))),0))))</f>
        <v>0</v>
      </c>
      <c r="K315" s="885" cm="1">
        <f t="array" ref="K315">IF($E$20&lt;&gt;"Credera US",0,IF(L315&lt;&gt;"","",IFERROR(IF($D$26&lt;&gt;"Client Custom Rates",0,INDEX('Client Rate Cards'!E:E,MATCH(1,('Client Rate Cards'!B:B='2. Roles &amp; Pricing'!$D$27)*('Client Rate Cards'!D:D='2. Roles &amp; Pricing'!T72),0))),0)))</f>
        <v>0</v>
      </c>
      <c r="L315" s="1350"/>
      <c r="M315" s="887" t="str">
        <f t="shared" si="87"/>
        <v/>
      </c>
      <c r="N315" s="913" t="str">
        <f t="shared" si="88"/>
        <v/>
      </c>
    </row>
    <row r="316" spans="3:14" ht="13.95" hidden="1" customHeight="1" outlineLevel="2" x14ac:dyDescent="0.25">
      <c r="C316" s="1352" t="str">
        <f t="shared" si="86"/>
        <v/>
      </c>
      <c r="D316" s="918" t="str">
        <f t="shared" si="89"/>
        <v/>
      </c>
      <c r="E316" s="885"/>
      <c r="F316" s="885" cm="1">
        <f t="array" ref="F316">IFERROR(IF($E$20="Credera US",_xlfn.XLOOKUP($O73,'Rates &amp; Drop Downs INT'!F:F,'Rates &amp; Drop Downs INT'!G:G)*M316,IF($C73="TADNorthAmerica",SUMPRODUCT(('Rates &amp; Drop Downs INT'!$CG$6:$CG$708=$D73)*('Rates &amp; Drop Downs INT'!$CI$6:$CI$708=$F73)*('Rates &amp; Drop Downs INT'!$CK$6:$CK$708=$K73)*('Rates &amp; Drop Downs INT'!$CQ$6:$CQ$708))*M316,SUMPRODUCT(('Rates &amp; Drop Downs INT'!$CG$6:$CG$708=$D73)*('Rates &amp; Drop Downs INT'!$CI$6:$CI$708=$F73)*('Rates &amp; Drop Downs INT'!$CK$6:$CK$708=$K73)*('Rates &amp; Drop Downs INT'!$CT$6:$CT$708))*M316)),0)</f>
        <v>0</v>
      </c>
      <c r="G316" s="886"/>
      <c r="H316" s="886"/>
      <c r="I316" s="885" cm="1">
        <f t="array" ref="I316">IF($E$20="TA Digital",IF($C73="TADNorthAmerica",SUMPRODUCT((TADIndia='2. Roles &amp; Pricing'!D73)*('Rates &amp; Drop Downs INT'!$CI$6:$CI$747='2. Roles &amp; Pricing'!F73)*('Rates &amp; Drop Downs INT'!$CK$6:$CK$747='2. Roles &amp; Pricing'!K73)*('Rates &amp; Drop Downs INT'!$CP$6:$CP$747)),SUMPRODUCT((TADIndia='2. Roles &amp; Pricing'!D73)*('Rates &amp; Drop Downs INT'!$CI$6:$CI$747='2. Roles &amp; Pricing'!F73)*('Rates &amp; Drop Downs INT'!$CK$6:$CK$747='2. Roles &amp; Pricing'!K73)*('Rates &amp; Drop Downs INT'!$CR$6:$CR$747))),IF(L316&lt;&gt;"","",IF($E$26="Select Type","Select Margin Class",IFERROR(IF($O73="",0,IF($E$26="Client Custom Rates",0,IF($E$26="Standard Rates",_xlfn.XLOOKUP($O73,'Rates &amp; Drop Downs INT'!$F:$F,'Rates &amp; Drop Downs INT'!I:I)))),0))))</f>
        <v>0</v>
      </c>
      <c r="K316" s="885" cm="1">
        <f t="array" ref="K316">IF($E$20&lt;&gt;"Credera US",0,IF(L316&lt;&gt;"","",IFERROR(IF($D$26&lt;&gt;"Client Custom Rates",0,INDEX('Client Rate Cards'!E:E,MATCH(1,('Client Rate Cards'!B:B='2. Roles &amp; Pricing'!$D$27)*('Client Rate Cards'!D:D='2. Roles &amp; Pricing'!T73),0))),0)))</f>
        <v>0</v>
      </c>
      <c r="L316" s="1350"/>
      <c r="M316" s="887" t="str">
        <f t="shared" si="87"/>
        <v/>
      </c>
      <c r="N316" s="913" t="str">
        <f t="shared" si="88"/>
        <v/>
      </c>
    </row>
    <row r="317" spans="3:14" ht="13.95" hidden="1" customHeight="1" outlineLevel="2" x14ac:dyDescent="0.25">
      <c r="C317" s="1352" t="str">
        <f t="shared" si="86"/>
        <v/>
      </c>
      <c r="D317" s="918" t="str">
        <f t="shared" si="89"/>
        <v/>
      </c>
      <c r="E317" s="885"/>
      <c r="F317" s="885" cm="1">
        <f t="array" ref="F317">IFERROR(IF($E$20="Credera US",_xlfn.XLOOKUP($O74,'Rates &amp; Drop Downs INT'!F:F,'Rates &amp; Drop Downs INT'!G:G)*M317,IF($C74="TADNorthAmerica",SUMPRODUCT(('Rates &amp; Drop Downs INT'!$CG$6:$CG$708=$D74)*('Rates &amp; Drop Downs INT'!$CI$6:$CI$708=$F74)*('Rates &amp; Drop Downs INT'!$CK$6:$CK$708=$K74)*('Rates &amp; Drop Downs INT'!$CQ$6:$CQ$708))*M317,SUMPRODUCT(('Rates &amp; Drop Downs INT'!$CG$6:$CG$708=$D74)*('Rates &amp; Drop Downs INT'!$CI$6:$CI$708=$F74)*('Rates &amp; Drop Downs INT'!$CK$6:$CK$708=$K74)*('Rates &amp; Drop Downs INT'!$CT$6:$CT$708))*M317)),0)</f>
        <v>0</v>
      </c>
      <c r="G317" s="886"/>
      <c r="H317" s="886"/>
      <c r="I317" s="885" cm="1">
        <f t="array" ref="I317">IF($E$20="TA Digital",IF($C74="TADNorthAmerica",SUMPRODUCT((TADIndia='2. Roles &amp; Pricing'!D74)*('Rates &amp; Drop Downs INT'!$CI$6:$CI$747='2. Roles &amp; Pricing'!F74)*('Rates &amp; Drop Downs INT'!$CK$6:$CK$747='2. Roles &amp; Pricing'!K74)*('Rates &amp; Drop Downs INT'!$CP$6:$CP$747)),SUMPRODUCT((TADIndia='2. Roles &amp; Pricing'!D74)*('Rates &amp; Drop Downs INT'!$CI$6:$CI$747='2. Roles &amp; Pricing'!F74)*('Rates &amp; Drop Downs INT'!$CK$6:$CK$747='2. Roles &amp; Pricing'!K74)*('Rates &amp; Drop Downs INT'!$CR$6:$CR$747))),IF(L317&lt;&gt;"","",IF($E$26="Select Type","Select Margin Class",IFERROR(IF($O74="",0,IF($E$26="Client Custom Rates",0,IF($E$26="Standard Rates",_xlfn.XLOOKUP($O74,'Rates &amp; Drop Downs INT'!$F:$F,'Rates &amp; Drop Downs INT'!I:I)))),0))))</f>
        <v>0</v>
      </c>
      <c r="K317" s="885" cm="1">
        <f t="array" ref="K317">IF($E$20&lt;&gt;"Credera US",0,IF(L317&lt;&gt;"","",IFERROR(IF($D$26&lt;&gt;"Client Custom Rates",0,INDEX('Client Rate Cards'!E:E,MATCH(1,('Client Rate Cards'!B:B='2. Roles &amp; Pricing'!$D$27)*('Client Rate Cards'!D:D='2. Roles &amp; Pricing'!T74),0))),0)))</f>
        <v>0</v>
      </c>
      <c r="L317" s="1350"/>
      <c r="M317" s="887" t="str">
        <f t="shared" si="87"/>
        <v/>
      </c>
      <c r="N317" s="913" t="str">
        <f t="shared" si="88"/>
        <v/>
      </c>
    </row>
    <row r="318" spans="3:14" ht="13.95" hidden="1" customHeight="1" outlineLevel="2" x14ac:dyDescent="0.25">
      <c r="C318" s="1352" t="str">
        <f t="shared" si="86"/>
        <v/>
      </c>
      <c r="D318" s="918" t="str">
        <f t="shared" si="89"/>
        <v/>
      </c>
      <c r="E318" s="885"/>
      <c r="F318" s="885" cm="1">
        <f t="array" ref="F318">IFERROR(IF($E$20="Credera US",_xlfn.XLOOKUP($O75,'Rates &amp; Drop Downs INT'!F:F,'Rates &amp; Drop Downs INT'!G:G)*M318,IF($C75="TADNorthAmerica",SUMPRODUCT(('Rates &amp; Drop Downs INT'!$CG$6:$CG$708=$D75)*('Rates &amp; Drop Downs INT'!$CI$6:$CI$708=$F75)*('Rates &amp; Drop Downs INT'!$CK$6:$CK$708=$K75)*('Rates &amp; Drop Downs INT'!$CQ$6:$CQ$708))*M318,SUMPRODUCT(('Rates &amp; Drop Downs INT'!$CG$6:$CG$708=$D75)*('Rates &amp; Drop Downs INT'!$CI$6:$CI$708=$F75)*('Rates &amp; Drop Downs INT'!$CK$6:$CK$708=$K75)*('Rates &amp; Drop Downs INT'!$CT$6:$CT$708))*M318)),0)</f>
        <v>0</v>
      </c>
      <c r="G318" s="886"/>
      <c r="H318" s="886"/>
      <c r="I318" s="885" cm="1">
        <f t="array" ref="I318">IF($E$20="TA Digital",IF($C75="TADNorthAmerica",SUMPRODUCT((TADIndia='2. Roles &amp; Pricing'!D75)*('Rates &amp; Drop Downs INT'!$CI$6:$CI$747='2. Roles &amp; Pricing'!F75)*('Rates &amp; Drop Downs INT'!$CK$6:$CK$747='2. Roles &amp; Pricing'!K75)*('Rates &amp; Drop Downs INT'!$CP$6:$CP$747)),SUMPRODUCT((TADIndia='2. Roles &amp; Pricing'!D75)*('Rates &amp; Drop Downs INT'!$CI$6:$CI$747='2. Roles &amp; Pricing'!F75)*('Rates &amp; Drop Downs INT'!$CK$6:$CK$747='2. Roles &amp; Pricing'!K75)*('Rates &amp; Drop Downs INT'!$CR$6:$CR$747))),IF(L318&lt;&gt;"","",IF($E$26="Select Type","Select Margin Class",IFERROR(IF($O75="",0,IF($E$26="Client Custom Rates",0,IF($E$26="Standard Rates",_xlfn.XLOOKUP($O75,'Rates &amp; Drop Downs INT'!$F:$F,'Rates &amp; Drop Downs INT'!I:I)))),0))))</f>
        <v>0</v>
      </c>
      <c r="K318" s="885" cm="1">
        <f t="array" ref="K318">IF($E$20&lt;&gt;"Credera US",0,IF(L318&lt;&gt;"","",IFERROR(IF($D$26&lt;&gt;"Client Custom Rates",0,INDEX('Client Rate Cards'!E:E,MATCH(1,('Client Rate Cards'!B:B='2. Roles &amp; Pricing'!$D$27)*('Client Rate Cards'!D:D='2. Roles &amp; Pricing'!T75),0))),0)))</f>
        <v>0</v>
      </c>
      <c r="L318" s="1350"/>
      <c r="M318" s="887" t="str">
        <f t="shared" si="87"/>
        <v/>
      </c>
      <c r="N318" s="913" t="str">
        <f t="shared" si="88"/>
        <v/>
      </c>
    </row>
    <row r="319" spans="3:14" ht="13.95" hidden="1" customHeight="1" outlineLevel="2" x14ac:dyDescent="0.25">
      <c r="C319" s="1352" t="str">
        <f t="shared" si="86"/>
        <v/>
      </c>
      <c r="D319" s="918" t="str">
        <f t="shared" si="89"/>
        <v/>
      </c>
      <c r="E319" s="885"/>
      <c r="F319" s="885" cm="1">
        <f t="array" ref="F319">IFERROR(IF($E$20="Credera US",_xlfn.XLOOKUP($O76,'Rates &amp; Drop Downs INT'!F:F,'Rates &amp; Drop Downs INT'!G:G)*M319,IF($C76="TADNorthAmerica",SUMPRODUCT(('Rates &amp; Drop Downs INT'!$CG$6:$CG$708=$D76)*('Rates &amp; Drop Downs INT'!$CI$6:$CI$708=$F76)*('Rates &amp; Drop Downs INT'!$CK$6:$CK$708=$K76)*('Rates &amp; Drop Downs INT'!$CQ$6:$CQ$708))*M319,SUMPRODUCT(('Rates &amp; Drop Downs INT'!$CG$6:$CG$708=$D76)*('Rates &amp; Drop Downs INT'!$CI$6:$CI$708=$F76)*('Rates &amp; Drop Downs INT'!$CK$6:$CK$708=$K76)*('Rates &amp; Drop Downs INT'!$CT$6:$CT$708))*M319)),0)</f>
        <v>0</v>
      </c>
      <c r="G319" s="886"/>
      <c r="H319" s="886"/>
      <c r="I319" s="885" cm="1">
        <f t="array" ref="I319">IF($E$20="TA Digital",IF($C76="TADNorthAmerica",SUMPRODUCT((TADIndia='2. Roles &amp; Pricing'!D76)*('Rates &amp; Drop Downs INT'!$CI$6:$CI$747='2. Roles &amp; Pricing'!F76)*('Rates &amp; Drop Downs INT'!$CK$6:$CK$747='2. Roles &amp; Pricing'!K76)*('Rates &amp; Drop Downs INT'!$CP$6:$CP$747)),SUMPRODUCT((TADIndia='2. Roles &amp; Pricing'!D76)*('Rates &amp; Drop Downs INT'!$CI$6:$CI$747='2. Roles &amp; Pricing'!F76)*('Rates &amp; Drop Downs INT'!$CK$6:$CK$747='2. Roles &amp; Pricing'!K76)*('Rates &amp; Drop Downs INT'!$CR$6:$CR$747))),IF(L319&lt;&gt;"","",IF($E$26="Select Type","Select Margin Class",IFERROR(IF($O76="",0,IF($E$26="Client Custom Rates",0,IF($E$26="Standard Rates",_xlfn.XLOOKUP($O76,'Rates &amp; Drop Downs INT'!$F:$F,'Rates &amp; Drop Downs INT'!I:I)))),0))))</f>
        <v>0</v>
      </c>
      <c r="K319" s="885" cm="1">
        <f t="array" ref="K319">IF($E$20&lt;&gt;"Credera US",0,IF(L319&lt;&gt;"","",IFERROR(IF($D$26&lt;&gt;"Client Custom Rates",0,INDEX('Client Rate Cards'!E:E,MATCH(1,('Client Rate Cards'!B:B='2. Roles &amp; Pricing'!$D$27)*('Client Rate Cards'!D:D='2. Roles &amp; Pricing'!T76),0))),0)))</f>
        <v>0</v>
      </c>
      <c r="L319" s="1350"/>
      <c r="M319" s="887" t="str">
        <f t="shared" si="87"/>
        <v/>
      </c>
      <c r="N319" s="913" t="str">
        <f t="shared" si="88"/>
        <v/>
      </c>
    </row>
    <row r="320" spans="3:14" ht="13.95" hidden="1" customHeight="1" outlineLevel="2" x14ac:dyDescent="0.25">
      <c r="C320" s="1352" t="str">
        <f t="shared" si="86"/>
        <v/>
      </c>
      <c r="D320" s="918" t="str">
        <f t="shared" si="89"/>
        <v/>
      </c>
      <c r="E320" s="885"/>
      <c r="F320" s="885" cm="1">
        <f t="array" ref="F320">IFERROR(IF($E$20="Credera US",_xlfn.XLOOKUP($O77,'Rates &amp; Drop Downs INT'!F:F,'Rates &amp; Drop Downs INT'!G:G)*M320,IF($C77="TADNorthAmerica",SUMPRODUCT(('Rates &amp; Drop Downs INT'!$CG$6:$CG$708=$D77)*('Rates &amp; Drop Downs INT'!$CI$6:$CI$708=$F77)*('Rates &amp; Drop Downs INT'!$CK$6:$CK$708=$K77)*('Rates &amp; Drop Downs INT'!$CQ$6:$CQ$708))*M320,SUMPRODUCT(('Rates &amp; Drop Downs INT'!$CG$6:$CG$708=$D77)*('Rates &amp; Drop Downs INT'!$CI$6:$CI$708=$F77)*('Rates &amp; Drop Downs INT'!$CK$6:$CK$708=$K77)*('Rates &amp; Drop Downs INT'!$CT$6:$CT$708))*M320)),0)</f>
        <v>0</v>
      </c>
      <c r="G320" s="886"/>
      <c r="H320" s="886"/>
      <c r="I320" s="885" cm="1">
        <f t="array" ref="I320">IF($E$20="TA Digital",IF($C77="TADNorthAmerica",SUMPRODUCT((TADIndia='2. Roles &amp; Pricing'!D77)*('Rates &amp; Drop Downs INT'!$CI$6:$CI$747='2. Roles &amp; Pricing'!F77)*('Rates &amp; Drop Downs INT'!$CK$6:$CK$747='2. Roles &amp; Pricing'!K77)*('Rates &amp; Drop Downs INT'!$CP$6:$CP$747)),SUMPRODUCT((TADIndia='2. Roles &amp; Pricing'!D77)*('Rates &amp; Drop Downs INT'!$CI$6:$CI$747='2. Roles &amp; Pricing'!F77)*('Rates &amp; Drop Downs INT'!$CK$6:$CK$747='2. Roles &amp; Pricing'!K77)*('Rates &amp; Drop Downs INT'!$CR$6:$CR$747))),IF(L320&lt;&gt;"","",IF($E$26="Select Type","Select Margin Class",IFERROR(IF($O77="",0,IF($E$26="Client Custom Rates",0,IF($E$26="Standard Rates",_xlfn.XLOOKUP($O77,'Rates &amp; Drop Downs INT'!$F:$F,'Rates &amp; Drop Downs INT'!I:I)))),0))))</f>
        <v>0</v>
      </c>
      <c r="K320" s="885" cm="1">
        <f t="array" ref="K320">IF($E$20&lt;&gt;"Credera US",0,IF(L320&lt;&gt;"","",IFERROR(IF($D$26&lt;&gt;"Client Custom Rates",0,INDEX('Client Rate Cards'!E:E,MATCH(1,('Client Rate Cards'!B:B='2. Roles &amp; Pricing'!$D$27)*('Client Rate Cards'!D:D='2. Roles &amp; Pricing'!T77),0))),0)))</f>
        <v>0</v>
      </c>
      <c r="L320" s="1350"/>
      <c r="M320" s="887" t="str">
        <f t="shared" si="87"/>
        <v/>
      </c>
      <c r="N320" s="913" t="str">
        <f t="shared" si="88"/>
        <v/>
      </c>
    </row>
    <row r="321" spans="3:14" ht="13.95" hidden="1" customHeight="1" outlineLevel="2" x14ac:dyDescent="0.25">
      <c r="C321" s="1352" t="str">
        <f t="shared" si="86"/>
        <v/>
      </c>
      <c r="D321" s="918" t="str">
        <f t="shared" si="89"/>
        <v/>
      </c>
      <c r="E321" s="885"/>
      <c r="F321" s="885" cm="1">
        <f t="array" ref="F321">IFERROR(IF($E$20="Credera US",_xlfn.XLOOKUP($O78,'Rates &amp; Drop Downs INT'!F:F,'Rates &amp; Drop Downs INT'!G:G)*M321,IF($C78="TADNorthAmerica",SUMPRODUCT(('Rates &amp; Drop Downs INT'!$CG$6:$CG$708=$D78)*('Rates &amp; Drop Downs INT'!$CI$6:$CI$708=$F78)*('Rates &amp; Drop Downs INT'!$CK$6:$CK$708=$K78)*('Rates &amp; Drop Downs INT'!$CQ$6:$CQ$708))*M321,SUMPRODUCT(('Rates &amp; Drop Downs INT'!$CG$6:$CG$708=$D78)*('Rates &amp; Drop Downs INT'!$CI$6:$CI$708=$F78)*('Rates &amp; Drop Downs INT'!$CK$6:$CK$708=$K78)*('Rates &amp; Drop Downs INT'!$CT$6:$CT$708))*M321)),0)</f>
        <v>0</v>
      </c>
      <c r="G321" s="886"/>
      <c r="H321" s="886"/>
      <c r="I321" s="885" cm="1">
        <f t="array" ref="I321">IF($E$20="TA Digital",IF($C78="TADNorthAmerica",SUMPRODUCT((TADIndia='2. Roles &amp; Pricing'!D78)*('Rates &amp; Drop Downs INT'!$CI$6:$CI$747='2. Roles &amp; Pricing'!F78)*('Rates &amp; Drop Downs INT'!$CK$6:$CK$747='2. Roles &amp; Pricing'!K78)*('Rates &amp; Drop Downs INT'!$CP$6:$CP$747)),SUMPRODUCT((TADIndia='2. Roles &amp; Pricing'!D78)*('Rates &amp; Drop Downs INT'!$CI$6:$CI$747='2. Roles &amp; Pricing'!F78)*('Rates &amp; Drop Downs INT'!$CK$6:$CK$747='2. Roles &amp; Pricing'!K78)*('Rates &amp; Drop Downs INT'!$CR$6:$CR$747))),IF(L321&lt;&gt;"","",IF($E$26="Select Type","Select Margin Class",IFERROR(IF($O78="",0,IF($E$26="Client Custom Rates",0,IF($E$26="Standard Rates",_xlfn.XLOOKUP($O78,'Rates &amp; Drop Downs INT'!$F:$F,'Rates &amp; Drop Downs INT'!I:I)))),0))))</f>
        <v>0</v>
      </c>
      <c r="K321" s="885" cm="1">
        <f t="array" ref="K321">IF($E$20&lt;&gt;"Credera US",0,IF(L321&lt;&gt;"","",IFERROR(IF($D$26&lt;&gt;"Client Custom Rates",0,INDEX('Client Rate Cards'!E:E,MATCH(1,('Client Rate Cards'!B:B='2. Roles &amp; Pricing'!$D$27)*('Client Rate Cards'!D:D='2. Roles &amp; Pricing'!T78),0))),0)))</f>
        <v>0</v>
      </c>
      <c r="L321" s="1350"/>
      <c r="M321" s="887" t="str">
        <f t="shared" si="87"/>
        <v/>
      </c>
      <c r="N321" s="913" t="str">
        <f t="shared" si="88"/>
        <v/>
      </c>
    </row>
    <row r="322" spans="3:14" ht="13.95" hidden="1" customHeight="1" outlineLevel="2" x14ac:dyDescent="0.25">
      <c r="C322" s="1352" t="str">
        <f t="shared" si="86"/>
        <v/>
      </c>
      <c r="D322" s="918" t="str">
        <f t="shared" si="89"/>
        <v/>
      </c>
      <c r="E322" s="885"/>
      <c r="F322" s="885" cm="1">
        <f t="array" ref="F322">IFERROR(IF($E$20="Credera US",_xlfn.XLOOKUP($O79,'Rates &amp; Drop Downs INT'!F:F,'Rates &amp; Drop Downs INT'!G:G)*M322,IF($C79="TADNorthAmerica",SUMPRODUCT(('Rates &amp; Drop Downs INT'!$CG$6:$CG$708=$D79)*('Rates &amp; Drop Downs INT'!$CI$6:$CI$708=$F79)*('Rates &amp; Drop Downs INT'!$CK$6:$CK$708=$K79)*('Rates &amp; Drop Downs INT'!$CQ$6:$CQ$708))*M322,SUMPRODUCT(('Rates &amp; Drop Downs INT'!$CG$6:$CG$708=$D79)*('Rates &amp; Drop Downs INT'!$CI$6:$CI$708=$F79)*('Rates &amp; Drop Downs INT'!$CK$6:$CK$708=$K79)*('Rates &amp; Drop Downs INT'!$CT$6:$CT$708))*M322)),0)</f>
        <v>0</v>
      </c>
      <c r="G322" s="886"/>
      <c r="H322" s="886"/>
      <c r="I322" s="885" cm="1">
        <f t="array" ref="I322">IF($E$20="TA Digital",IF($C79="TADNorthAmerica",SUMPRODUCT((TADIndia='2. Roles &amp; Pricing'!D79)*('Rates &amp; Drop Downs INT'!$CI$6:$CI$747='2. Roles &amp; Pricing'!F79)*('Rates &amp; Drop Downs INT'!$CK$6:$CK$747='2. Roles &amp; Pricing'!K79)*('Rates &amp; Drop Downs INT'!$CP$6:$CP$747)),SUMPRODUCT((TADIndia='2. Roles &amp; Pricing'!D79)*('Rates &amp; Drop Downs INT'!$CI$6:$CI$747='2. Roles &amp; Pricing'!F79)*('Rates &amp; Drop Downs INT'!$CK$6:$CK$747='2. Roles &amp; Pricing'!K79)*('Rates &amp; Drop Downs INT'!$CR$6:$CR$747))),IF(L322&lt;&gt;"","",IF($E$26="Select Type","Select Margin Class",IFERROR(IF($O79="",0,IF($E$26="Client Custom Rates",0,IF($E$26="Standard Rates",_xlfn.XLOOKUP($O79,'Rates &amp; Drop Downs INT'!$F:$F,'Rates &amp; Drop Downs INT'!I:I)))),0))))</f>
        <v>0</v>
      </c>
      <c r="K322" s="885" cm="1">
        <f t="array" ref="K322">IF($E$20&lt;&gt;"Credera US",0,IF(L322&lt;&gt;"","",IFERROR(IF($D$26&lt;&gt;"Client Custom Rates",0,INDEX('Client Rate Cards'!E:E,MATCH(1,('Client Rate Cards'!B:B='2. Roles &amp; Pricing'!$D$27)*('Client Rate Cards'!D:D='2. Roles &amp; Pricing'!T79),0))),0)))</f>
        <v>0</v>
      </c>
      <c r="L322" s="1350"/>
      <c r="M322" s="887" t="str">
        <f t="shared" si="87"/>
        <v/>
      </c>
      <c r="N322" s="913" t="str">
        <f t="shared" si="88"/>
        <v/>
      </c>
    </row>
    <row r="323" spans="3:14" ht="13.95" hidden="1" customHeight="1" outlineLevel="2" x14ac:dyDescent="0.25">
      <c r="C323" s="1352" t="str">
        <f t="shared" ref="C323:C354" si="90">IF(K80="","",K80)</f>
        <v/>
      </c>
      <c r="D323" s="918" t="str">
        <f t="shared" si="89"/>
        <v/>
      </c>
      <c r="E323" s="885"/>
      <c r="F323" s="885" cm="1">
        <f t="array" ref="F323">IFERROR(IF($E$20="Credera US",_xlfn.XLOOKUP($O80,'Rates &amp; Drop Downs INT'!F:F,'Rates &amp; Drop Downs INT'!G:G)*M323,IF($C80="TADNorthAmerica",SUMPRODUCT(('Rates &amp; Drop Downs INT'!$CG$6:$CG$708=$D80)*('Rates &amp; Drop Downs INT'!$CI$6:$CI$708=$F80)*('Rates &amp; Drop Downs INT'!$CK$6:$CK$708=$K80)*('Rates &amp; Drop Downs INT'!$CQ$6:$CQ$708))*M323,SUMPRODUCT(('Rates &amp; Drop Downs INT'!$CG$6:$CG$708=$D80)*('Rates &amp; Drop Downs INT'!$CI$6:$CI$708=$F80)*('Rates &amp; Drop Downs INT'!$CK$6:$CK$708=$K80)*('Rates &amp; Drop Downs INT'!$CT$6:$CT$708))*M323)),0)</f>
        <v>0</v>
      </c>
      <c r="G323" s="886"/>
      <c r="H323" s="886"/>
      <c r="I323" s="885" cm="1">
        <f t="array" ref="I323">IF($E$20="TA Digital",IF($C80="TADNorthAmerica",SUMPRODUCT((TADIndia='2. Roles &amp; Pricing'!D80)*('Rates &amp; Drop Downs INT'!$CI$6:$CI$747='2. Roles &amp; Pricing'!F80)*('Rates &amp; Drop Downs INT'!$CK$6:$CK$747='2. Roles &amp; Pricing'!K80)*('Rates &amp; Drop Downs INT'!$CP$6:$CP$747)),SUMPRODUCT((TADIndia='2. Roles &amp; Pricing'!D80)*('Rates &amp; Drop Downs INT'!$CI$6:$CI$747='2. Roles &amp; Pricing'!F80)*('Rates &amp; Drop Downs INT'!$CK$6:$CK$747='2. Roles &amp; Pricing'!K80)*('Rates &amp; Drop Downs INT'!$CR$6:$CR$747))),IF(L323&lt;&gt;"","",IF($E$26="Select Type","Select Margin Class",IFERROR(IF($O80="",0,IF($E$26="Client Custom Rates",0,IF($E$26="Standard Rates",_xlfn.XLOOKUP($O80,'Rates &amp; Drop Downs INT'!$F:$F,'Rates &amp; Drop Downs INT'!I:I)))),0))))</f>
        <v>0</v>
      </c>
      <c r="K323" s="885" cm="1">
        <f t="array" ref="K323">IF($E$20&lt;&gt;"Credera US",0,IF(L323&lt;&gt;"","",IFERROR(IF($D$26&lt;&gt;"Client Custom Rates",0,INDEX('Client Rate Cards'!E:E,MATCH(1,('Client Rate Cards'!B:B='2. Roles &amp; Pricing'!$D$27)*('Client Rate Cards'!D:D='2. Roles &amp; Pricing'!T80),0))),0)))</f>
        <v>0</v>
      </c>
      <c r="L323" s="1350"/>
      <c r="M323" s="887" t="str">
        <f t="shared" ref="M323:M354" si="91">IF(SUM(E202:BM202)=0,"",SUM(E202:BM202))</f>
        <v/>
      </c>
      <c r="N323" s="913" t="str">
        <f t="shared" ref="N323:N346" si="92">IF(COUNTIF($D202:$BC202,"&gt;0")=0,"",COUNTIF($D202:$BC202,"&gt;0"))</f>
        <v/>
      </c>
    </row>
    <row r="324" spans="3:14" ht="13.95" hidden="1" customHeight="1" outlineLevel="2" x14ac:dyDescent="0.25">
      <c r="C324" s="1352" t="str">
        <f t="shared" si="90"/>
        <v/>
      </c>
      <c r="D324" s="918" t="str">
        <f t="shared" si="89"/>
        <v/>
      </c>
      <c r="E324" s="885"/>
      <c r="F324" s="885" cm="1">
        <f t="array" ref="F324">IFERROR(IF($E$20="Credera US",_xlfn.XLOOKUP($O81,'Rates &amp; Drop Downs INT'!F:F,'Rates &amp; Drop Downs INT'!G:G)*M324,IF($C81="TADNorthAmerica",SUMPRODUCT(('Rates &amp; Drop Downs INT'!$CG$6:$CG$708=$D81)*('Rates &amp; Drop Downs INT'!$CI$6:$CI$708=$F81)*('Rates &amp; Drop Downs INT'!$CK$6:$CK$708=$K81)*('Rates &amp; Drop Downs INT'!$CQ$6:$CQ$708))*M324,SUMPRODUCT(('Rates &amp; Drop Downs INT'!$CG$6:$CG$708=$D81)*('Rates &amp; Drop Downs INT'!$CI$6:$CI$708=$F81)*('Rates &amp; Drop Downs INT'!$CK$6:$CK$708=$K81)*('Rates &amp; Drop Downs INT'!$CT$6:$CT$708))*M324)),0)</f>
        <v>0</v>
      </c>
      <c r="G324" s="886"/>
      <c r="H324" s="886"/>
      <c r="I324" s="885" cm="1">
        <f t="array" ref="I324">IF($E$20="TA Digital",IF($C81="TADNorthAmerica",SUMPRODUCT((TADIndia='2. Roles &amp; Pricing'!D81)*('Rates &amp; Drop Downs INT'!$CI$6:$CI$747='2. Roles &amp; Pricing'!F81)*('Rates &amp; Drop Downs INT'!$CK$6:$CK$747='2. Roles &amp; Pricing'!K81)*('Rates &amp; Drop Downs INT'!$CP$6:$CP$747)),SUMPRODUCT((TADIndia='2. Roles &amp; Pricing'!D81)*('Rates &amp; Drop Downs INT'!$CI$6:$CI$747='2. Roles &amp; Pricing'!F81)*('Rates &amp; Drop Downs INT'!$CK$6:$CK$747='2. Roles &amp; Pricing'!K81)*('Rates &amp; Drop Downs INT'!$CR$6:$CR$747))),IF(L324&lt;&gt;"","",IF($E$26="Select Type","Select Margin Class",IFERROR(IF($O81="",0,IF($E$26="Client Custom Rates",0,IF($E$26="Standard Rates",_xlfn.XLOOKUP($O81,'Rates &amp; Drop Downs INT'!$F:$F,'Rates &amp; Drop Downs INT'!I:I)))),0))))</f>
        <v>0</v>
      </c>
      <c r="K324" s="885" cm="1">
        <f t="array" ref="K324">IF($E$20&lt;&gt;"Credera US",0,IF(L324&lt;&gt;"","",IFERROR(IF($D$26&lt;&gt;"Client Custom Rates",0,INDEX('Client Rate Cards'!E:E,MATCH(1,('Client Rate Cards'!B:B='2. Roles &amp; Pricing'!$D$27)*('Client Rate Cards'!D:D='2. Roles &amp; Pricing'!T81),0))),0)))</f>
        <v>0</v>
      </c>
      <c r="L324" s="1350"/>
      <c r="M324" s="887" t="str">
        <f t="shared" si="91"/>
        <v/>
      </c>
      <c r="N324" s="913" t="str">
        <f t="shared" si="92"/>
        <v/>
      </c>
    </row>
    <row r="325" spans="3:14" ht="13.95" hidden="1" customHeight="1" outlineLevel="2" x14ac:dyDescent="0.25">
      <c r="C325" s="1352" t="str">
        <f t="shared" si="90"/>
        <v/>
      </c>
      <c r="D325" s="918" t="str">
        <f t="shared" si="89"/>
        <v/>
      </c>
      <c r="E325" s="885"/>
      <c r="F325" s="885" cm="1">
        <f t="array" ref="F325">IFERROR(IF($E$20="Credera US",_xlfn.XLOOKUP($O82,'Rates &amp; Drop Downs INT'!F:F,'Rates &amp; Drop Downs INT'!G:G)*M325,IF($C82="TADNorthAmerica",SUMPRODUCT(('Rates &amp; Drop Downs INT'!$CG$6:$CG$708=$D82)*('Rates &amp; Drop Downs INT'!$CI$6:$CI$708=$F82)*('Rates &amp; Drop Downs INT'!$CK$6:$CK$708=$K82)*('Rates &amp; Drop Downs INT'!$CQ$6:$CQ$708))*M325,SUMPRODUCT(('Rates &amp; Drop Downs INT'!$CG$6:$CG$708=$D82)*('Rates &amp; Drop Downs INT'!$CI$6:$CI$708=$F82)*('Rates &amp; Drop Downs INT'!$CK$6:$CK$708=$K82)*('Rates &amp; Drop Downs INT'!$CT$6:$CT$708))*M325)),0)</f>
        <v>0</v>
      </c>
      <c r="G325" s="886"/>
      <c r="H325" s="886"/>
      <c r="I325" s="885" cm="1">
        <f t="array" ref="I325">IF($E$20="TA Digital",IF($C82="TADNorthAmerica",SUMPRODUCT((TADIndia='2. Roles &amp; Pricing'!D82)*('Rates &amp; Drop Downs INT'!$CI$6:$CI$747='2. Roles &amp; Pricing'!F82)*('Rates &amp; Drop Downs INT'!$CK$6:$CK$747='2. Roles &amp; Pricing'!K82)*('Rates &amp; Drop Downs INT'!$CP$6:$CP$747)),SUMPRODUCT((TADIndia='2. Roles &amp; Pricing'!D82)*('Rates &amp; Drop Downs INT'!$CI$6:$CI$747='2. Roles &amp; Pricing'!F82)*('Rates &amp; Drop Downs INT'!$CK$6:$CK$747='2. Roles &amp; Pricing'!K82)*('Rates &amp; Drop Downs INT'!$CR$6:$CR$747))),IF(L325&lt;&gt;"","",IF($E$26="Select Type","Select Margin Class",IFERROR(IF($O82="",0,IF($E$26="Client Custom Rates",0,IF($E$26="Standard Rates",_xlfn.XLOOKUP($O82,'Rates &amp; Drop Downs INT'!$F:$F,'Rates &amp; Drop Downs INT'!I:I)))),0))))</f>
        <v>0</v>
      </c>
      <c r="K325" s="885" cm="1">
        <f t="array" ref="K325">IF($E$20&lt;&gt;"Credera US",0,IF(L325&lt;&gt;"","",IFERROR(IF($D$26&lt;&gt;"Client Custom Rates",0,INDEX('Client Rate Cards'!E:E,MATCH(1,('Client Rate Cards'!B:B='2. Roles &amp; Pricing'!$D$27)*('Client Rate Cards'!D:D='2. Roles &amp; Pricing'!T82),0))),0)))</f>
        <v>0</v>
      </c>
      <c r="L325" s="1350"/>
      <c r="M325" s="887" t="str">
        <f t="shared" si="91"/>
        <v/>
      </c>
      <c r="N325" s="913" t="str">
        <f t="shared" si="92"/>
        <v/>
      </c>
    </row>
    <row r="326" spans="3:14" ht="13.95" hidden="1" customHeight="1" outlineLevel="2" x14ac:dyDescent="0.25">
      <c r="C326" s="1352" t="str">
        <f t="shared" si="90"/>
        <v/>
      </c>
      <c r="D326" s="918" t="str">
        <f t="shared" si="89"/>
        <v/>
      </c>
      <c r="E326" s="885"/>
      <c r="F326" s="885" cm="1">
        <f t="array" ref="F326">IFERROR(IF($E$20="Credera US",_xlfn.XLOOKUP($O83,'Rates &amp; Drop Downs INT'!F:F,'Rates &amp; Drop Downs INT'!G:G)*M326,IF($C83="TADNorthAmerica",SUMPRODUCT(('Rates &amp; Drop Downs INT'!$CG$6:$CG$708=$D83)*('Rates &amp; Drop Downs INT'!$CI$6:$CI$708=$F83)*('Rates &amp; Drop Downs INT'!$CK$6:$CK$708=$K83)*('Rates &amp; Drop Downs INT'!$CQ$6:$CQ$708))*M326,SUMPRODUCT(('Rates &amp; Drop Downs INT'!$CG$6:$CG$708=$D83)*('Rates &amp; Drop Downs INT'!$CI$6:$CI$708=$F83)*('Rates &amp; Drop Downs INT'!$CK$6:$CK$708=$K83)*('Rates &amp; Drop Downs INT'!$CT$6:$CT$708))*M326)),0)</f>
        <v>0</v>
      </c>
      <c r="G326" s="886"/>
      <c r="H326" s="886"/>
      <c r="I326" s="885" cm="1">
        <f t="array" ref="I326">IF($E$20="TA Digital",IF($C83="TADNorthAmerica",SUMPRODUCT((TADIndia='2. Roles &amp; Pricing'!D83)*('Rates &amp; Drop Downs INT'!$CI$6:$CI$747='2. Roles &amp; Pricing'!F83)*('Rates &amp; Drop Downs INT'!$CK$6:$CK$747='2. Roles &amp; Pricing'!K83)*('Rates &amp; Drop Downs INT'!$CP$6:$CP$747)),SUMPRODUCT((TADIndia='2. Roles &amp; Pricing'!D83)*('Rates &amp; Drop Downs INT'!$CI$6:$CI$747='2. Roles &amp; Pricing'!F83)*('Rates &amp; Drop Downs INT'!$CK$6:$CK$747='2. Roles &amp; Pricing'!K83)*('Rates &amp; Drop Downs INT'!$CR$6:$CR$747))),IF(L326&lt;&gt;"","",IF($E$26="Select Type","Select Margin Class",IFERROR(IF($O83="",0,IF($E$26="Client Custom Rates",0,IF($E$26="Standard Rates",_xlfn.XLOOKUP($O83,'Rates &amp; Drop Downs INT'!$F:$F,'Rates &amp; Drop Downs INT'!I:I)))),0))))</f>
        <v>0</v>
      </c>
      <c r="K326" s="885" cm="1">
        <f t="array" ref="K326">IF($E$20&lt;&gt;"Credera US",0,IF(L326&lt;&gt;"","",IFERROR(IF($D$26&lt;&gt;"Client Custom Rates",0,INDEX('Client Rate Cards'!E:E,MATCH(1,('Client Rate Cards'!B:B='2. Roles &amp; Pricing'!$D$27)*('Client Rate Cards'!D:D='2. Roles &amp; Pricing'!T83),0))),0)))</f>
        <v>0</v>
      </c>
      <c r="L326" s="1350"/>
      <c r="M326" s="887" t="str">
        <f t="shared" si="91"/>
        <v/>
      </c>
      <c r="N326" s="913" t="str">
        <f t="shared" si="92"/>
        <v/>
      </c>
    </row>
    <row r="327" spans="3:14" ht="13.95" hidden="1" customHeight="1" outlineLevel="2" x14ac:dyDescent="0.25">
      <c r="C327" s="1352" t="str">
        <f t="shared" si="90"/>
        <v/>
      </c>
      <c r="D327" s="918" t="str">
        <f t="shared" si="89"/>
        <v/>
      </c>
      <c r="E327" s="885"/>
      <c r="F327" s="885" cm="1">
        <f t="array" ref="F327">IFERROR(IF($E$20="Credera US",_xlfn.XLOOKUP($O84,'Rates &amp; Drop Downs INT'!F:F,'Rates &amp; Drop Downs INT'!G:G)*M327,IF($C84="TADNorthAmerica",SUMPRODUCT(('Rates &amp; Drop Downs INT'!$CG$6:$CG$708=$D84)*('Rates &amp; Drop Downs INT'!$CI$6:$CI$708=$F84)*('Rates &amp; Drop Downs INT'!$CK$6:$CK$708=$K84)*('Rates &amp; Drop Downs INT'!$CQ$6:$CQ$708))*M327,SUMPRODUCT(('Rates &amp; Drop Downs INT'!$CG$6:$CG$708=$D84)*('Rates &amp; Drop Downs INT'!$CI$6:$CI$708=$F84)*('Rates &amp; Drop Downs INT'!$CK$6:$CK$708=$K84)*('Rates &amp; Drop Downs INT'!$CT$6:$CT$708))*M327)),0)</f>
        <v>0</v>
      </c>
      <c r="G327" s="886"/>
      <c r="H327" s="886"/>
      <c r="I327" s="885" cm="1">
        <f t="array" ref="I327">IF($E$20="TA Digital",IF($C84="TADNorthAmerica",SUMPRODUCT((TADIndia='2. Roles &amp; Pricing'!D84)*('Rates &amp; Drop Downs INT'!$CI$6:$CI$747='2. Roles &amp; Pricing'!F84)*('Rates &amp; Drop Downs INT'!$CK$6:$CK$747='2. Roles &amp; Pricing'!K84)*('Rates &amp; Drop Downs INT'!$CP$6:$CP$747)),SUMPRODUCT((TADIndia='2. Roles &amp; Pricing'!D84)*('Rates &amp; Drop Downs INT'!$CI$6:$CI$747='2. Roles &amp; Pricing'!F84)*('Rates &amp; Drop Downs INT'!$CK$6:$CK$747='2. Roles &amp; Pricing'!K84)*('Rates &amp; Drop Downs INT'!$CR$6:$CR$747))),IF(L327&lt;&gt;"","",IF($E$26="Select Type","Select Margin Class",IFERROR(IF($O84="",0,IF($E$26="Client Custom Rates",0,IF($E$26="Standard Rates",_xlfn.XLOOKUP($O84,'Rates &amp; Drop Downs INT'!$F:$F,'Rates &amp; Drop Downs INT'!I:I)))),0))))</f>
        <v>0</v>
      </c>
      <c r="K327" s="885" cm="1">
        <f t="array" ref="K327">IF($E$20&lt;&gt;"Credera US",0,IF(L327&lt;&gt;"","",IFERROR(IF($D$26&lt;&gt;"Client Custom Rates",0,INDEX('Client Rate Cards'!E:E,MATCH(1,('Client Rate Cards'!B:B='2. Roles &amp; Pricing'!$D$27)*('Client Rate Cards'!D:D='2. Roles &amp; Pricing'!T84),0))),0)))</f>
        <v>0</v>
      </c>
      <c r="L327" s="1350"/>
      <c r="M327" s="887" t="str">
        <f t="shared" si="91"/>
        <v/>
      </c>
      <c r="N327" s="913" t="str">
        <f t="shared" si="92"/>
        <v/>
      </c>
    </row>
    <row r="328" spans="3:14" ht="13.95" hidden="1" customHeight="1" outlineLevel="2" x14ac:dyDescent="0.25">
      <c r="C328" s="1352" t="str">
        <f t="shared" si="90"/>
        <v/>
      </c>
      <c r="D328" s="918" t="str">
        <f t="shared" si="89"/>
        <v/>
      </c>
      <c r="E328" s="885"/>
      <c r="F328" s="885" cm="1">
        <f t="array" ref="F328">IFERROR(IF($E$20="Credera US",_xlfn.XLOOKUP($O85,'Rates &amp; Drop Downs INT'!F:F,'Rates &amp; Drop Downs INT'!G:G)*M328,IF($C85="TADNorthAmerica",SUMPRODUCT(('Rates &amp; Drop Downs INT'!$CG$6:$CG$708=$D85)*('Rates &amp; Drop Downs INT'!$CI$6:$CI$708=$F85)*('Rates &amp; Drop Downs INT'!$CK$6:$CK$708=$K85)*('Rates &amp; Drop Downs INT'!$CQ$6:$CQ$708))*M328,SUMPRODUCT(('Rates &amp; Drop Downs INT'!$CG$6:$CG$708=$D85)*('Rates &amp; Drop Downs INT'!$CI$6:$CI$708=$F85)*('Rates &amp; Drop Downs INT'!$CK$6:$CK$708=$K85)*('Rates &amp; Drop Downs INT'!$CT$6:$CT$708))*M328)),0)</f>
        <v>0</v>
      </c>
      <c r="G328" s="886"/>
      <c r="H328" s="886"/>
      <c r="I328" s="885" cm="1">
        <f t="array" ref="I328">IF($E$20="TA Digital",IF($C85="TADNorthAmerica",SUMPRODUCT((TADIndia='2. Roles &amp; Pricing'!D85)*('Rates &amp; Drop Downs INT'!$CI$6:$CI$747='2. Roles &amp; Pricing'!F85)*('Rates &amp; Drop Downs INT'!$CK$6:$CK$747='2. Roles &amp; Pricing'!K85)*('Rates &amp; Drop Downs INT'!$CP$6:$CP$747)),SUMPRODUCT((TADIndia='2. Roles &amp; Pricing'!D85)*('Rates &amp; Drop Downs INT'!$CI$6:$CI$747='2. Roles &amp; Pricing'!F85)*('Rates &amp; Drop Downs INT'!$CK$6:$CK$747='2. Roles &amp; Pricing'!K85)*('Rates &amp; Drop Downs INT'!$CR$6:$CR$747))),IF(L328&lt;&gt;"","",IF($E$26="Select Type","Select Margin Class",IFERROR(IF($O85="",0,IF($E$26="Client Custom Rates",0,IF($E$26="Standard Rates",_xlfn.XLOOKUP($O85,'Rates &amp; Drop Downs INT'!$F:$F,'Rates &amp; Drop Downs INT'!I:I)))),0))))</f>
        <v>0</v>
      </c>
      <c r="K328" s="885" cm="1">
        <f t="array" ref="K328">IF($E$20&lt;&gt;"Credera US",0,IF(L328&lt;&gt;"","",IFERROR(IF($D$26&lt;&gt;"Client Custom Rates",0,INDEX('Client Rate Cards'!E:E,MATCH(1,('Client Rate Cards'!B:B='2. Roles &amp; Pricing'!$D$27)*('Client Rate Cards'!D:D='2. Roles &amp; Pricing'!T85),0))),0)))</f>
        <v>0</v>
      </c>
      <c r="L328" s="1350"/>
      <c r="M328" s="887" t="str">
        <f t="shared" si="91"/>
        <v/>
      </c>
      <c r="N328" s="913" t="str">
        <f t="shared" si="92"/>
        <v/>
      </c>
    </row>
    <row r="329" spans="3:14" ht="13.95" hidden="1" customHeight="1" outlineLevel="2" x14ac:dyDescent="0.25">
      <c r="C329" s="1352" t="str">
        <f t="shared" si="90"/>
        <v/>
      </c>
      <c r="D329" s="918" t="str">
        <f t="shared" si="89"/>
        <v/>
      </c>
      <c r="E329" s="885"/>
      <c r="F329" s="885" cm="1">
        <f t="array" ref="F329">IFERROR(IF($E$20="Credera US",_xlfn.XLOOKUP($O86,'Rates &amp; Drop Downs INT'!F:F,'Rates &amp; Drop Downs INT'!G:G)*M329,IF($C86="TADNorthAmerica",SUMPRODUCT(('Rates &amp; Drop Downs INT'!$CG$6:$CG$708=$D86)*('Rates &amp; Drop Downs INT'!$CI$6:$CI$708=$F86)*('Rates &amp; Drop Downs INT'!$CK$6:$CK$708=$K86)*('Rates &amp; Drop Downs INT'!$CQ$6:$CQ$708))*M329,SUMPRODUCT(('Rates &amp; Drop Downs INT'!$CG$6:$CG$708=$D86)*('Rates &amp; Drop Downs INT'!$CI$6:$CI$708=$F86)*('Rates &amp; Drop Downs INT'!$CK$6:$CK$708=$K86)*('Rates &amp; Drop Downs INT'!$CT$6:$CT$708))*M329)),0)</f>
        <v>0</v>
      </c>
      <c r="G329" s="886"/>
      <c r="H329" s="886"/>
      <c r="I329" s="885" cm="1">
        <f t="array" ref="I329">IF($E$20="TA Digital",IF($C86="TADNorthAmerica",SUMPRODUCT((TADIndia='2. Roles &amp; Pricing'!D86)*('Rates &amp; Drop Downs INT'!$CI$6:$CI$747='2. Roles &amp; Pricing'!F86)*('Rates &amp; Drop Downs INT'!$CK$6:$CK$747='2. Roles &amp; Pricing'!K86)*('Rates &amp; Drop Downs INT'!$CP$6:$CP$747)),SUMPRODUCT((TADIndia='2. Roles &amp; Pricing'!D86)*('Rates &amp; Drop Downs INT'!$CI$6:$CI$747='2. Roles &amp; Pricing'!F86)*('Rates &amp; Drop Downs INT'!$CK$6:$CK$747='2. Roles &amp; Pricing'!K86)*('Rates &amp; Drop Downs INT'!$CR$6:$CR$747))),IF(L329&lt;&gt;"","",IF($E$26="Select Type","Select Margin Class",IFERROR(IF($O86="",0,IF($E$26="Client Custom Rates",0,IF($E$26="Standard Rates",_xlfn.XLOOKUP($O86,'Rates &amp; Drop Downs INT'!$F:$F,'Rates &amp; Drop Downs INT'!I:I)))),0))))</f>
        <v>0</v>
      </c>
      <c r="K329" s="885" cm="1">
        <f t="array" ref="K329">IF($E$20&lt;&gt;"Credera US",0,IF(L329&lt;&gt;"","",IFERROR(IF($D$26&lt;&gt;"Client Custom Rates",0,INDEX('Client Rate Cards'!E:E,MATCH(1,('Client Rate Cards'!B:B='2. Roles &amp; Pricing'!$D$27)*('Client Rate Cards'!D:D='2. Roles &amp; Pricing'!T86),0))),0)))</f>
        <v>0</v>
      </c>
      <c r="L329" s="1350"/>
      <c r="M329" s="887" t="str">
        <f t="shared" si="91"/>
        <v/>
      </c>
      <c r="N329" s="913" t="str">
        <f t="shared" si="92"/>
        <v/>
      </c>
    </row>
    <row r="330" spans="3:14" ht="13.95" hidden="1" customHeight="1" outlineLevel="2" x14ac:dyDescent="0.25">
      <c r="C330" s="1352" t="str">
        <f t="shared" si="90"/>
        <v/>
      </c>
      <c r="D330" s="918" t="str">
        <f t="shared" si="89"/>
        <v/>
      </c>
      <c r="E330" s="885"/>
      <c r="F330" s="885" cm="1">
        <f t="array" ref="F330">IFERROR(IF($E$20="Credera US",_xlfn.XLOOKUP($O87,'Rates &amp; Drop Downs INT'!F:F,'Rates &amp; Drop Downs INT'!G:G)*M330,IF($C87="TADNorthAmerica",SUMPRODUCT(('Rates &amp; Drop Downs INT'!$CG$6:$CG$708=$D87)*('Rates &amp; Drop Downs INT'!$CI$6:$CI$708=$F87)*('Rates &amp; Drop Downs INT'!$CK$6:$CK$708=$K87)*('Rates &amp; Drop Downs INT'!$CQ$6:$CQ$708))*M330,SUMPRODUCT(('Rates &amp; Drop Downs INT'!$CG$6:$CG$708=$D87)*('Rates &amp; Drop Downs INT'!$CI$6:$CI$708=$F87)*('Rates &amp; Drop Downs INT'!$CK$6:$CK$708=$K87)*('Rates &amp; Drop Downs INT'!$CT$6:$CT$708))*M330)),0)</f>
        <v>0</v>
      </c>
      <c r="G330" s="886"/>
      <c r="H330" s="886"/>
      <c r="I330" s="885" cm="1">
        <f t="array" ref="I330">IF($E$20="TA Digital",IF($C87="TADNorthAmerica",SUMPRODUCT((TADIndia='2. Roles &amp; Pricing'!D87)*('Rates &amp; Drop Downs INT'!$CI$6:$CI$747='2. Roles &amp; Pricing'!F87)*('Rates &amp; Drop Downs INT'!$CK$6:$CK$747='2. Roles &amp; Pricing'!K87)*('Rates &amp; Drop Downs INT'!$CP$6:$CP$747)),SUMPRODUCT((TADIndia='2. Roles &amp; Pricing'!D87)*('Rates &amp; Drop Downs INT'!$CI$6:$CI$747='2. Roles &amp; Pricing'!F87)*('Rates &amp; Drop Downs INT'!$CK$6:$CK$747='2. Roles &amp; Pricing'!K87)*('Rates &amp; Drop Downs INT'!$CR$6:$CR$747))),IF(L330&lt;&gt;"","",IF($E$26="Select Type","Select Margin Class",IFERROR(IF($O87="",0,IF($E$26="Client Custom Rates",0,IF($E$26="Standard Rates",_xlfn.XLOOKUP($O87,'Rates &amp; Drop Downs INT'!$F:$F,'Rates &amp; Drop Downs INT'!I:I)))),0))))</f>
        <v>0</v>
      </c>
      <c r="K330" s="885" cm="1">
        <f t="array" ref="K330">IF($E$20&lt;&gt;"Credera US",0,IF(L330&lt;&gt;"","",IFERROR(IF($D$26&lt;&gt;"Client Custom Rates",0,INDEX('Client Rate Cards'!E:E,MATCH(1,('Client Rate Cards'!B:B='2. Roles &amp; Pricing'!$D$27)*('Client Rate Cards'!D:D='2. Roles &amp; Pricing'!T87),0))),0)))</f>
        <v>0</v>
      </c>
      <c r="L330" s="1350"/>
      <c r="M330" s="887" t="str">
        <f t="shared" si="91"/>
        <v/>
      </c>
      <c r="N330" s="913" t="str">
        <f t="shared" si="92"/>
        <v/>
      </c>
    </row>
    <row r="331" spans="3:14" ht="13.95" hidden="1" customHeight="1" outlineLevel="2" x14ac:dyDescent="0.25">
      <c r="C331" s="1352" t="str">
        <f t="shared" si="90"/>
        <v/>
      </c>
      <c r="D331" s="918" t="str">
        <f t="shared" si="89"/>
        <v/>
      </c>
      <c r="E331" s="885"/>
      <c r="F331" s="885" cm="1">
        <f t="array" ref="F331">IFERROR(IF($E$20="Credera US",_xlfn.XLOOKUP($O88,'Rates &amp; Drop Downs INT'!F:F,'Rates &amp; Drop Downs INT'!G:G)*M331,IF($C88="TADNorthAmerica",SUMPRODUCT(('Rates &amp; Drop Downs INT'!$CG$6:$CG$708=$D88)*('Rates &amp; Drop Downs INT'!$CI$6:$CI$708=$F88)*('Rates &amp; Drop Downs INT'!$CK$6:$CK$708=$K88)*('Rates &amp; Drop Downs INT'!$CQ$6:$CQ$708))*M331,SUMPRODUCT(('Rates &amp; Drop Downs INT'!$CG$6:$CG$708=$D88)*('Rates &amp; Drop Downs INT'!$CI$6:$CI$708=$F88)*('Rates &amp; Drop Downs INT'!$CK$6:$CK$708=$K88)*('Rates &amp; Drop Downs INT'!$CT$6:$CT$708))*M331)),0)</f>
        <v>0</v>
      </c>
      <c r="G331" s="886"/>
      <c r="H331" s="886"/>
      <c r="I331" s="885" cm="1">
        <f t="array" ref="I331">IF($E$20="TA Digital",IF($C88="TADNorthAmerica",SUMPRODUCT((TADIndia='2. Roles &amp; Pricing'!D88)*('Rates &amp; Drop Downs INT'!$CI$6:$CI$747='2. Roles &amp; Pricing'!F88)*('Rates &amp; Drop Downs INT'!$CK$6:$CK$747='2. Roles &amp; Pricing'!K88)*('Rates &amp; Drop Downs INT'!$CP$6:$CP$747)),SUMPRODUCT((TADIndia='2. Roles &amp; Pricing'!D88)*('Rates &amp; Drop Downs INT'!$CI$6:$CI$747='2. Roles &amp; Pricing'!F88)*('Rates &amp; Drop Downs INT'!$CK$6:$CK$747='2. Roles &amp; Pricing'!K88)*('Rates &amp; Drop Downs INT'!$CR$6:$CR$747))),IF(L331&lt;&gt;"","",IF($E$26="Select Type","Select Margin Class",IFERROR(IF($O88="",0,IF($E$26="Client Custom Rates",0,IF($E$26="Standard Rates",_xlfn.XLOOKUP($O88,'Rates &amp; Drop Downs INT'!$F:$F,'Rates &amp; Drop Downs INT'!I:I)))),0))))</f>
        <v>0</v>
      </c>
      <c r="K331" s="885" cm="1">
        <f t="array" ref="K331">IF($E$20&lt;&gt;"Credera US",0,IF(L331&lt;&gt;"","",IFERROR(IF($D$26&lt;&gt;"Client Custom Rates",0,INDEX('Client Rate Cards'!E:E,MATCH(1,('Client Rate Cards'!B:B='2. Roles &amp; Pricing'!$D$27)*('Client Rate Cards'!D:D='2. Roles &amp; Pricing'!T88),0))),0)))</f>
        <v>0</v>
      </c>
      <c r="L331" s="1350"/>
      <c r="M331" s="887" t="str">
        <f t="shared" si="91"/>
        <v/>
      </c>
      <c r="N331" s="913" t="str">
        <f t="shared" si="92"/>
        <v/>
      </c>
    </row>
    <row r="332" spans="3:14" ht="13.95" hidden="1" customHeight="1" outlineLevel="2" x14ac:dyDescent="0.25">
      <c r="C332" s="1352" t="str">
        <f t="shared" si="90"/>
        <v/>
      </c>
      <c r="D332" s="918" t="str">
        <f t="shared" si="89"/>
        <v/>
      </c>
      <c r="E332" s="885"/>
      <c r="F332" s="885" cm="1">
        <f t="array" ref="F332">IFERROR(IF($E$20="Credera US",_xlfn.XLOOKUP($O89,'Rates &amp; Drop Downs INT'!F:F,'Rates &amp; Drop Downs INT'!G:G)*M332,IF($C89="TADNorthAmerica",SUMPRODUCT(('Rates &amp; Drop Downs INT'!$CG$6:$CG$708=$D89)*('Rates &amp; Drop Downs INT'!$CI$6:$CI$708=$F89)*('Rates &amp; Drop Downs INT'!$CK$6:$CK$708=$K89)*('Rates &amp; Drop Downs INT'!$CQ$6:$CQ$708))*M332,SUMPRODUCT(('Rates &amp; Drop Downs INT'!$CG$6:$CG$708=$D89)*('Rates &amp; Drop Downs INT'!$CI$6:$CI$708=$F89)*('Rates &amp; Drop Downs INT'!$CK$6:$CK$708=$K89)*('Rates &amp; Drop Downs INT'!$CT$6:$CT$708))*M332)),0)</f>
        <v>0</v>
      </c>
      <c r="G332" s="886"/>
      <c r="H332" s="886"/>
      <c r="I332" s="885" cm="1">
        <f t="array" ref="I332">IF($E$20="TA Digital",IF($C89="TADNorthAmerica",SUMPRODUCT((TADIndia='2. Roles &amp; Pricing'!D89)*('Rates &amp; Drop Downs INT'!$CI$6:$CI$747='2. Roles &amp; Pricing'!F89)*('Rates &amp; Drop Downs INT'!$CK$6:$CK$747='2. Roles &amp; Pricing'!K89)*('Rates &amp; Drop Downs INT'!$CP$6:$CP$747)),SUMPRODUCT((TADIndia='2. Roles &amp; Pricing'!D89)*('Rates &amp; Drop Downs INT'!$CI$6:$CI$747='2. Roles &amp; Pricing'!F89)*('Rates &amp; Drop Downs INT'!$CK$6:$CK$747='2. Roles &amp; Pricing'!K89)*('Rates &amp; Drop Downs INT'!$CR$6:$CR$747))),IF(L332&lt;&gt;"","",IF($E$26="Select Type","Select Margin Class",IFERROR(IF($O89="",0,IF($E$26="Client Custom Rates",0,IF($E$26="Standard Rates",_xlfn.XLOOKUP($O89,'Rates &amp; Drop Downs INT'!$F:$F,'Rates &amp; Drop Downs INT'!I:I)))),0))))</f>
        <v>0</v>
      </c>
      <c r="K332" s="885" cm="1">
        <f t="array" ref="K332">IF($E$20&lt;&gt;"Credera US",0,IF(L332&lt;&gt;"","",IFERROR(IF($D$26&lt;&gt;"Client Custom Rates",0,INDEX('Client Rate Cards'!E:E,MATCH(1,('Client Rate Cards'!B:B='2. Roles &amp; Pricing'!$D$27)*('Client Rate Cards'!D:D='2. Roles &amp; Pricing'!T89),0))),0)))</f>
        <v>0</v>
      </c>
      <c r="L332" s="1350"/>
      <c r="M332" s="887" t="str">
        <f t="shared" si="91"/>
        <v/>
      </c>
      <c r="N332" s="913" t="str">
        <f t="shared" si="92"/>
        <v/>
      </c>
    </row>
    <row r="333" spans="3:14" ht="13.95" hidden="1" customHeight="1" outlineLevel="2" x14ac:dyDescent="0.25">
      <c r="C333" s="1352" t="str">
        <f t="shared" si="90"/>
        <v/>
      </c>
      <c r="D333" s="918" t="str">
        <f t="shared" si="89"/>
        <v/>
      </c>
      <c r="E333" s="885"/>
      <c r="F333" s="885" cm="1">
        <f t="array" ref="F333">IFERROR(IF($E$20="Credera US",_xlfn.XLOOKUP($O90,'Rates &amp; Drop Downs INT'!F:F,'Rates &amp; Drop Downs INT'!G:G)*M333,IF($C90="TADNorthAmerica",SUMPRODUCT(('Rates &amp; Drop Downs INT'!$CG$6:$CG$708=$D90)*('Rates &amp; Drop Downs INT'!$CI$6:$CI$708=$F90)*('Rates &amp; Drop Downs INT'!$CK$6:$CK$708=$K90)*('Rates &amp; Drop Downs INT'!$CQ$6:$CQ$708))*M333,SUMPRODUCT(('Rates &amp; Drop Downs INT'!$CG$6:$CG$708=$D90)*('Rates &amp; Drop Downs INT'!$CI$6:$CI$708=$F90)*('Rates &amp; Drop Downs INT'!$CK$6:$CK$708=$K90)*('Rates &amp; Drop Downs INT'!$CT$6:$CT$708))*M333)),0)</f>
        <v>0</v>
      </c>
      <c r="G333" s="886"/>
      <c r="H333" s="886"/>
      <c r="I333" s="885" cm="1">
        <f t="array" ref="I333">IF($E$20="TA Digital",IF($C90="TADNorthAmerica",SUMPRODUCT((TADIndia='2. Roles &amp; Pricing'!D90)*('Rates &amp; Drop Downs INT'!$CI$6:$CI$747='2. Roles &amp; Pricing'!F90)*('Rates &amp; Drop Downs INT'!$CK$6:$CK$747='2. Roles &amp; Pricing'!K90)*('Rates &amp; Drop Downs INT'!$CP$6:$CP$747)),SUMPRODUCT((TADIndia='2. Roles &amp; Pricing'!D90)*('Rates &amp; Drop Downs INT'!$CI$6:$CI$747='2. Roles &amp; Pricing'!F90)*('Rates &amp; Drop Downs INT'!$CK$6:$CK$747='2. Roles &amp; Pricing'!K90)*('Rates &amp; Drop Downs INT'!$CR$6:$CR$747))),IF(L333&lt;&gt;"","",IF($E$26="Select Type","Select Margin Class",IFERROR(IF($O90="",0,IF($E$26="Client Custom Rates",0,IF($E$26="Standard Rates",_xlfn.XLOOKUP($O90,'Rates &amp; Drop Downs INT'!$F:$F,'Rates &amp; Drop Downs INT'!I:I)))),0))))</f>
        <v>0</v>
      </c>
      <c r="K333" s="885" cm="1">
        <f t="array" ref="K333">IF($E$20&lt;&gt;"Credera US",0,IF(L333&lt;&gt;"","",IFERROR(IF($D$26&lt;&gt;"Client Custom Rates",0,INDEX('Client Rate Cards'!E:E,MATCH(1,('Client Rate Cards'!B:B='2. Roles &amp; Pricing'!$D$27)*('Client Rate Cards'!D:D='2. Roles &amp; Pricing'!T90),0))),0)))</f>
        <v>0</v>
      </c>
      <c r="L333" s="1350"/>
      <c r="M333" s="887" t="str">
        <f t="shared" si="91"/>
        <v/>
      </c>
      <c r="N333" s="913" t="str">
        <f t="shared" si="92"/>
        <v/>
      </c>
    </row>
    <row r="334" spans="3:14" ht="13.95" hidden="1" customHeight="1" outlineLevel="2" x14ac:dyDescent="0.25">
      <c r="C334" s="1352" t="str">
        <f t="shared" si="90"/>
        <v/>
      </c>
      <c r="D334" s="918" t="str">
        <f t="shared" si="89"/>
        <v/>
      </c>
      <c r="E334" s="885"/>
      <c r="F334" s="885" cm="1">
        <f t="array" ref="F334">IFERROR(IF($E$20="Credera US",_xlfn.XLOOKUP($O91,'Rates &amp; Drop Downs INT'!F:F,'Rates &amp; Drop Downs INT'!G:G)*M334,IF($C91="TADNorthAmerica",SUMPRODUCT(('Rates &amp; Drop Downs INT'!$CG$6:$CG$708=$D91)*('Rates &amp; Drop Downs INT'!$CI$6:$CI$708=$F91)*('Rates &amp; Drop Downs INT'!$CK$6:$CK$708=$K91)*('Rates &amp; Drop Downs INT'!$CQ$6:$CQ$708))*M334,SUMPRODUCT(('Rates &amp; Drop Downs INT'!$CG$6:$CG$708=$D91)*('Rates &amp; Drop Downs INT'!$CI$6:$CI$708=$F91)*('Rates &amp; Drop Downs INT'!$CK$6:$CK$708=$K91)*('Rates &amp; Drop Downs INT'!$CT$6:$CT$708))*M334)),0)</f>
        <v>0</v>
      </c>
      <c r="G334" s="886"/>
      <c r="H334" s="886"/>
      <c r="I334" s="885" cm="1">
        <f t="array" ref="I334">IF($E$20="TA Digital",IF($C91="TADNorthAmerica",SUMPRODUCT((TADIndia='2. Roles &amp; Pricing'!D91)*('Rates &amp; Drop Downs INT'!$CI$6:$CI$747='2. Roles &amp; Pricing'!F91)*('Rates &amp; Drop Downs INT'!$CK$6:$CK$747='2. Roles &amp; Pricing'!K91)*('Rates &amp; Drop Downs INT'!$CP$6:$CP$747)),SUMPRODUCT((TADIndia='2. Roles &amp; Pricing'!D91)*('Rates &amp; Drop Downs INT'!$CI$6:$CI$747='2. Roles &amp; Pricing'!F91)*('Rates &amp; Drop Downs INT'!$CK$6:$CK$747='2. Roles &amp; Pricing'!K91)*('Rates &amp; Drop Downs INT'!$CR$6:$CR$747))),IF(L334&lt;&gt;"","",IF($E$26="Select Type","Select Margin Class",IFERROR(IF($O91="",0,IF($E$26="Client Custom Rates",0,IF($E$26="Standard Rates",_xlfn.XLOOKUP($O91,'Rates &amp; Drop Downs INT'!$F:$F,'Rates &amp; Drop Downs INT'!I:I)))),0))))</f>
        <v>0</v>
      </c>
      <c r="K334" s="885" cm="1">
        <f t="array" ref="K334">IF($E$20&lt;&gt;"Credera US",0,IF(L334&lt;&gt;"","",IFERROR(IF($D$26&lt;&gt;"Client Custom Rates",0,INDEX('Client Rate Cards'!E:E,MATCH(1,('Client Rate Cards'!B:B='2. Roles &amp; Pricing'!$D$27)*('Client Rate Cards'!D:D='2. Roles &amp; Pricing'!T91),0))),0)))</f>
        <v>0</v>
      </c>
      <c r="L334" s="1350"/>
      <c r="M334" s="887" t="str">
        <f t="shared" si="91"/>
        <v/>
      </c>
      <c r="N334" s="913" t="str">
        <f t="shared" si="92"/>
        <v/>
      </c>
    </row>
    <row r="335" spans="3:14" ht="13.95" hidden="1" customHeight="1" outlineLevel="2" x14ac:dyDescent="0.25">
      <c r="C335" s="1352" t="str">
        <f t="shared" si="90"/>
        <v/>
      </c>
      <c r="D335" s="918" t="str">
        <f t="shared" si="89"/>
        <v/>
      </c>
      <c r="E335" s="885"/>
      <c r="F335" s="885" cm="1">
        <f t="array" ref="F335">IFERROR(IF($E$20="Credera US",_xlfn.XLOOKUP($O92,'Rates &amp; Drop Downs INT'!F:F,'Rates &amp; Drop Downs INT'!G:G)*M335,IF($C92="TADNorthAmerica",SUMPRODUCT(('Rates &amp; Drop Downs INT'!$CG$6:$CG$708=$D92)*('Rates &amp; Drop Downs INT'!$CI$6:$CI$708=$F92)*('Rates &amp; Drop Downs INT'!$CK$6:$CK$708=$K92)*('Rates &amp; Drop Downs INT'!$CQ$6:$CQ$708))*M335,SUMPRODUCT(('Rates &amp; Drop Downs INT'!$CG$6:$CG$708=$D92)*('Rates &amp; Drop Downs INT'!$CI$6:$CI$708=$F92)*('Rates &amp; Drop Downs INT'!$CK$6:$CK$708=$K92)*('Rates &amp; Drop Downs INT'!$CT$6:$CT$708))*M335)),0)</f>
        <v>0</v>
      </c>
      <c r="G335" s="886"/>
      <c r="H335" s="886"/>
      <c r="I335" s="885" cm="1">
        <f t="array" ref="I335">IF($E$20="TA Digital",IF($C92="TADNorthAmerica",SUMPRODUCT((TADIndia='2. Roles &amp; Pricing'!D92)*('Rates &amp; Drop Downs INT'!$CI$6:$CI$747='2. Roles &amp; Pricing'!F92)*('Rates &amp; Drop Downs INT'!$CK$6:$CK$747='2. Roles &amp; Pricing'!K92)*('Rates &amp; Drop Downs INT'!$CP$6:$CP$747)),SUMPRODUCT((TADIndia='2. Roles &amp; Pricing'!D92)*('Rates &amp; Drop Downs INT'!$CI$6:$CI$747='2. Roles &amp; Pricing'!F92)*('Rates &amp; Drop Downs INT'!$CK$6:$CK$747='2. Roles &amp; Pricing'!K92)*('Rates &amp; Drop Downs INT'!$CR$6:$CR$747))),IF(L335&lt;&gt;"","",IF($E$26="Select Type","Select Margin Class",IFERROR(IF($O92="",0,IF($E$26="Client Custom Rates",0,IF($E$26="Standard Rates",_xlfn.XLOOKUP($O92,'Rates &amp; Drop Downs INT'!$F:$F,'Rates &amp; Drop Downs INT'!I:I)))),0))))</f>
        <v>0</v>
      </c>
      <c r="K335" s="885" cm="1">
        <f t="array" ref="K335">IF($E$20&lt;&gt;"Credera US",0,IF(L335&lt;&gt;"","",IFERROR(IF($D$26&lt;&gt;"Client Custom Rates",0,INDEX('Client Rate Cards'!E:E,MATCH(1,('Client Rate Cards'!B:B='2. Roles &amp; Pricing'!$D$27)*('Client Rate Cards'!D:D='2. Roles &amp; Pricing'!T92),0))),0)))</f>
        <v>0</v>
      </c>
      <c r="L335" s="1350"/>
      <c r="M335" s="887" t="str">
        <f t="shared" si="91"/>
        <v/>
      </c>
      <c r="N335" s="913" t="str">
        <f t="shared" si="92"/>
        <v/>
      </c>
    </row>
    <row r="336" spans="3:14" ht="13.95" hidden="1" customHeight="1" outlineLevel="2" x14ac:dyDescent="0.25">
      <c r="C336" s="1352" t="str">
        <f t="shared" si="90"/>
        <v/>
      </c>
      <c r="D336" s="918" t="str">
        <f t="shared" si="89"/>
        <v/>
      </c>
      <c r="E336" s="885"/>
      <c r="F336" s="885" cm="1">
        <f t="array" ref="F336">IFERROR(IF($E$20="Credera US",_xlfn.XLOOKUP($O93,'Rates &amp; Drop Downs INT'!F:F,'Rates &amp; Drop Downs INT'!G:G)*M336,IF($C93="TADNorthAmerica",SUMPRODUCT(('Rates &amp; Drop Downs INT'!$CG$6:$CG$708=$D93)*('Rates &amp; Drop Downs INT'!$CI$6:$CI$708=$F93)*('Rates &amp; Drop Downs INT'!$CK$6:$CK$708=$K93)*('Rates &amp; Drop Downs INT'!$CQ$6:$CQ$708))*M336,SUMPRODUCT(('Rates &amp; Drop Downs INT'!$CG$6:$CG$708=$D93)*('Rates &amp; Drop Downs INT'!$CI$6:$CI$708=$F93)*('Rates &amp; Drop Downs INT'!$CK$6:$CK$708=$K93)*('Rates &amp; Drop Downs INT'!$CT$6:$CT$708))*M336)),0)</f>
        <v>0</v>
      </c>
      <c r="G336" s="886"/>
      <c r="H336" s="886"/>
      <c r="I336" s="885" cm="1">
        <f t="array" ref="I336">IF($E$20="TA Digital",IF($C93="TADNorthAmerica",SUMPRODUCT((TADIndia='2. Roles &amp; Pricing'!D93)*('Rates &amp; Drop Downs INT'!$CI$6:$CI$747='2. Roles &amp; Pricing'!F93)*('Rates &amp; Drop Downs INT'!$CK$6:$CK$747='2. Roles &amp; Pricing'!K93)*('Rates &amp; Drop Downs INT'!$CP$6:$CP$747)),SUMPRODUCT((TADIndia='2. Roles &amp; Pricing'!D93)*('Rates &amp; Drop Downs INT'!$CI$6:$CI$747='2. Roles &amp; Pricing'!F93)*('Rates &amp; Drop Downs INT'!$CK$6:$CK$747='2. Roles &amp; Pricing'!K93)*('Rates &amp; Drop Downs INT'!$CR$6:$CR$747))),IF(L336&lt;&gt;"","",IF($E$26="Select Type","Select Margin Class",IFERROR(IF($O93="",0,IF($E$26="Client Custom Rates",0,IF($E$26="Standard Rates",_xlfn.XLOOKUP($O93,'Rates &amp; Drop Downs INT'!$F:$F,'Rates &amp; Drop Downs INT'!I:I)))),0))))</f>
        <v>0</v>
      </c>
      <c r="K336" s="885" cm="1">
        <f t="array" ref="K336">IF($E$20&lt;&gt;"Credera US",0,IF(L336&lt;&gt;"","",IFERROR(IF($D$26&lt;&gt;"Client Custom Rates",0,INDEX('Client Rate Cards'!E:E,MATCH(1,('Client Rate Cards'!B:B='2. Roles &amp; Pricing'!$D$27)*('Client Rate Cards'!D:D='2. Roles &amp; Pricing'!T93),0))),0)))</f>
        <v>0</v>
      </c>
      <c r="L336" s="1350"/>
      <c r="M336" s="887" t="str">
        <f t="shared" si="91"/>
        <v/>
      </c>
      <c r="N336" s="913" t="str">
        <f t="shared" si="92"/>
        <v/>
      </c>
    </row>
    <row r="337" spans="3:15" ht="13.95" hidden="1" customHeight="1" outlineLevel="2" x14ac:dyDescent="0.25">
      <c r="C337" s="1352" t="str">
        <f t="shared" si="90"/>
        <v/>
      </c>
      <c r="D337" s="918" t="str">
        <f t="shared" si="89"/>
        <v/>
      </c>
      <c r="E337" s="885"/>
      <c r="F337" s="885" cm="1">
        <f t="array" ref="F337">IFERROR(IF($E$20="Credera US",_xlfn.XLOOKUP($O94,'Rates &amp; Drop Downs INT'!F:F,'Rates &amp; Drop Downs INT'!G:G)*M337,IF($C94="TADNorthAmerica",SUMPRODUCT(('Rates &amp; Drop Downs INT'!$CG$6:$CG$708=$D94)*('Rates &amp; Drop Downs INT'!$CI$6:$CI$708=$F94)*('Rates &amp; Drop Downs INT'!$CK$6:$CK$708=$K94)*('Rates &amp; Drop Downs INT'!$CQ$6:$CQ$708))*M337,SUMPRODUCT(('Rates &amp; Drop Downs INT'!$CG$6:$CG$708=$D94)*('Rates &amp; Drop Downs INT'!$CI$6:$CI$708=$F94)*('Rates &amp; Drop Downs INT'!$CK$6:$CK$708=$K94)*('Rates &amp; Drop Downs INT'!$CT$6:$CT$708))*M337)),0)</f>
        <v>0</v>
      </c>
      <c r="G337" s="886"/>
      <c r="H337" s="886"/>
      <c r="I337" s="885" cm="1">
        <f t="array" ref="I337">IF($E$20="TA Digital",IF($C94="TADNorthAmerica",SUMPRODUCT((TADIndia='2. Roles &amp; Pricing'!D94)*('Rates &amp; Drop Downs INT'!$CI$6:$CI$747='2. Roles &amp; Pricing'!F94)*('Rates &amp; Drop Downs INT'!$CK$6:$CK$747='2. Roles &amp; Pricing'!K94)*('Rates &amp; Drop Downs INT'!$CP$6:$CP$747)),SUMPRODUCT((TADIndia='2. Roles &amp; Pricing'!D94)*('Rates &amp; Drop Downs INT'!$CI$6:$CI$747='2. Roles &amp; Pricing'!F94)*('Rates &amp; Drop Downs INT'!$CK$6:$CK$747='2. Roles &amp; Pricing'!K94)*('Rates &amp; Drop Downs INT'!$CR$6:$CR$747))),IF(L337&lt;&gt;"","",IF($E$26="Select Type","Select Margin Class",IFERROR(IF($O94="",0,IF($E$26="Client Custom Rates",0,IF($E$26="Standard Rates",_xlfn.XLOOKUP($O94,'Rates &amp; Drop Downs INT'!$F:$F,'Rates &amp; Drop Downs INT'!I:I)))),0))))</f>
        <v>0</v>
      </c>
      <c r="K337" s="885" cm="1">
        <f t="array" ref="K337">IF($E$20&lt;&gt;"Credera US",0,IF(L337&lt;&gt;"","",IFERROR(IF($D$26&lt;&gt;"Client Custom Rates",0,INDEX('Client Rate Cards'!E:E,MATCH(1,('Client Rate Cards'!B:B='2. Roles &amp; Pricing'!$D$27)*('Client Rate Cards'!D:D='2. Roles &amp; Pricing'!T94),0))),0)))</f>
        <v>0</v>
      </c>
      <c r="L337" s="1350"/>
      <c r="M337" s="887" t="str">
        <f t="shared" si="91"/>
        <v/>
      </c>
      <c r="N337" s="913" t="str">
        <f t="shared" si="92"/>
        <v/>
      </c>
    </row>
    <row r="338" spans="3:15" ht="13.95" hidden="1" customHeight="1" outlineLevel="2" x14ac:dyDescent="0.25">
      <c r="C338" s="1352" t="str">
        <f t="shared" si="90"/>
        <v/>
      </c>
      <c r="D338" s="918" t="str">
        <f t="shared" si="89"/>
        <v/>
      </c>
      <c r="E338" s="885"/>
      <c r="F338" s="885" cm="1">
        <f t="array" ref="F338">IFERROR(IF($E$20="Credera US",_xlfn.XLOOKUP($O95,'Rates &amp; Drop Downs INT'!F:F,'Rates &amp; Drop Downs INT'!G:G)*M338,IF($C95="TADNorthAmerica",SUMPRODUCT(('Rates &amp; Drop Downs INT'!$CG$6:$CG$708=$D95)*('Rates &amp; Drop Downs INT'!$CI$6:$CI$708=$F95)*('Rates &amp; Drop Downs INT'!$CK$6:$CK$708=$K95)*('Rates &amp; Drop Downs INT'!$CQ$6:$CQ$708))*M338,SUMPRODUCT(('Rates &amp; Drop Downs INT'!$CG$6:$CG$708=$D95)*('Rates &amp; Drop Downs INT'!$CI$6:$CI$708=$F95)*('Rates &amp; Drop Downs INT'!$CK$6:$CK$708=$K95)*('Rates &amp; Drop Downs INT'!$CT$6:$CT$708))*M338)),0)</f>
        <v>0</v>
      </c>
      <c r="G338" s="886"/>
      <c r="H338" s="886"/>
      <c r="I338" s="885" cm="1">
        <f t="array" ref="I338">IF($E$20="TA Digital",IF($C95="TADNorthAmerica",SUMPRODUCT((TADIndia='2. Roles &amp; Pricing'!D95)*('Rates &amp; Drop Downs INT'!$CI$6:$CI$747='2. Roles &amp; Pricing'!F95)*('Rates &amp; Drop Downs INT'!$CK$6:$CK$747='2. Roles &amp; Pricing'!K95)*('Rates &amp; Drop Downs INT'!$CP$6:$CP$747)),SUMPRODUCT((TADIndia='2. Roles &amp; Pricing'!D95)*('Rates &amp; Drop Downs INT'!$CI$6:$CI$747='2. Roles &amp; Pricing'!F95)*('Rates &amp; Drop Downs INT'!$CK$6:$CK$747='2. Roles &amp; Pricing'!K95)*('Rates &amp; Drop Downs INT'!$CR$6:$CR$747))),IF(L338&lt;&gt;"","",IF($E$26="Select Type","Select Margin Class",IFERROR(IF($O95="",0,IF($E$26="Client Custom Rates",0,IF($E$26="Standard Rates",_xlfn.XLOOKUP($O95,'Rates &amp; Drop Downs INT'!$F:$F,'Rates &amp; Drop Downs INT'!I:I)))),0))))</f>
        <v>0</v>
      </c>
      <c r="K338" s="885" cm="1">
        <f t="array" ref="K338">IF($E$20&lt;&gt;"Credera US",0,IF(L338&lt;&gt;"","",IFERROR(IF($D$26&lt;&gt;"Client Custom Rates",0,INDEX('Client Rate Cards'!E:E,MATCH(1,('Client Rate Cards'!B:B='2. Roles &amp; Pricing'!$D$27)*('Client Rate Cards'!D:D='2. Roles &amp; Pricing'!T95),0))),0)))</f>
        <v>0</v>
      </c>
      <c r="L338" s="1350"/>
      <c r="M338" s="887" t="str">
        <f t="shared" si="91"/>
        <v/>
      </c>
      <c r="N338" s="913" t="str">
        <f t="shared" si="92"/>
        <v/>
      </c>
    </row>
    <row r="339" spans="3:15" ht="13.95" hidden="1" customHeight="1" outlineLevel="2" x14ac:dyDescent="0.25">
      <c r="C339" s="1352" t="str">
        <f t="shared" si="90"/>
        <v/>
      </c>
      <c r="D339" s="918" t="str">
        <f t="shared" si="89"/>
        <v/>
      </c>
      <c r="E339" s="885"/>
      <c r="F339" s="885" cm="1">
        <f t="array" ref="F339">IFERROR(IF($E$20="Credera US",_xlfn.XLOOKUP($O96,'Rates &amp; Drop Downs INT'!F:F,'Rates &amp; Drop Downs INT'!G:G)*M339,IF($C96="TADNorthAmerica",SUMPRODUCT(('Rates &amp; Drop Downs INT'!$CG$6:$CG$708=$D96)*('Rates &amp; Drop Downs INT'!$CI$6:$CI$708=$F96)*('Rates &amp; Drop Downs INT'!$CK$6:$CK$708=$K96)*('Rates &amp; Drop Downs INT'!$CQ$6:$CQ$708))*M339,SUMPRODUCT(('Rates &amp; Drop Downs INT'!$CG$6:$CG$708=$D96)*('Rates &amp; Drop Downs INT'!$CI$6:$CI$708=$F96)*('Rates &amp; Drop Downs INT'!$CK$6:$CK$708=$K96)*('Rates &amp; Drop Downs INT'!$CT$6:$CT$708))*M339)),0)</f>
        <v>0</v>
      </c>
      <c r="G339" s="886"/>
      <c r="H339" s="886"/>
      <c r="I339" s="885" cm="1">
        <f t="array" ref="I339">IF($E$20="TA Digital",IF($C96="TADNorthAmerica",SUMPRODUCT((TADIndia='2. Roles &amp; Pricing'!D96)*('Rates &amp; Drop Downs INT'!$CI$6:$CI$747='2. Roles &amp; Pricing'!F96)*('Rates &amp; Drop Downs INT'!$CK$6:$CK$747='2. Roles &amp; Pricing'!K96)*('Rates &amp; Drop Downs INT'!$CP$6:$CP$747)),SUMPRODUCT((TADIndia='2. Roles &amp; Pricing'!D96)*('Rates &amp; Drop Downs INT'!$CI$6:$CI$747='2. Roles &amp; Pricing'!F96)*('Rates &amp; Drop Downs INT'!$CK$6:$CK$747='2. Roles &amp; Pricing'!K96)*('Rates &amp; Drop Downs INT'!$CR$6:$CR$747))),IF(L339&lt;&gt;"","",IF($E$26="Select Type","Select Margin Class",IFERROR(IF($O96="",0,IF($E$26="Client Custom Rates",0,IF($E$26="Standard Rates",_xlfn.XLOOKUP($O96,'Rates &amp; Drop Downs INT'!$F:$F,'Rates &amp; Drop Downs INT'!I:I)))),0))))</f>
        <v>0</v>
      </c>
      <c r="K339" s="885" cm="1">
        <f t="array" ref="K339">IF($E$20&lt;&gt;"Credera US",0,IF(L339&lt;&gt;"","",IFERROR(IF($D$26&lt;&gt;"Client Custom Rates",0,INDEX('Client Rate Cards'!E:E,MATCH(1,('Client Rate Cards'!B:B='2. Roles &amp; Pricing'!$D$27)*('Client Rate Cards'!D:D='2. Roles &amp; Pricing'!T96),0))),0)))</f>
        <v>0</v>
      </c>
      <c r="L339" s="1350"/>
      <c r="M339" s="887" t="str">
        <f t="shared" si="91"/>
        <v/>
      </c>
      <c r="N339" s="913" t="str">
        <f t="shared" si="92"/>
        <v/>
      </c>
    </row>
    <row r="340" spans="3:15" ht="13.95" hidden="1" customHeight="1" outlineLevel="2" x14ac:dyDescent="0.25">
      <c r="C340" s="1352" t="str">
        <f t="shared" si="90"/>
        <v/>
      </c>
      <c r="D340" s="918" t="str">
        <f t="shared" si="89"/>
        <v/>
      </c>
      <c r="E340" s="885"/>
      <c r="F340" s="885" cm="1">
        <f t="array" ref="F340">IFERROR(IF($E$20="Credera US",_xlfn.XLOOKUP($O97,'Rates &amp; Drop Downs INT'!F:F,'Rates &amp; Drop Downs INT'!G:G)*M340,IF($C97="TADNorthAmerica",SUMPRODUCT(('Rates &amp; Drop Downs INT'!$CG$6:$CG$708=$D97)*('Rates &amp; Drop Downs INT'!$CI$6:$CI$708=$F97)*('Rates &amp; Drop Downs INT'!$CK$6:$CK$708=$K97)*('Rates &amp; Drop Downs INT'!$CQ$6:$CQ$708))*M340,SUMPRODUCT(('Rates &amp; Drop Downs INT'!$CG$6:$CG$708=$D97)*('Rates &amp; Drop Downs INT'!$CI$6:$CI$708=$F97)*('Rates &amp; Drop Downs INT'!$CK$6:$CK$708=$K97)*('Rates &amp; Drop Downs INT'!$CT$6:$CT$708))*M340)),0)</f>
        <v>0</v>
      </c>
      <c r="G340" s="886"/>
      <c r="H340" s="886"/>
      <c r="I340" s="885" cm="1">
        <f t="array" ref="I340">IF($E$20="TA Digital",IF($C97="TADNorthAmerica",SUMPRODUCT((TADIndia='2. Roles &amp; Pricing'!D97)*('Rates &amp; Drop Downs INT'!$CI$6:$CI$747='2. Roles &amp; Pricing'!F97)*('Rates &amp; Drop Downs INT'!$CK$6:$CK$747='2. Roles &amp; Pricing'!K97)*('Rates &amp; Drop Downs INT'!$CP$6:$CP$747)),SUMPRODUCT((TADIndia='2. Roles &amp; Pricing'!D97)*('Rates &amp; Drop Downs INT'!$CI$6:$CI$747='2. Roles &amp; Pricing'!F97)*('Rates &amp; Drop Downs INT'!$CK$6:$CK$747='2. Roles &amp; Pricing'!K97)*('Rates &amp; Drop Downs INT'!$CR$6:$CR$747))),IF(L340&lt;&gt;"","",IF($E$26="Select Type","Select Margin Class",IFERROR(IF($O97="",0,IF($E$26="Client Custom Rates",0,IF($E$26="Standard Rates",_xlfn.XLOOKUP($O97,'Rates &amp; Drop Downs INT'!$F:$F,'Rates &amp; Drop Downs INT'!I:I)))),0))))</f>
        <v>0</v>
      </c>
      <c r="K340" s="885" cm="1">
        <f t="array" ref="K340">IF($E$20&lt;&gt;"Credera US",0,IF(L340&lt;&gt;"","",IFERROR(IF($D$26&lt;&gt;"Client Custom Rates",0,INDEX('Client Rate Cards'!E:E,MATCH(1,('Client Rate Cards'!B:B='2. Roles &amp; Pricing'!$D$27)*('Client Rate Cards'!D:D='2. Roles &amp; Pricing'!T97),0))),0)))</f>
        <v>0</v>
      </c>
      <c r="L340" s="1350"/>
      <c r="M340" s="887" t="str">
        <f t="shared" si="91"/>
        <v/>
      </c>
      <c r="N340" s="913" t="str">
        <f t="shared" si="92"/>
        <v/>
      </c>
    </row>
    <row r="341" spans="3:15" ht="13.95" hidden="1" customHeight="1" outlineLevel="2" x14ac:dyDescent="0.25">
      <c r="C341" s="1352" t="str">
        <f t="shared" si="90"/>
        <v/>
      </c>
      <c r="D341" s="918" t="str">
        <f t="shared" si="89"/>
        <v/>
      </c>
      <c r="E341" s="885"/>
      <c r="F341" s="885" cm="1">
        <f t="array" ref="F341">IFERROR(IF($E$20="Credera US",_xlfn.XLOOKUP($O98,'Rates &amp; Drop Downs INT'!F:F,'Rates &amp; Drop Downs INT'!G:G)*M341,IF($C98="TADNorthAmerica",SUMPRODUCT(('Rates &amp; Drop Downs INT'!$CG$6:$CG$708=$D98)*('Rates &amp; Drop Downs INT'!$CI$6:$CI$708=$F98)*('Rates &amp; Drop Downs INT'!$CK$6:$CK$708=$K98)*('Rates &amp; Drop Downs INT'!$CQ$6:$CQ$708))*M341,SUMPRODUCT(('Rates &amp; Drop Downs INT'!$CG$6:$CG$708=$D98)*('Rates &amp; Drop Downs INT'!$CI$6:$CI$708=$F98)*('Rates &amp; Drop Downs INT'!$CK$6:$CK$708=$K98)*('Rates &amp; Drop Downs INT'!$CT$6:$CT$708))*M341)),0)</f>
        <v>0</v>
      </c>
      <c r="G341" s="886"/>
      <c r="H341" s="886"/>
      <c r="I341" s="885" cm="1">
        <f t="array" ref="I341">IF($E$20="TA Digital",IF($C98="TADNorthAmerica",SUMPRODUCT((TADIndia='2. Roles &amp; Pricing'!D98)*('Rates &amp; Drop Downs INT'!$CI$6:$CI$747='2. Roles &amp; Pricing'!F98)*('Rates &amp; Drop Downs INT'!$CK$6:$CK$747='2. Roles &amp; Pricing'!K98)*('Rates &amp; Drop Downs INT'!$CP$6:$CP$747)),SUMPRODUCT((TADIndia='2. Roles &amp; Pricing'!D98)*('Rates &amp; Drop Downs INT'!$CI$6:$CI$747='2. Roles &amp; Pricing'!F98)*('Rates &amp; Drop Downs INT'!$CK$6:$CK$747='2. Roles &amp; Pricing'!K98)*('Rates &amp; Drop Downs INT'!$CR$6:$CR$747))),IF(L341&lt;&gt;"","",IF($E$26="Select Type","Select Margin Class",IFERROR(IF($O98="",0,IF($E$26="Client Custom Rates",0,IF($E$26="Standard Rates",_xlfn.XLOOKUP($O98,'Rates &amp; Drop Downs INT'!$F:$F,'Rates &amp; Drop Downs INT'!I:I)))),0))))</f>
        <v>0</v>
      </c>
      <c r="K341" s="885" cm="1">
        <f t="array" ref="K341">IF($E$20&lt;&gt;"Credera US",0,IF(L341&lt;&gt;"","",IFERROR(IF($D$26&lt;&gt;"Client Custom Rates",0,INDEX('Client Rate Cards'!E:E,MATCH(1,('Client Rate Cards'!B:B='2. Roles &amp; Pricing'!$D$27)*('Client Rate Cards'!D:D='2. Roles &amp; Pricing'!T98),0))),0)))</f>
        <v>0</v>
      </c>
      <c r="L341" s="1350"/>
      <c r="M341" s="887" t="str">
        <f t="shared" si="91"/>
        <v/>
      </c>
      <c r="N341" s="913" t="str">
        <f t="shared" si="92"/>
        <v/>
      </c>
    </row>
    <row r="342" spans="3:15" ht="13.95" hidden="1" customHeight="1" outlineLevel="2" x14ac:dyDescent="0.25">
      <c r="C342" s="1352" t="str">
        <f t="shared" si="90"/>
        <v/>
      </c>
      <c r="D342" s="918" t="str">
        <f t="shared" si="89"/>
        <v/>
      </c>
      <c r="E342" s="885"/>
      <c r="F342" s="885" cm="1">
        <f t="array" ref="F342">IFERROR(IF($E$20="Credera US",_xlfn.XLOOKUP($O99,'Rates &amp; Drop Downs INT'!F:F,'Rates &amp; Drop Downs INT'!G:G)*M342,IF($C99="TADNorthAmerica",SUMPRODUCT(('Rates &amp; Drop Downs INT'!$CG$6:$CG$708=$D99)*('Rates &amp; Drop Downs INT'!$CI$6:$CI$708=$F99)*('Rates &amp; Drop Downs INT'!$CK$6:$CK$708=$K99)*('Rates &amp; Drop Downs INT'!$CQ$6:$CQ$708))*M342,SUMPRODUCT(('Rates &amp; Drop Downs INT'!$CG$6:$CG$708=$D99)*('Rates &amp; Drop Downs INT'!$CI$6:$CI$708=$F99)*('Rates &amp; Drop Downs INT'!$CK$6:$CK$708=$K99)*('Rates &amp; Drop Downs INT'!$CT$6:$CT$708))*M342)),0)</f>
        <v>0</v>
      </c>
      <c r="G342" s="886"/>
      <c r="H342" s="886"/>
      <c r="I342" s="885" cm="1">
        <f t="array" ref="I342">IF($E$20="TA Digital",IF($C99="TADNorthAmerica",SUMPRODUCT((TADIndia='2. Roles &amp; Pricing'!D99)*('Rates &amp; Drop Downs INT'!$CI$6:$CI$747='2. Roles &amp; Pricing'!F99)*('Rates &amp; Drop Downs INT'!$CK$6:$CK$747='2. Roles &amp; Pricing'!K99)*('Rates &amp; Drop Downs INT'!$CP$6:$CP$747)),SUMPRODUCT((TADIndia='2. Roles &amp; Pricing'!D99)*('Rates &amp; Drop Downs INT'!$CI$6:$CI$747='2. Roles &amp; Pricing'!F99)*('Rates &amp; Drop Downs INT'!$CK$6:$CK$747='2. Roles &amp; Pricing'!K99)*('Rates &amp; Drop Downs INT'!$CR$6:$CR$747))),IF(L342&lt;&gt;"","",IF($E$26="Select Type","Select Margin Class",IFERROR(IF($O99="",0,IF($E$26="Client Custom Rates",0,IF($E$26="Standard Rates",_xlfn.XLOOKUP($O99,'Rates &amp; Drop Downs INT'!$F:$F,'Rates &amp; Drop Downs INT'!I:I)))),0))))</f>
        <v>0</v>
      </c>
      <c r="K342" s="885" cm="1">
        <f t="array" ref="K342">IF($E$20&lt;&gt;"Credera US",0,IF(L342&lt;&gt;"","",IFERROR(IF($D$26&lt;&gt;"Client Custom Rates",0,INDEX('Client Rate Cards'!E:E,MATCH(1,('Client Rate Cards'!B:B='2. Roles &amp; Pricing'!$D$27)*('Client Rate Cards'!D:D='2. Roles &amp; Pricing'!T99),0))),0)))</f>
        <v>0</v>
      </c>
      <c r="L342" s="1350"/>
      <c r="M342" s="887" t="str">
        <f t="shared" si="91"/>
        <v/>
      </c>
      <c r="N342" s="913" t="str">
        <f t="shared" si="92"/>
        <v/>
      </c>
    </row>
    <row r="343" spans="3:15" ht="13.95" hidden="1" customHeight="1" outlineLevel="2" x14ac:dyDescent="0.25">
      <c r="C343" s="1352" t="str">
        <f>IF(K100="","",K100)</f>
        <v/>
      </c>
      <c r="D343" s="918" t="str">
        <f t="shared" si="89"/>
        <v/>
      </c>
      <c r="E343" s="885"/>
      <c r="F343" s="885" cm="1">
        <f t="array" ref="F343">IFERROR(IF($E$20="Credera US",_xlfn.XLOOKUP($O100,'Rates &amp; Drop Downs INT'!F:F,'Rates &amp; Drop Downs INT'!G:G)*M343,IF($C100="TADNorthAmerica",SUMPRODUCT(('Rates &amp; Drop Downs INT'!$CG$6:$CG$708=$D100)*('Rates &amp; Drop Downs INT'!$CI$6:$CI$708=$F100)*('Rates &amp; Drop Downs INT'!$CK$6:$CK$708=$K100)*('Rates &amp; Drop Downs INT'!$CQ$6:$CQ$708))*M343,SUMPRODUCT(('Rates &amp; Drop Downs INT'!$CG$6:$CG$708=$D100)*('Rates &amp; Drop Downs INT'!$CI$6:$CI$708=$F100)*('Rates &amp; Drop Downs INT'!$CK$6:$CK$708=$K100)*('Rates &amp; Drop Downs INT'!$CT$6:$CT$708))*M343)),0)</f>
        <v>0</v>
      </c>
      <c r="G343" s="886"/>
      <c r="H343" s="886"/>
      <c r="I343" s="885" cm="1">
        <f t="array" ref="I343">IF($E$20="TA Digital",IF($C100="TADNorthAmerica",SUMPRODUCT((TADIndia='2. Roles &amp; Pricing'!D100)*('Rates &amp; Drop Downs INT'!$CI$6:$CI$747='2. Roles &amp; Pricing'!F100)*('Rates &amp; Drop Downs INT'!$CK$6:$CK$747='2. Roles &amp; Pricing'!K100)*('Rates &amp; Drop Downs INT'!$CP$6:$CP$747)),SUMPRODUCT((TADIndia='2. Roles &amp; Pricing'!D100)*('Rates &amp; Drop Downs INT'!$CI$6:$CI$747='2. Roles &amp; Pricing'!F100)*('Rates &amp; Drop Downs INT'!$CK$6:$CK$747='2. Roles &amp; Pricing'!K100)*('Rates &amp; Drop Downs INT'!$CR$6:$CR$747))),IF(L343&lt;&gt;"","",IF($E$26="Select Type","Select Margin Class",IFERROR(IF($O100="",0,IF($E$26="Client Custom Rates",0,IF($E$26="Standard Rates",_xlfn.XLOOKUP($O100,'Rates &amp; Drop Downs INT'!$F:$F,'Rates &amp; Drop Downs INT'!I:I)))),0))))</f>
        <v>0</v>
      </c>
      <c r="K343" s="885" cm="1">
        <f t="array" ref="K343">IF($E$20&lt;&gt;"Credera US",0,IF(L343&lt;&gt;"","",IFERROR(IF($D$26&lt;&gt;"Client Custom Rates",0,INDEX('Client Rate Cards'!E:E,MATCH(1,('Client Rate Cards'!B:B='2. Roles &amp; Pricing'!$D$27)*('Client Rate Cards'!D:D='2. Roles &amp; Pricing'!T100),0))),0)))</f>
        <v>0</v>
      </c>
      <c r="L343" s="1350"/>
      <c r="M343" s="887" t="str">
        <f t="shared" si="91"/>
        <v/>
      </c>
      <c r="N343" s="913" t="str">
        <f t="shared" si="92"/>
        <v/>
      </c>
    </row>
    <row r="344" spans="3:15" ht="13.95" hidden="1" customHeight="1" outlineLevel="2" x14ac:dyDescent="0.25">
      <c r="C344" s="1352" t="str">
        <f>IF(K101="","",K101)</f>
        <v/>
      </c>
      <c r="D344" s="918" t="str">
        <f t="shared" si="89"/>
        <v/>
      </c>
      <c r="E344" s="885"/>
      <c r="F344" s="885" cm="1">
        <f t="array" ref="F344">IFERROR(IF($E$20="Credera US",_xlfn.XLOOKUP($O101,'Rates &amp; Drop Downs INT'!F:F,'Rates &amp; Drop Downs INT'!G:G)*M344,IF($C101="TADNorthAmerica",SUMPRODUCT(('Rates &amp; Drop Downs INT'!$CG$6:$CG$708=$D101)*('Rates &amp; Drop Downs INT'!$CI$6:$CI$708=$F101)*('Rates &amp; Drop Downs INT'!$CK$6:$CK$708=$K101)*('Rates &amp; Drop Downs INT'!$CQ$6:$CQ$708))*M344,SUMPRODUCT(('Rates &amp; Drop Downs INT'!$CG$6:$CG$708=$D101)*('Rates &amp; Drop Downs INT'!$CI$6:$CI$708=$F101)*('Rates &amp; Drop Downs INT'!$CK$6:$CK$708=$K101)*('Rates &amp; Drop Downs INT'!$CT$6:$CT$708))*M344)),0)</f>
        <v>0</v>
      </c>
      <c r="G344" s="886"/>
      <c r="H344" s="886"/>
      <c r="I344" s="885" cm="1">
        <f t="array" ref="I344">IF($E$20="TA Digital",IF($C101="TADNorthAmerica",SUMPRODUCT((TADIndia='2. Roles &amp; Pricing'!D101)*('Rates &amp; Drop Downs INT'!$CI$6:$CI$747='2. Roles &amp; Pricing'!F101)*('Rates &amp; Drop Downs INT'!$CK$6:$CK$747='2. Roles &amp; Pricing'!K101)*('Rates &amp; Drop Downs INT'!$CP$6:$CP$747)),SUMPRODUCT((TADIndia='2. Roles &amp; Pricing'!D101)*('Rates &amp; Drop Downs INT'!$CI$6:$CI$747='2. Roles &amp; Pricing'!F101)*('Rates &amp; Drop Downs INT'!$CK$6:$CK$747='2. Roles &amp; Pricing'!K101)*('Rates &amp; Drop Downs INT'!$CR$6:$CR$747))),IF(L344&lt;&gt;"","",IF($E$26="Select Type","Select Margin Class",IFERROR(IF($O101="",0,IF($E$26="Client Custom Rates",0,IF($E$26="Standard Rates",_xlfn.XLOOKUP($O101,'Rates &amp; Drop Downs INT'!$F:$F,'Rates &amp; Drop Downs INT'!I:I)))),0))))</f>
        <v>0</v>
      </c>
      <c r="K344" s="885" cm="1">
        <f t="array" ref="K344">IF($E$20&lt;&gt;"Credera US",0,IF(L344&lt;&gt;"","",IFERROR(IF($D$26&lt;&gt;"Client Custom Rates",0,INDEX('Client Rate Cards'!E:E,MATCH(1,('Client Rate Cards'!B:B='2. Roles &amp; Pricing'!$D$27)*('Client Rate Cards'!D:D='2. Roles &amp; Pricing'!T101),0))),0)))</f>
        <v>0</v>
      </c>
      <c r="L344" s="1350"/>
      <c r="M344" s="887" t="str">
        <f t="shared" si="91"/>
        <v/>
      </c>
      <c r="N344" s="1360" t="str">
        <f t="shared" si="92"/>
        <v/>
      </c>
    </row>
    <row r="345" spans="3:15" ht="13.95" hidden="1" customHeight="1" outlineLevel="2" x14ac:dyDescent="0.25">
      <c r="C345" s="1352" t="str">
        <f t="shared" si="90"/>
        <v/>
      </c>
      <c r="D345" s="918" t="str">
        <f t="shared" si="89"/>
        <v/>
      </c>
      <c r="E345" s="885"/>
      <c r="F345" s="885" cm="1">
        <f t="array" ref="F345">IFERROR(IF($E$20="Credera US",_xlfn.XLOOKUP($O102,'Rates &amp; Drop Downs INT'!F:F,'Rates &amp; Drop Downs INT'!G:G)*M345,IF($C102="TADNorthAmerica",SUMPRODUCT(('Rates &amp; Drop Downs INT'!$CG$6:$CG$708=$D102)*('Rates &amp; Drop Downs INT'!$CI$6:$CI$708=$F102)*('Rates &amp; Drop Downs INT'!$CK$6:$CK$708=$K102)*('Rates &amp; Drop Downs INT'!$CQ$6:$CQ$708))*M345,SUMPRODUCT(('Rates &amp; Drop Downs INT'!$CG$6:$CG$708=$D102)*('Rates &amp; Drop Downs INT'!$CI$6:$CI$708=$F102)*('Rates &amp; Drop Downs INT'!$CK$6:$CK$708=$K102)*('Rates &amp; Drop Downs INT'!$CT$6:$CT$708))*M345)),0)</f>
        <v>0</v>
      </c>
      <c r="G345" s="886"/>
      <c r="H345" s="886"/>
      <c r="I345" s="885" cm="1">
        <f t="array" ref="I345">IF($E$20="TA Digital",IF($C102="TADNorthAmerica",SUMPRODUCT((TADIndia='2. Roles &amp; Pricing'!D102)*('Rates &amp; Drop Downs INT'!$CI$6:$CI$747='2. Roles &amp; Pricing'!F102)*('Rates &amp; Drop Downs INT'!$CK$6:$CK$747='2. Roles &amp; Pricing'!K102)*('Rates &amp; Drop Downs INT'!$CP$6:$CP$747)),SUMPRODUCT((TADIndia='2. Roles &amp; Pricing'!D102)*('Rates &amp; Drop Downs INT'!$CI$6:$CI$747='2. Roles &amp; Pricing'!F102)*('Rates &amp; Drop Downs INT'!$CK$6:$CK$747='2. Roles &amp; Pricing'!K102)*('Rates &amp; Drop Downs INT'!$CR$6:$CR$747))),IF(L345&lt;&gt;"","",IF($E$26="Select Type","Select Margin Class",IFERROR(IF($O102="",0,IF($E$26="Client Custom Rates",0,IF($E$26="Standard Rates",_xlfn.XLOOKUP($O102,'Rates &amp; Drop Downs INT'!$F:$F,'Rates &amp; Drop Downs INT'!I:I)))),0))))</f>
        <v>0</v>
      </c>
      <c r="K345" s="885" cm="1">
        <f t="array" ref="K345">IF($E$20&lt;&gt;"Credera US",0,IF(L345&lt;&gt;"","",IFERROR(IF($D$26&lt;&gt;"Client Custom Rates",0,INDEX('Client Rate Cards'!E:E,MATCH(1,('Client Rate Cards'!B:B='2. Roles &amp; Pricing'!$D$27)*('Client Rate Cards'!D:D='2. Roles &amp; Pricing'!T102),0))),0)))</f>
        <v>0</v>
      </c>
      <c r="L345" s="1350"/>
      <c r="M345" s="887" t="str">
        <f t="shared" si="91"/>
        <v/>
      </c>
      <c r="N345" s="1360" t="str">
        <f t="shared" si="92"/>
        <v/>
      </c>
    </row>
    <row r="346" spans="3:15" ht="13.95" customHeight="1" collapsed="1" x14ac:dyDescent="0.25">
      <c r="C346" s="1352" t="str">
        <f t="shared" si="90"/>
        <v/>
      </c>
      <c r="D346" s="918" t="str">
        <f t="shared" si="89"/>
        <v/>
      </c>
      <c r="E346" s="885"/>
      <c r="F346" s="885" cm="1">
        <f t="array" ref="F346">IFERROR(IF($E$20="Credera US",_xlfn.XLOOKUP($O103,'Rates &amp; Drop Downs INT'!F:F,'Rates &amp; Drop Downs INT'!G:G)*M346,IF($C103="TADNorthAmerica",SUMPRODUCT(('Rates &amp; Drop Downs INT'!$CG$6:$CG$708=$D103)*('Rates &amp; Drop Downs INT'!$CI$6:$CI$708=$F103)*('Rates &amp; Drop Downs INT'!$CK$6:$CK$708=$K103)*('Rates &amp; Drop Downs INT'!$CQ$6:$CQ$708))*M346,SUMPRODUCT(('Rates &amp; Drop Downs INT'!$CG$6:$CG$708=$D103)*('Rates &amp; Drop Downs INT'!$CI$6:$CI$708=$F103)*('Rates &amp; Drop Downs INT'!$CK$6:$CK$708=$K103)*('Rates &amp; Drop Downs INT'!$CT$6:$CT$708))*M346)),0)</f>
        <v>0</v>
      </c>
      <c r="G346" s="886"/>
      <c r="H346" s="886"/>
      <c r="I346" s="885" cm="1">
        <f t="array" ref="I346">IF($E$20="TA Digital",IF($C103="TADNorthAmerica",SUMPRODUCT((TADIndia='2. Roles &amp; Pricing'!D103)*('Rates &amp; Drop Downs INT'!$CI$6:$CI$747='2. Roles &amp; Pricing'!F103)*('Rates &amp; Drop Downs INT'!$CK$6:$CK$747='2. Roles &amp; Pricing'!K103)*('Rates &amp; Drop Downs INT'!$CP$6:$CP$747)),SUMPRODUCT((TADIndia='2. Roles &amp; Pricing'!D103)*('Rates &amp; Drop Downs INT'!$CI$6:$CI$747='2. Roles &amp; Pricing'!F103)*('Rates &amp; Drop Downs INT'!$CK$6:$CK$747='2. Roles &amp; Pricing'!K103)*('Rates &amp; Drop Downs INT'!$CR$6:$CR$747))),IF(L346&lt;&gt;"","",IF($E$26="Select Type","Select Margin Class",IFERROR(IF($O103="",0,IF($E$26="Client Custom Rates",0,IF($E$26="Standard Rates",_xlfn.XLOOKUP($O103,'Rates &amp; Drop Downs INT'!$F:$F,'Rates &amp; Drop Downs INT'!I:I)))),0))))</f>
        <v>0</v>
      </c>
      <c r="K346" s="885" cm="1">
        <f t="array" ref="K346">IF($E$20&lt;&gt;"Credera US",0,IF(L346&lt;&gt;"","",IFERROR(IF($D$26&lt;&gt;"Client Custom Rates",0,INDEX('Client Rate Cards'!E:E,MATCH(1,('Client Rate Cards'!B:B='2. Roles &amp; Pricing'!$D$27)*('Client Rate Cards'!D:D='2. Roles &amp; Pricing'!T103),0))),0)))</f>
        <v>0</v>
      </c>
      <c r="L346" s="1350"/>
      <c r="M346" s="887" t="str">
        <f t="shared" si="91"/>
        <v/>
      </c>
      <c r="N346" s="1361" t="str">
        <f t="shared" si="92"/>
        <v/>
      </c>
    </row>
    <row r="347" spans="3:15" ht="13.95" hidden="1" customHeight="1" outlineLevel="1" x14ac:dyDescent="0.25">
      <c r="C347" s="1354" t="str">
        <f t="shared" si="90"/>
        <v/>
      </c>
      <c r="D347" s="918" t="str">
        <f t="shared" si="89"/>
        <v/>
      </c>
      <c r="E347" s="888"/>
      <c r="F347" s="888" cm="1">
        <f t="array" ref="F347">IFERROR(IF($E$20="Credera US",_xlfn.XLOOKUP($O104,'Rates &amp; Drop Downs INT'!F:F,'Rates &amp; Drop Downs INT'!G:G)*M347,IF($C104="TADNorthAmerica",SUMPRODUCT(('Rates &amp; Drop Downs INT'!$CG$6:$CG$708=$D104)*('Rates &amp; Drop Downs INT'!$CI$6:$CI$708=$F104)*('Rates &amp; Drop Downs INT'!$CK$6:$CK$708=$K104)*('Rates &amp; Drop Downs INT'!$CQ$6:$CQ$708))*M347,SUMPRODUCT(('Rates &amp; Drop Downs INT'!$CG$6:$CG$708=$D104)*('Rates &amp; Drop Downs INT'!$CI$6:$CI$708=$F104)*('Rates &amp; Drop Downs INT'!$CK$6:$CK$708=$K104)*('Rates &amp; Drop Downs INT'!$CT$6:$CT$708))*M347)),0)</f>
        <v>0</v>
      </c>
      <c r="G347" s="889"/>
      <c r="H347" s="889"/>
      <c r="I347" s="885" cm="1">
        <f t="array" ref="I347">IF($E$20="TA Digital",IF($C104="TADNorthAmerica",SUMPRODUCT((TADIndia='2. Roles &amp; Pricing'!D104)*('Rates &amp; Drop Downs INT'!$CI$6:$CI$747='2. Roles &amp; Pricing'!F104)*('Rates &amp; Drop Downs INT'!$CK$6:$CK$747='2. Roles &amp; Pricing'!K104)*('Rates &amp; Drop Downs INT'!$CP$6:$CP$747)),SUMPRODUCT((TADIndia='2. Roles &amp; Pricing'!D104)*('Rates &amp; Drop Downs INT'!$CI$6:$CI$747='2. Roles &amp; Pricing'!F104)*('Rates &amp; Drop Downs INT'!$CK$6:$CK$747='2. Roles &amp; Pricing'!K104)*('Rates &amp; Drop Downs INT'!$CR$6:$CR$747))),IF(L347&lt;&gt;"","",IF($E$26="Select Type","Select Margin Class",IFERROR(IF($O104="",0,IF($E$26="Client Custom Rates",0,IF($E$26="Standard Rates",_xlfn.XLOOKUP($O104,'Rates &amp; Drop Downs INT'!$F:$F,'Rates &amp; Drop Downs INT'!I:I)))),0))))</f>
        <v>0</v>
      </c>
      <c r="K347" s="885" cm="1">
        <f t="array" ref="K347">IF($E$20&lt;&gt;"Credera US",0,IF(L347&lt;&gt;"","",IFERROR(IF($D$26&lt;&gt;"Client Custom Rates",0,INDEX('Client Rate Cards'!E:E,MATCH(1,('Client Rate Cards'!B:B='2. Roles &amp; Pricing'!$D$27)*('Client Rate Cards'!D:D='2. Roles &amp; Pricing'!T104),0))),0)))</f>
        <v>0</v>
      </c>
      <c r="L347" s="1350"/>
      <c r="M347" s="1350" t="str">
        <f t="shared" si="91"/>
        <v/>
      </c>
      <c r="N347" s="1350" t="str">
        <f t="shared" ref="N347:N390" si="93">IF(SUM(E226:BM226)=0,"",SUM(E226:BM226))</f>
        <v/>
      </c>
      <c r="O347" s="1359" t="str">
        <f t="shared" ref="O347:O390" si="94">IF(COUNTIF($D226:$BC226,"&gt;0")=0,"",COUNTIF($D226:$BC226,"&gt;0"))</f>
        <v/>
      </c>
    </row>
    <row r="348" spans="3:15" ht="13.95" hidden="1" customHeight="1" outlineLevel="1" x14ac:dyDescent="0.25">
      <c r="C348" s="1354" t="str">
        <f t="shared" si="90"/>
        <v/>
      </c>
      <c r="D348" s="918" t="str">
        <f t="shared" si="89"/>
        <v/>
      </c>
      <c r="E348" s="888"/>
      <c r="F348" s="888" cm="1">
        <f t="array" ref="F348">IFERROR(IF($E$20="Credera US",_xlfn.XLOOKUP($O105,'Rates &amp; Drop Downs INT'!F:F,'Rates &amp; Drop Downs INT'!G:G)*M348,IF($C105="TADNorthAmerica",SUMPRODUCT(('Rates &amp; Drop Downs INT'!$CG$6:$CG$708=$D105)*('Rates &amp; Drop Downs INT'!$CI$6:$CI$708=$F105)*('Rates &amp; Drop Downs INT'!$CK$6:$CK$708=$K105)*('Rates &amp; Drop Downs INT'!$CQ$6:$CQ$708))*M348,SUMPRODUCT(('Rates &amp; Drop Downs INT'!$CG$6:$CG$708=$D105)*('Rates &amp; Drop Downs INT'!$CI$6:$CI$708=$F105)*('Rates &amp; Drop Downs INT'!$CK$6:$CK$708=$K105)*('Rates &amp; Drop Downs INT'!$CT$6:$CT$708))*M348)),0)</f>
        <v>0</v>
      </c>
      <c r="G348" s="889"/>
      <c r="H348" s="889"/>
      <c r="I348" s="885" cm="1">
        <f t="array" ref="I348">IF($E$20="TA Digital",IF($C105="TADNorthAmerica",SUMPRODUCT((TADIndia='2. Roles &amp; Pricing'!D105)*('Rates &amp; Drop Downs INT'!$CI$6:$CI$747='2. Roles &amp; Pricing'!F105)*('Rates &amp; Drop Downs INT'!$CK$6:$CK$747='2. Roles &amp; Pricing'!K105)*('Rates &amp; Drop Downs INT'!$CP$6:$CP$747)),SUMPRODUCT((TADIndia='2. Roles &amp; Pricing'!D105)*('Rates &amp; Drop Downs INT'!$CI$6:$CI$747='2. Roles &amp; Pricing'!F105)*('Rates &amp; Drop Downs INT'!$CK$6:$CK$747='2. Roles &amp; Pricing'!K105)*('Rates &amp; Drop Downs INT'!$CR$6:$CR$747))),IF(L348&lt;&gt;"","",IF($E$26="Select Type","Select Margin Class",IFERROR(IF($O105="",0,IF($E$26="Client Custom Rates",0,IF($E$26="Standard Rates",_xlfn.XLOOKUP($O105,'Rates &amp; Drop Downs INT'!$F:$F,'Rates &amp; Drop Downs INT'!I:I)))),0))))</f>
        <v>0</v>
      </c>
      <c r="K348" s="885" cm="1">
        <f t="array" ref="K348">IF($E$20&lt;&gt;"Credera US",0,IF(L348&lt;&gt;"","",IFERROR(IF($D$26&lt;&gt;"Client Custom Rates",0,INDEX('Client Rate Cards'!E:E,MATCH(1,('Client Rate Cards'!B:B='2. Roles &amp; Pricing'!$D$27)*('Client Rate Cards'!D:D='2. Roles &amp; Pricing'!T105),0))),0)))</f>
        <v>0</v>
      </c>
      <c r="L348" s="1350"/>
      <c r="M348" s="1350" t="str">
        <f t="shared" si="91"/>
        <v/>
      </c>
      <c r="N348" s="1350" t="str">
        <f t="shared" si="93"/>
        <v/>
      </c>
      <c r="O348" s="1359" t="str">
        <f t="shared" si="94"/>
        <v/>
      </c>
    </row>
    <row r="349" spans="3:15" ht="13.95" hidden="1" customHeight="1" outlineLevel="1" x14ac:dyDescent="0.25">
      <c r="C349" s="1354" t="str">
        <f t="shared" si="90"/>
        <v/>
      </c>
      <c r="D349" s="918" t="str">
        <f t="shared" si="89"/>
        <v/>
      </c>
      <c r="E349" s="888"/>
      <c r="F349" s="888" cm="1">
        <f t="array" ref="F349">IFERROR(IF($E$20="Credera US",_xlfn.XLOOKUP($O106,'Rates &amp; Drop Downs INT'!F:F,'Rates &amp; Drop Downs INT'!G:G)*M349,IF($C106="TADNorthAmerica",SUMPRODUCT(('Rates &amp; Drop Downs INT'!$CG$6:$CG$708=$D106)*('Rates &amp; Drop Downs INT'!$CI$6:$CI$708=$F106)*('Rates &amp; Drop Downs INT'!$CK$6:$CK$708=$K106)*('Rates &amp; Drop Downs INT'!$CQ$6:$CQ$708))*M349,SUMPRODUCT(('Rates &amp; Drop Downs INT'!$CG$6:$CG$708=$D106)*('Rates &amp; Drop Downs INT'!$CI$6:$CI$708=$F106)*('Rates &amp; Drop Downs INT'!$CK$6:$CK$708=$K106)*('Rates &amp; Drop Downs INT'!$CT$6:$CT$708))*M349)),0)</f>
        <v>0</v>
      </c>
      <c r="G349" s="889"/>
      <c r="H349" s="889"/>
      <c r="I349" s="885" cm="1">
        <f t="array" ref="I349">IF($E$20="TA Digital",IF($C106="TADNorthAmerica",SUMPRODUCT((TADIndia='2. Roles &amp; Pricing'!D106)*('Rates &amp; Drop Downs INT'!$CI$6:$CI$747='2. Roles &amp; Pricing'!F106)*('Rates &amp; Drop Downs INT'!$CK$6:$CK$747='2. Roles &amp; Pricing'!K106)*('Rates &amp; Drop Downs INT'!$CP$6:$CP$747)),SUMPRODUCT((TADIndia='2. Roles &amp; Pricing'!D106)*('Rates &amp; Drop Downs INT'!$CI$6:$CI$747='2. Roles &amp; Pricing'!F106)*('Rates &amp; Drop Downs INT'!$CK$6:$CK$747='2. Roles &amp; Pricing'!K106)*('Rates &amp; Drop Downs INT'!$CR$6:$CR$747))),IF(L349&lt;&gt;"","",IF($E$26="Select Type","Select Margin Class",IFERROR(IF($O106="",0,IF($E$26="Client Custom Rates",0,IF($E$26="Standard Rates",_xlfn.XLOOKUP($O106,'Rates &amp; Drop Downs INT'!$F:$F,'Rates &amp; Drop Downs INT'!I:I)))),0))))</f>
        <v>0</v>
      </c>
      <c r="K349" s="885" cm="1">
        <f t="array" ref="K349">IF($E$20&lt;&gt;"Credera US",0,IF(L349&lt;&gt;"","",IFERROR(IF($D$26&lt;&gt;"Client Custom Rates",0,INDEX('Client Rate Cards'!E:E,MATCH(1,('Client Rate Cards'!B:B='2. Roles &amp; Pricing'!$D$27)*('Client Rate Cards'!D:D='2. Roles &amp; Pricing'!T106),0))),0)))</f>
        <v>0</v>
      </c>
      <c r="L349" s="1350"/>
      <c r="M349" s="1350" t="str">
        <f t="shared" si="91"/>
        <v/>
      </c>
      <c r="N349" s="1355" t="str">
        <f t="shared" si="93"/>
        <v/>
      </c>
      <c r="O349" s="1359" t="str">
        <f t="shared" si="94"/>
        <v/>
      </c>
    </row>
    <row r="350" spans="3:15" ht="13.95" hidden="1" customHeight="1" outlineLevel="1" x14ac:dyDescent="0.25">
      <c r="C350" s="1354" t="str">
        <f t="shared" si="90"/>
        <v/>
      </c>
      <c r="D350" s="918" t="str">
        <f t="shared" si="89"/>
        <v/>
      </c>
      <c r="E350" s="888"/>
      <c r="F350" s="888" cm="1">
        <f t="array" ref="F350">IFERROR(IF($E$20="Credera US",_xlfn.XLOOKUP($O107,'Rates &amp; Drop Downs INT'!F:F,'Rates &amp; Drop Downs INT'!G:G)*M350,IF($C107="TADNorthAmerica",SUMPRODUCT(('Rates &amp; Drop Downs INT'!$CG$6:$CG$708=$D107)*('Rates &amp; Drop Downs INT'!$CI$6:$CI$708=$F107)*('Rates &amp; Drop Downs INT'!$CK$6:$CK$708=$K107)*('Rates &amp; Drop Downs INT'!$CQ$6:$CQ$708))*M350,SUMPRODUCT(('Rates &amp; Drop Downs INT'!$CG$6:$CG$708=$D107)*('Rates &amp; Drop Downs INT'!$CI$6:$CI$708=$F107)*('Rates &amp; Drop Downs INT'!$CK$6:$CK$708=$K107)*('Rates &amp; Drop Downs INT'!$CT$6:$CT$708))*M350)),0)</f>
        <v>0</v>
      </c>
      <c r="G350" s="889"/>
      <c r="H350" s="889"/>
      <c r="I350" s="885" cm="1">
        <f t="array" ref="I350">IF($E$20="TA Digital",IF($C107="TADNorthAmerica",SUMPRODUCT((TADIndia='2. Roles &amp; Pricing'!D107)*('Rates &amp; Drop Downs INT'!$CI$6:$CI$747='2. Roles &amp; Pricing'!F107)*('Rates &amp; Drop Downs INT'!$CK$6:$CK$747='2. Roles &amp; Pricing'!K107)*('Rates &amp; Drop Downs INT'!$CP$6:$CP$747)),SUMPRODUCT((TADIndia='2. Roles &amp; Pricing'!D107)*('Rates &amp; Drop Downs INT'!$CI$6:$CI$747='2. Roles &amp; Pricing'!F107)*('Rates &amp; Drop Downs INT'!$CK$6:$CK$747='2. Roles &amp; Pricing'!K107)*('Rates &amp; Drop Downs INT'!$CR$6:$CR$747))),IF(L350&lt;&gt;"","",IF($E$26="Select Type","Select Margin Class",IFERROR(IF($O107="",0,IF($E$26="Client Custom Rates",0,IF($E$26="Standard Rates",_xlfn.XLOOKUP($O107,'Rates &amp; Drop Downs INT'!$F:$F,'Rates &amp; Drop Downs INT'!I:I)))),0))))</f>
        <v>0</v>
      </c>
      <c r="K350" s="885" cm="1">
        <f t="array" ref="K350">IF($E$20&lt;&gt;"Credera US",0,IF(L350&lt;&gt;"","",IFERROR(IF($D$26&lt;&gt;"Client Custom Rates",0,INDEX('Client Rate Cards'!E:E,MATCH(1,('Client Rate Cards'!B:B='2. Roles &amp; Pricing'!$D$27)*('Client Rate Cards'!D:D='2. Roles &amp; Pricing'!T107),0))),0)))</f>
        <v>0</v>
      </c>
      <c r="L350" s="1350"/>
      <c r="M350" s="1350" t="str">
        <f t="shared" si="91"/>
        <v/>
      </c>
      <c r="N350" s="1355" t="str">
        <f t="shared" si="93"/>
        <v/>
      </c>
      <c r="O350" s="1359" t="str">
        <f t="shared" si="94"/>
        <v/>
      </c>
    </row>
    <row r="351" spans="3:15" ht="13.95" hidden="1" customHeight="1" outlineLevel="1" x14ac:dyDescent="0.25">
      <c r="C351" s="1354" t="str">
        <f t="shared" si="90"/>
        <v/>
      </c>
      <c r="D351" s="918" t="str">
        <f t="shared" si="89"/>
        <v/>
      </c>
      <c r="E351" s="888"/>
      <c r="F351" s="888" cm="1">
        <f t="array" ref="F351">IFERROR(IF($E$20="Credera US",_xlfn.XLOOKUP($O108,'Rates &amp; Drop Downs INT'!F:F,'Rates &amp; Drop Downs INT'!G:G)*M351,IF($C108="TADNorthAmerica",SUMPRODUCT(('Rates &amp; Drop Downs INT'!$CG$6:$CG$708=$D108)*('Rates &amp; Drop Downs INT'!$CI$6:$CI$708=$F108)*('Rates &amp; Drop Downs INT'!$CK$6:$CK$708=$K108)*('Rates &amp; Drop Downs INT'!$CQ$6:$CQ$708))*M351,SUMPRODUCT(('Rates &amp; Drop Downs INT'!$CG$6:$CG$708=$D108)*('Rates &amp; Drop Downs INT'!$CI$6:$CI$708=$F108)*('Rates &amp; Drop Downs INT'!$CK$6:$CK$708=$K108)*('Rates &amp; Drop Downs INT'!$CT$6:$CT$708))*M351)),0)</f>
        <v>0</v>
      </c>
      <c r="G351" s="889"/>
      <c r="H351" s="889"/>
      <c r="I351" s="885" cm="1">
        <f t="array" ref="I351">IF($E$20="TA Digital",IF($C108="TADNorthAmerica",SUMPRODUCT((TADIndia='2. Roles &amp; Pricing'!D108)*('Rates &amp; Drop Downs INT'!$CI$6:$CI$747='2. Roles &amp; Pricing'!F108)*('Rates &amp; Drop Downs INT'!$CK$6:$CK$747='2. Roles &amp; Pricing'!K108)*('Rates &amp; Drop Downs INT'!$CP$6:$CP$747)),SUMPRODUCT((TADIndia='2. Roles &amp; Pricing'!D108)*('Rates &amp; Drop Downs INT'!$CI$6:$CI$747='2. Roles &amp; Pricing'!F108)*('Rates &amp; Drop Downs INT'!$CK$6:$CK$747='2. Roles &amp; Pricing'!K108)*('Rates &amp; Drop Downs INT'!$CR$6:$CR$747))),IF(L351&lt;&gt;"","",IF($E$26="Select Type","Select Margin Class",IFERROR(IF($O108="",0,IF($E$26="Client Custom Rates",0,IF($E$26="Standard Rates",_xlfn.XLOOKUP($O108,'Rates &amp; Drop Downs INT'!$F:$F,'Rates &amp; Drop Downs INT'!I:I)))),0))))</f>
        <v>0</v>
      </c>
      <c r="K351" s="885" cm="1">
        <f t="array" ref="K351">IF($E$20&lt;&gt;"Credera US",0,IF(L351&lt;&gt;"","",IFERROR(IF($D$26&lt;&gt;"Client Custom Rates",0,INDEX('Client Rate Cards'!E:E,MATCH(1,('Client Rate Cards'!B:B='2. Roles &amp; Pricing'!$D$27)*('Client Rate Cards'!D:D='2. Roles &amp; Pricing'!T108),0))),0)))</f>
        <v>0</v>
      </c>
      <c r="L351" s="1350"/>
      <c r="M351" s="1350" t="str">
        <f t="shared" si="91"/>
        <v/>
      </c>
      <c r="N351" s="1355" t="str">
        <f t="shared" si="93"/>
        <v/>
      </c>
      <c r="O351" s="1359" t="str">
        <f t="shared" si="94"/>
        <v/>
      </c>
    </row>
    <row r="352" spans="3:15" ht="13.95" hidden="1" customHeight="1" outlineLevel="1" x14ac:dyDescent="0.25">
      <c r="C352" s="1354" t="str">
        <f t="shared" si="90"/>
        <v/>
      </c>
      <c r="D352" s="918" t="str">
        <f t="shared" si="89"/>
        <v/>
      </c>
      <c r="E352" s="888"/>
      <c r="F352" s="888" cm="1">
        <f t="array" ref="F352">IFERROR(IF($E$20="Credera US",_xlfn.XLOOKUP($O109,'Rates &amp; Drop Downs INT'!F:F,'Rates &amp; Drop Downs INT'!G:G)*M352,IF($C109="TADNorthAmerica",SUMPRODUCT(('Rates &amp; Drop Downs INT'!$CG$6:$CG$708=$D109)*('Rates &amp; Drop Downs INT'!$CI$6:$CI$708=$F109)*('Rates &amp; Drop Downs INT'!$CK$6:$CK$708=$K109)*('Rates &amp; Drop Downs INT'!$CQ$6:$CQ$708))*M352,SUMPRODUCT(('Rates &amp; Drop Downs INT'!$CG$6:$CG$708=$D109)*('Rates &amp; Drop Downs INT'!$CI$6:$CI$708=$F109)*('Rates &amp; Drop Downs INT'!$CK$6:$CK$708=$K109)*('Rates &amp; Drop Downs INT'!$CT$6:$CT$708))*M352)),0)</f>
        <v>0</v>
      </c>
      <c r="G352" s="889"/>
      <c r="H352" s="889"/>
      <c r="I352" s="885" cm="1">
        <f t="array" ref="I352">IF($E$20="TA Digital",IF($C109="TADNorthAmerica",SUMPRODUCT((TADIndia='2. Roles &amp; Pricing'!D109)*('Rates &amp; Drop Downs INT'!$CI$6:$CI$747='2. Roles &amp; Pricing'!F109)*('Rates &amp; Drop Downs INT'!$CK$6:$CK$747='2. Roles &amp; Pricing'!K109)*('Rates &amp; Drop Downs INT'!$CP$6:$CP$747)),SUMPRODUCT((TADIndia='2. Roles &amp; Pricing'!D109)*('Rates &amp; Drop Downs INT'!$CI$6:$CI$747='2. Roles &amp; Pricing'!F109)*('Rates &amp; Drop Downs INT'!$CK$6:$CK$747='2. Roles &amp; Pricing'!K109)*('Rates &amp; Drop Downs INT'!$CR$6:$CR$747))),IF(L352&lt;&gt;"","",IF($E$26="Select Type","Select Margin Class",IFERROR(IF($O109="",0,IF($E$26="Client Custom Rates",0,IF($E$26="Standard Rates",_xlfn.XLOOKUP($O109,'Rates &amp; Drop Downs INT'!$F:$F,'Rates &amp; Drop Downs INT'!I:I)))),0))))</f>
        <v>0</v>
      </c>
      <c r="K352" s="885" cm="1">
        <f t="array" ref="K352">IF($E$20&lt;&gt;"Credera US",0,IF(L352&lt;&gt;"","",IFERROR(IF($D$26&lt;&gt;"Client Custom Rates",0,INDEX('Client Rate Cards'!E:E,MATCH(1,('Client Rate Cards'!B:B='2. Roles &amp; Pricing'!$D$27)*('Client Rate Cards'!D:D='2. Roles &amp; Pricing'!T109),0))),0)))</f>
        <v>0</v>
      </c>
      <c r="L352" s="1350"/>
      <c r="M352" s="1350" t="str">
        <f t="shared" si="91"/>
        <v/>
      </c>
      <c r="N352" s="1355" t="str">
        <f t="shared" si="93"/>
        <v/>
      </c>
      <c r="O352" s="1359" t="str">
        <f t="shared" si="94"/>
        <v/>
      </c>
    </row>
    <row r="353" spans="3:15" ht="13.95" hidden="1" customHeight="1" outlineLevel="1" x14ac:dyDescent="0.25">
      <c r="C353" s="1354" t="str">
        <f t="shared" si="90"/>
        <v/>
      </c>
      <c r="D353" s="918" t="str">
        <f t="shared" si="89"/>
        <v/>
      </c>
      <c r="E353" s="888"/>
      <c r="F353" s="888" cm="1">
        <f t="array" ref="F353">IFERROR(IF($E$20="Credera US",_xlfn.XLOOKUP($O110,'Rates &amp; Drop Downs INT'!F:F,'Rates &amp; Drop Downs INT'!G:G)*M353,IF($C110="TADNorthAmerica",SUMPRODUCT(('Rates &amp; Drop Downs INT'!$CG$6:$CG$708=$D110)*('Rates &amp; Drop Downs INT'!$CI$6:$CI$708=$F110)*('Rates &amp; Drop Downs INT'!$CK$6:$CK$708=$K110)*('Rates &amp; Drop Downs INT'!$CQ$6:$CQ$708))*M353,SUMPRODUCT(('Rates &amp; Drop Downs INT'!$CG$6:$CG$708=$D110)*('Rates &amp; Drop Downs INT'!$CI$6:$CI$708=$F110)*('Rates &amp; Drop Downs INT'!$CK$6:$CK$708=$K110)*('Rates &amp; Drop Downs INT'!$CT$6:$CT$708))*M353)),0)</f>
        <v>0</v>
      </c>
      <c r="G353" s="889"/>
      <c r="H353" s="889"/>
      <c r="I353" s="885" cm="1">
        <f t="array" ref="I353">IF($E$20="TA Digital",IF($C110="TADNorthAmerica",SUMPRODUCT((TADIndia='2. Roles &amp; Pricing'!D110)*('Rates &amp; Drop Downs INT'!$CI$6:$CI$747='2. Roles &amp; Pricing'!F110)*('Rates &amp; Drop Downs INT'!$CK$6:$CK$747='2. Roles &amp; Pricing'!K110)*('Rates &amp; Drop Downs INT'!$CP$6:$CP$747)),SUMPRODUCT((TADIndia='2. Roles &amp; Pricing'!D110)*('Rates &amp; Drop Downs INT'!$CI$6:$CI$747='2. Roles &amp; Pricing'!F110)*('Rates &amp; Drop Downs INT'!$CK$6:$CK$747='2. Roles &amp; Pricing'!K110)*('Rates &amp; Drop Downs INT'!$CR$6:$CR$747))),IF(L353&lt;&gt;"","",IF($E$26="Select Type","Select Margin Class",IFERROR(IF($O110="",0,IF($E$26="Client Custom Rates",0,IF($E$26="Standard Rates",_xlfn.XLOOKUP($O110,'Rates &amp; Drop Downs INT'!$F:$F,'Rates &amp; Drop Downs INT'!I:I)))),0))))</f>
        <v>0</v>
      </c>
      <c r="K353" s="885" cm="1">
        <f t="array" ref="K353">IF($E$20&lt;&gt;"Credera US",0,IF(L353&lt;&gt;"","",IFERROR(IF($D$26&lt;&gt;"Client Custom Rates",0,INDEX('Client Rate Cards'!E:E,MATCH(1,('Client Rate Cards'!B:B='2. Roles &amp; Pricing'!$D$27)*('Client Rate Cards'!D:D='2. Roles &amp; Pricing'!T110),0))),0)))</f>
        <v>0</v>
      </c>
      <c r="L353" s="1350"/>
      <c r="M353" s="1350" t="str">
        <f t="shared" si="91"/>
        <v/>
      </c>
      <c r="N353" s="1355" t="str">
        <f t="shared" si="93"/>
        <v/>
      </c>
      <c r="O353" s="1359" t="str">
        <f t="shared" si="94"/>
        <v/>
      </c>
    </row>
    <row r="354" spans="3:15" ht="13.95" hidden="1" customHeight="1" outlineLevel="1" x14ac:dyDescent="0.25">
      <c r="C354" s="1354" t="str">
        <f t="shared" si="90"/>
        <v/>
      </c>
      <c r="D354" s="918" t="str">
        <f t="shared" si="89"/>
        <v/>
      </c>
      <c r="E354" s="888"/>
      <c r="F354" s="888" cm="1">
        <f t="array" ref="F354">IFERROR(IF($E$20="Credera US",_xlfn.XLOOKUP($O111,'Rates &amp; Drop Downs INT'!F:F,'Rates &amp; Drop Downs INT'!G:G)*M354,IF($C111="TADNorthAmerica",SUMPRODUCT(('Rates &amp; Drop Downs INT'!$CG$6:$CG$708=$D111)*('Rates &amp; Drop Downs INT'!$CI$6:$CI$708=$F111)*('Rates &amp; Drop Downs INT'!$CK$6:$CK$708=$K111)*('Rates &amp; Drop Downs INT'!$CQ$6:$CQ$708))*M354,SUMPRODUCT(('Rates &amp; Drop Downs INT'!$CG$6:$CG$708=$D111)*('Rates &amp; Drop Downs INT'!$CI$6:$CI$708=$F111)*('Rates &amp; Drop Downs INT'!$CK$6:$CK$708=$K111)*('Rates &amp; Drop Downs INT'!$CT$6:$CT$708))*M354)),0)</f>
        <v>0</v>
      </c>
      <c r="G354" s="889"/>
      <c r="H354" s="889"/>
      <c r="I354" s="885" cm="1">
        <f t="array" ref="I354">IF($E$20="TA Digital",IF($C111="TADNorthAmerica",SUMPRODUCT((TADIndia='2. Roles &amp; Pricing'!D111)*('Rates &amp; Drop Downs INT'!$CI$6:$CI$747='2. Roles &amp; Pricing'!F111)*('Rates &amp; Drop Downs INT'!$CK$6:$CK$747='2. Roles &amp; Pricing'!K111)*('Rates &amp; Drop Downs INT'!$CP$6:$CP$747)),SUMPRODUCT((TADIndia='2. Roles &amp; Pricing'!D111)*('Rates &amp; Drop Downs INT'!$CI$6:$CI$747='2. Roles &amp; Pricing'!F111)*('Rates &amp; Drop Downs INT'!$CK$6:$CK$747='2. Roles &amp; Pricing'!K111)*('Rates &amp; Drop Downs INT'!$CR$6:$CR$747))),IF(L354&lt;&gt;"","",IF($E$26="Select Type","Select Margin Class",IFERROR(IF($O111="",0,IF($E$26="Client Custom Rates",0,IF($E$26="Standard Rates",_xlfn.XLOOKUP($O111,'Rates &amp; Drop Downs INT'!$F:$F,'Rates &amp; Drop Downs INT'!I:I)))),0))))</f>
        <v>0</v>
      </c>
      <c r="K354" s="885" cm="1">
        <f t="array" ref="K354">IF($E$20&lt;&gt;"Credera US",0,IF(L354&lt;&gt;"","",IFERROR(IF($D$26&lt;&gt;"Client Custom Rates",0,INDEX('Client Rate Cards'!E:E,MATCH(1,('Client Rate Cards'!B:B='2. Roles &amp; Pricing'!$D$27)*('Client Rate Cards'!D:D='2. Roles &amp; Pricing'!T111),0))),0)))</f>
        <v>0</v>
      </c>
      <c r="L354" s="1350"/>
      <c r="M354" s="1350" t="str">
        <f t="shared" si="91"/>
        <v/>
      </c>
      <c r="N354" s="1355" t="str">
        <f t="shared" si="93"/>
        <v/>
      </c>
      <c r="O354" s="1359" t="str">
        <f t="shared" si="94"/>
        <v/>
      </c>
    </row>
    <row r="355" spans="3:15" ht="13.95" hidden="1" customHeight="1" outlineLevel="1" x14ac:dyDescent="0.25">
      <c r="C355" s="1354" t="str">
        <f t="shared" ref="C355:C386" si="95">IF(K112="","",K112)</f>
        <v/>
      </c>
      <c r="D355" s="918" t="str">
        <f t="shared" si="89"/>
        <v/>
      </c>
      <c r="E355" s="888"/>
      <c r="F355" s="888" cm="1">
        <f t="array" ref="F355">IFERROR(IF($E$20="Credera US",_xlfn.XLOOKUP($O112,'Rates &amp; Drop Downs INT'!F:F,'Rates &amp; Drop Downs INT'!G:G)*M355,IF($C112="TADNorthAmerica",SUMPRODUCT(('Rates &amp; Drop Downs INT'!$CG$6:$CG$708=$D112)*('Rates &amp; Drop Downs INT'!$CI$6:$CI$708=$F112)*('Rates &amp; Drop Downs INT'!$CK$6:$CK$708=$K112)*('Rates &amp; Drop Downs INT'!$CQ$6:$CQ$708))*M355,SUMPRODUCT(('Rates &amp; Drop Downs INT'!$CG$6:$CG$708=$D112)*('Rates &amp; Drop Downs INT'!$CI$6:$CI$708=$F112)*('Rates &amp; Drop Downs INT'!$CK$6:$CK$708=$K112)*('Rates &amp; Drop Downs INT'!$CT$6:$CT$708))*M355)),0)</f>
        <v>0</v>
      </c>
      <c r="G355" s="889"/>
      <c r="H355" s="889"/>
      <c r="I355" s="885" cm="1">
        <f t="array" ref="I355">IF($E$20="TA Digital",IF($C112="TADNorthAmerica",SUMPRODUCT((TADIndia='2. Roles &amp; Pricing'!D112)*('Rates &amp; Drop Downs INT'!$CI$6:$CI$747='2. Roles &amp; Pricing'!F112)*('Rates &amp; Drop Downs INT'!$CK$6:$CK$747='2. Roles &amp; Pricing'!K112)*('Rates &amp; Drop Downs INT'!$CP$6:$CP$747)),SUMPRODUCT((TADIndia='2. Roles &amp; Pricing'!D112)*('Rates &amp; Drop Downs INT'!$CI$6:$CI$747='2. Roles &amp; Pricing'!F112)*('Rates &amp; Drop Downs INT'!$CK$6:$CK$747='2. Roles &amp; Pricing'!K112)*('Rates &amp; Drop Downs INT'!$CR$6:$CR$747))),IF(L355&lt;&gt;"","",IF($E$26="Select Type","Select Margin Class",IFERROR(IF($O112="",0,IF($E$26="Client Custom Rates",0,IF($E$26="Standard Rates",_xlfn.XLOOKUP($O112,'Rates &amp; Drop Downs INT'!$F:$F,'Rates &amp; Drop Downs INT'!I:I)))),0))))</f>
        <v>0</v>
      </c>
      <c r="K355" s="885" cm="1">
        <f t="array" ref="K355">IF($E$20&lt;&gt;"Credera US",0,IF(L355&lt;&gt;"","",IFERROR(IF($D$26&lt;&gt;"Client Custom Rates",0,INDEX('Client Rate Cards'!E:E,MATCH(1,('Client Rate Cards'!B:B='2. Roles &amp; Pricing'!$D$27)*('Client Rate Cards'!D:D='2. Roles &amp; Pricing'!T112),0))),0)))</f>
        <v>0</v>
      </c>
      <c r="L355" s="1350"/>
      <c r="M355" s="1350" t="str">
        <f t="shared" ref="M355:M386" si="96">IF(SUM(E234:BM234)=0,"",SUM(E234:BM234))</f>
        <v/>
      </c>
      <c r="N355" s="1355" t="str">
        <f t="shared" si="93"/>
        <v/>
      </c>
      <c r="O355" s="1359" t="str">
        <f t="shared" si="94"/>
        <v/>
      </c>
    </row>
    <row r="356" spans="3:15" ht="13.95" hidden="1" customHeight="1" outlineLevel="1" x14ac:dyDescent="0.25">
      <c r="C356" s="1354" t="str">
        <f t="shared" si="95"/>
        <v/>
      </c>
      <c r="D356" s="918" t="str">
        <f t="shared" si="89"/>
        <v/>
      </c>
      <c r="E356" s="888"/>
      <c r="F356" s="888" cm="1">
        <f t="array" ref="F356">IFERROR(IF($E$20="Credera US",_xlfn.XLOOKUP($O113,'Rates &amp; Drop Downs INT'!F:F,'Rates &amp; Drop Downs INT'!G:G)*M356,IF($C113="TADNorthAmerica",SUMPRODUCT(('Rates &amp; Drop Downs INT'!$CG$6:$CG$708=$D113)*('Rates &amp; Drop Downs INT'!$CI$6:$CI$708=$F113)*('Rates &amp; Drop Downs INT'!$CK$6:$CK$708=$K113)*('Rates &amp; Drop Downs INT'!$CQ$6:$CQ$708))*M356,SUMPRODUCT(('Rates &amp; Drop Downs INT'!$CG$6:$CG$708=$D113)*('Rates &amp; Drop Downs INT'!$CI$6:$CI$708=$F113)*('Rates &amp; Drop Downs INT'!$CK$6:$CK$708=$K113)*('Rates &amp; Drop Downs INT'!$CT$6:$CT$708))*M356)),0)</f>
        <v>0</v>
      </c>
      <c r="G356" s="889"/>
      <c r="H356" s="889"/>
      <c r="I356" s="885" cm="1">
        <f t="array" ref="I356">IF($E$20="TA Digital",IF($C113="TADNorthAmerica",SUMPRODUCT((TADIndia='2. Roles &amp; Pricing'!D113)*('Rates &amp; Drop Downs INT'!$CI$6:$CI$747='2. Roles &amp; Pricing'!F113)*('Rates &amp; Drop Downs INT'!$CK$6:$CK$747='2. Roles &amp; Pricing'!K113)*('Rates &amp; Drop Downs INT'!$CP$6:$CP$747)),SUMPRODUCT((TADIndia='2. Roles &amp; Pricing'!D113)*('Rates &amp; Drop Downs INT'!$CI$6:$CI$747='2. Roles &amp; Pricing'!F113)*('Rates &amp; Drop Downs INT'!$CK$6:$CK$747='2. Roles &amp; Pricing'!K113)*('Rates &amp; Drop Downs INT'!$CR$6:$CR$747))),IF(L356&lt;&gt;"","",IF($E$26="Select Type","Select Margin Class",IFERROR(IF($O113="",0,IF($E$26="Client Custom Rates",0,IF($E$26="Standard Rates",_xlfn.XLOOKUP($O113,'Rates &amp; Drop Downs INT'!$F:$F,'Rates &amp; Drop Downs INT'!I:I)))),0))))</f>
        <v>0</v>
      </c>
      <c r="K356" s="885" cm="1">
        <f t="array" ref="K356">IF($E$20&lt;&gt;"Credera US",0,IF(L356&lt;&gt;"","",IFERROR(IF($D$26&lt;&gt;"Client Custom Rates",0,INDEX('Client Rate Cards'!E:E,MATCH(1,('Client Rate Cards'!B:B='2. Roles &amp; Pricing'!$D$27)*('Client Rate Cards'!D:D='2. Roles &amp; Pricing'!T113),0))),0)))</f>
        <v>0</v>
      </c>
      <c r="L356" s="1350"/>
      <c r="M356" s="1350" t="str">
        <f t="shared" si="96"/>
        <v/>
      </c>
      <c r="N356" s="1355" t="str">
        <f t="shared" si="93"/>
        <v/>
      </c>
      <c r="O356" s="1359" t="str">
        <f t="shared" si="94"/>
        <v/>
      </c>
    </row>
    <row r="357" spans="3:15" ht="13.95" hidden="1" customHeight="1" outlineLevel="1" x14ac:dyDescent="0.25">
      <c r="C357" s="1354" t="str">
        <f t="shared" si="95"/>
        <v/>
      </c>
      <c r="D357" s="918" t="str">
        <f t="shared" ref="D357:D390" si="97">IFERROR(IF($L357="",(IF($E$26="Select Type","Select Margin Class",IF($E$26="Standard Rates",I357*M357,IF($E$26="Client Custom Rates",K357*M357)))),L357*M357),"")</f>
        <v/>
      </c>
      <c r="E357" s="888"/>
      <c r="F357" s="888" cm="1">
        <f t="array" ref="F357">IFERROR(IF($E$20="Credera US",_xlfn.XLOOKUP($O114,'Rates &amp; Drop Downs INT'!F:F,'Rates &amp; Drop Downs INT'!G:G)*M357,IF($C114="TADNorthAmerica",SUMPRODUCT(('Rates &amp; Drop Downs INT'!$CG$6:$CG$708=$D114)*('Rates &amp; Drop Downs INT'!$CI$6:$CI$708=$F114)*('Rates &amp; Drop Downs INT'!$CK$6:$CK$708=$K114)*('Rates &amp; Drop Downs INT'!$CQ$6:$CQ$708))*M357,SUMPRODUCT(('Rates &amp; Drop Downs INT'!$CG$6:$CG$708=$D114)*('Rates &amp; Drop Downs INT'!$CI$6:$CI$708=$F114)*('Rates &amp; Drop Downs INT'!$CK$6:$CK$708=$K114)*('Rates &amp; Drop Downs INT'!$CT$6:$CT$708))*M357)),0)</f>
        <v>0</v>
      </c>
      <c r="G357" s="889"/>
      <c r="H357" s="889"/>
      <c r="I357" s="885" cm="1">
        <f t="array" ref="I357">IF($E$20="TA Digital",IF($C114="TADNorthAmerica",SUMPRODUCT((TADIndia='2. Roles &amp; Pricing'!D114)*('Rates &amp; Drop Downs INT'!$CI$6:$CI$747='2. Roles &amp; Pricing'!F114)*('Rates &amp; Drop Downs INT'!$CK$6:$CK$747='2. Roles &amp; Pricing'!K114)*('Rates &amp; Drop Downs INT'!$CP$6:$CP$747)),SUMPRODUCT((TADIndia='2. Roles &amp; Pricing'!D114)*('Rates &amp; Drop Downs INT'!$CI$6:$CI$747='2. Roles &amp; Pricing'!F114)*('Rates &amp; Drop Downs INT'!$CK$6:$CK$747='2. Roles &amp; Pricing'!K114)*('Rates &amp; Drop Downs INT'!$CR$6:$CR$747))),IF(L357&lt;&gt;"","",IF($E$26="Select Type","Select Margin Class",IFERROR(IF($O114="",0,IF($E$26="Client Custom Rates",0,IF($E$26="Standard Rates",_xlfn.XLOOKUP($O114,'Rates &amp; Drop Downs INT'!$F:$F,'Rates &amp; Drop Downs INT'!I:I)))),0))))</f>
        <v>0</v>
      </c>
      <c r="K357" s="885" cm="1">
        <f t="array" ref="K357">IF($E$20&lt;&gt;"Credera US",0,IF(L357&lt;&gt;"","",IFERROR(IF($D$26&lt;&gt;"Client Custom Rates",0,INDEX('Client Rate Cards'!E:E,MATCH(1,('Client Rate Cards'!B:B='2. Roles &amp; Pricing'!$D$27)*('Client Rate Cards'!D:D='2. Roles &amp; Pricing'!T114),0))),0)))</f>
        <v>0</v>
      </c>
      <c r="L357" s="1350"/>
      <c r="M357" s="1350" t="str">
        <f t="shared" si="96"/>
        <v/>
      </c>
      <c r="N357" s="1355" t="str">
        <f t="shared" si="93"/>
        <v/>
      </c>
      <c r="O357" s="1359" t="str">
        <f t="shared" si="94"/>
        <v/>
      </c>
    </row>
    <row r="358" spans="3:15" ht="13.95" hidden="1" customHeight="1" outlineLevel="1" x14ac:dyDescent="0.25">
      <c r="C358" s="1354" t="str">
        <f t="shared" si="95"/>
        <v/>
      </c>
      <c r="D358" s="918" t="str">
        <f t="shared" si="97"/>
        <v/>
      </c>
      <c r="E358" s="888"/>
      <c r="F358" s="888" cm="1">
        <f t="array" ref="F358">IFERROR(IF($E$20="Credera US",_xlfn.XLOOKUP($O115,'Rates &amp; Drop Downs INT'!F:F,'Rates &amp; Drop Downs INT'!G:G)*M358,IF($C115="TADNorthAmerica",SUMPRODUCT(('Rates &amp; Drop Downs INT'!$CG$6:$CG$708=$D115)*('Rates &amp; Drop Downs INT'!$CI$6:$CI$708=$F115)*('Rates &amp; Drop Downs INT'!$CK$6:$CK$708=$K115)*('Rates &amp; Drop Downs INT'!$CQ$6:$CQ$708))*M358,SUMPRODUCT(('Rates &amp; Drop Downs INT'!$CG$6:$CG$708=$D115)*('Rates &amp; Drop Downs INT'!$CI$6:$CI$708=$F115)*('Rates &amp; Drop Downs INT'!$CK$6:$CK$708=$K115)*('Rates &amp; Drop Downs INT'!$CT$6:$CT$708))*M358)),0)</f>
        <v>0</v>
      </c>
      <c r="G358" s="889"/>
      <c r="H358" s="889"/>
      <c r="I358" s="885" cm="1">
        <f t="array" ref="I358">IF($E$20="TA Digital",IF($C115="TADNorthAmerica",SUMPRODUCT((TADIndia='2. Roles &amp; Pricing'!D115)*('Rates &amp; Drop Downs INT'!$CI$6:$CI$747='2. Roles &amp; Pricing'!F115)*('Rates &amp; Drop Downs INT'!$CK$6:$CK$747='2. Roles &amp; Pricing'!K115)*('Rates &amp; Drop Downs INT'!$CP$6:$CP$747)),SUMPRODUCT((TADIndia='2. Roles &amp; Pricing'!D115)*('Rates &amp; Drop Downs INT'!$CI$6:$CI$747='2. Roles &amp; Pricing'!F115)*('Rates &amp; Drop Downs INT'!$CK$6:$CK$747='2. Roles &amp; Pricing'!K115)*('Rates &amp; Drop Downs INT'!$CR$6:$CR$747))),IF(L358&lt;&gt;"","",IF($E$26="Select Type","Select Margin Class",IFERROR(IF($O115="",0,IF($E$26="Client Custom Rates",0,IF($E$26="Standard Rates",_xlfn.XLOOKUP($O115,'Rates &amp; Drop Downs INT'!$F:$F,'Rates &amp; Drop Downs INT'!I:I)))),0))))</f>
        <v>0</v>
      </c>
      <c r="K358" s="885" cm="1">
        <f t="array" ref="K358">IF($E$20&lt;&gt;"Credera US",0,IF(L358&lt;&gt;"","",IFERROR(IF($D$26&lt;&gt;"Client Custom Rates",0,INDEX('Client Rate Cards'!E:E,MATCH(1,('Client Rate Cards'!B:B='2. Roles &amp; Pricing'!$D$27)*('Client Rate Cards'!D:D='2. Roles &amp; Pricing'!T115),0))),0)))</f>
        <v>0</v>
      </c>
      <c r="L358" s="1350"/>
      <c r="M358" s="1350" t="str">
        <f t="shared" si="96"/>
        <v/>
      </c>
      <c r="N358" s="1355" t="str">
        <f t="shared" si="93"/>
        <v/>
      </c>
      <c r="O358" s="1359" t="str">
        <f t="shared" si="94"/>
        <v/>
      </c>
    </row>
    <row r="359" spans="3:15" ht="13.95" hidden="1" customHeight="1" outlineLevel="1" x14ac:dyDescent="0.25">
      <c r="C359" s="1354" t="str">
        <f t="shared" si="95"/>
        <v/>
      </c>
      <c r="D359" s="918" t="str">
        <f t="shared" si="97"/>
        <v/>
      </c>
      <c r="E359" s="888"/>
      <c r="F359" s="888" cm="1">
        <f t="array" ref="F359">IFERROR(IF($E$20="Credera US",_xlfn.XLOOKUP($O116,'Rates &amp; Drop Downs INT'!F:F,'Rates &amp; Drop Downs INT'!G:G)*M359,IF($C116="TADNorthAmerica",SUMPRODUCT(('Rates &amp; Drop Downs INT'!$CG$6:$CG$708=$D116)*('Rates &amp; Drop Downs INT'!$CI$6:$CI$708=$F116)*('Rates &amp; Drop Downs INT'!$CK$6:$CK$708=$K116)*('Rates &amp; Drop Downs INT'!$CQ$6:$CQ$708))*M359,SUMPRODUCT(('Rates &amp; Drop Downs INT'!$CG$6:$CG$708=$D116)*('Rates &amp; Drop Downs INT'!$CI$6:$CI$708=$F116)*('Rates &amp; Drop Downs INT'!$CK$6:$CK$708=$K116)*('Rates &amp; Drop Downs INT'!$CT$6:$CT$708))*M359)),0)</f>
        <v>0</v>
      </c>
      <c r="G359" s="889"/>
      <c r="H359" s="889"/>
      <c r="I359" s="885" cm="1">
        <f t="array" ref="I359">IF($E$20="TA Digital",IF($C116="TADNorthAmerica",SUMPRODUCT((TADIndia='2. Roles &amp; Pricing'!D116)*('Rates &amp; Drop Downs INT'!$CI$6:$CI$747='2. Roles &amp; Pricing'!F116)*('Rates &amp; Drop Downs INT'!$CK$6:$CK$747='2. Roles &amp; Pricing'!K116)*('Rates &amp; Drop Downs INT'!$CP$6:$CP$747)),SUMPRODUCT((TADIndia='2. Roles &amp; Pricing'!D116)*('Rates &amp; Drop Downs INT'!$CI$6:$CI$747='2. Roles &amp; Pricing'!F116)*('Rates &amp; Drop Downs INT'!$CK$6:$CK$747='2. Roles &amp; Pricing'!K116)*('Rates &amp; Drop Downs INT'!$CR$6:$CR$747))),IF(L359&lt;&gt;"","",IF($E$26="Select Type","Select Margin Class",IFERROR(IF($O116="",0,IF($E$26="Client Custom Rates",0,IF($E$26="Standard Rates",_xlfn.XLOOKUP($O116,'Rates &amp; Drop Downs INT'!$F:$F,'Rates &amp; Drop Downs INT'!I:I)))),0))))</f>
        <v>0</v>
      </c>
      <c r="K359" s="885" cm="1">
        <f t="array" ref="K359">IF($E$20&lt;&gt;"Credera US",0,IF(L359&lt;&gt;"","",IFERROR(IF($D$26&lt;&gt;"Client Custom Rates",0,INDEX('Client Rate Cards'!E:E,MATCH(1,('Client Rate Cards'!B:B='2. Roles &amp; Pricing'!$D$27)*('Client Rate Cards'!D:D='2. Roles &amp; Pricing'!T116),0))),0)))</f>
        <v>0</v>
      </c>
      <c r="L359" s="1350"/>
      <c r="M359" s="1350" t="str">
        <f t="shared" si="96"/>
        <v/>
      </c>
      <c r="N359" s="1355" t="str">
        <f t="shared" si="93"/>
        <v/>
      </c>
      <c r="O359" s="1359" t="str">
        <f t="shared" si="94"/>
        <v/>
      </c>
    </row>
    <row r="360" spans="3:15" ht="13.95" hidden="1" customHeight="1" outlineLevel="1" x14ac:dyDescent="0.25">
      <c r="C360" s="1354" t="str">
        <f t="shared" si="95"/>
        <v/>
      </c>
      <c r="D360" s="918" t="str">
        <f t="shared" si="97"/>
        <v/>
      </c>
      <c r="E360" s="888"/>
      <c r="F360" s="888" cm="1">
        <f t="array" ref="F360">IFERROR(IF($E$20="Credera US",_xlfn.XLOOKUP($O117,'Rates &amp; Drop Downs INT'!F:F,'Rates &amp; Drop Downs INT'!G:G)*M360,IF($C117="TADNorthAmerica",SUMPRODUCT(('Rates &amp; Drop Downs INT'!$CG$6:$CG$708=$D117)*('Rates &amp; Drop Downs INT'!$CI$6:$CI$708=$F117)*('Rates &amp; Drop Downs INT'!$CK$6:$CK$708=$K117)*('Rates &amp; Drop Downs INT'!$CQ$6:$CQ$708))*M360,SUMPRODUCT(('Rates &amp; Drop Downs INT'!$CG$6:$CG$708=$D117)*('Rates &amp; Drop Downs INT'!$CI$6:$CI$708=$F117)*('Rates &amp; Drop Downs INT'!$CK$6:$CK$708=$K117)*('Rates &amp; Drop Downs INT'!$CT$6:$CT$708))*M360)),0)</f>
        <v>0</v>
      </c>
      <c r="G360" s="889"/>
      <c r="H360" s="889"/>
      <c r="I360" s="885" cm="1">
        <f t="array" ref="I360">IF($E$20="TA Digital",IF($C117="TADNorthAmerica",SUMPRODUCT((TADIndia='2. Roles &amp; Pricing'!D117)*('Rates &amp; Drop Downs INT'!$CI$6:$CI$747='2. Roles &amp; Pricing'!F117)*('Rates &amp; Drop Downs INT'!$CK$6:$CK$747='2. Roles &amp; Pricing'!K117)*('Rates &amp; Drop Downs INT'!$CP$6:$CP$747)),SUMPRODUCT((TADIndia='2. Roles &amp; Pricing'!D117)*('Rates &amp; Drop Downs INT'!$CI$6:$CI$747='2. Roles &amp; Pricing'!F117)*('Rates &amp; Drop Downs INT'!$CK$6:$CK$747='2. Roles &amp; Pricing'!K117)*('Rates &amp; Drop Downs INT'!$CR$6:$CR$747))),IF(L360&lt;&gt;"","",IF($E$26="Select Type","Select Margin Class",IFERROR(IF($O117="",0,IF($E$26="Client Custom Rates",0,IF($E$26="Standard Rates",_xlfn.XLOOKUP($O117,'Rates &amp; Drop Downs INT'!$F:$F,'Rates &amp; Drop Downs INT'!I:I)))),0))))</f>
        <v>0</v>
      </c>
      <c r="K360" s="885" cm="1">
        <f t="array" ref="K360">IF($E$20&lt;&gt;"Credera US",0,IF(L360&lt;&gt;"","",IFERROR(IF($D$26&lt;&gt;"Client Custom Rates",0,INDEX('Client Rate Cards'!E:E,MATCH(1,('Client Rate Cards'!B:B='2. Roles &amp; Pricing'!$D$27)*('Client Rate Cards'!D:D='2. Roles &amp; Pricing'!T117),0))),0)))</f>
        <v>0</v>
      </c>
      <c r="L360" s="1350"/>
      <c r="M360" s="1350" t="str">
        <f t="shared" si="96"/>
        <v/>
      </c>
      <c r="N360" s="1355" t="str">
        <f t="shared" si="93"/>
        <v/>
      </c>
      <c r="O360" s="1359" t="str">
        <f t="shared" si="94"/>
        <v/>
      </c>
    </row>
    <row r="361" spans="3:15" ht="13.95" hidden="1" customHeight="1" outlineLevel="1" x14ac:dyDescent="0.25">
      <c r="C361" s="1354" t="str">
        <f t="shared" si="95"/>
        <v/>
      </c>
      <c r="D361" s="918" t="str">
        <f t="shared" si="97"/>
        <v/>
      </c>
      <c r="E361" s="888"/>
      <c r="F361" s="888" cm="1">
        <f t="array" ref="F361">IFERROR(IF($E$20="Credera US",_xlfn.XLOOKUP($O118,'Rates &amp; Drop Downs INT'!F:F,'Rates &amp; Drop Downs INT'!G:G)*M361,IF($C118="TADNorthAmerica",SUMPRODUCT(('Rates &amp; Drop Downs INT'!$CG$6:$CG$708=$D118)*('Rates &amp; Drop Downs INT'!$CI$6:$CI$708=$F118)*('Rates &amp; Drop Downs INT'!$CK$6:$CK$708=$K118)*('Rates &amp; Drop Downs INT'!$CQ$6:$CQ$708))*M361,SUMPRODUCT(('Rates &amp; Drop Downs INT'!$CG$6:$CG$708=$D118)*('Rates &amp; Drop Downs INT'!$CI$6:$CI$708=$F118)*('Rates &amp; Drop Downs INT'!$CK$6:$CK$708=$K118)*('Rates &amp; Drop Downs INT'!$CT$6:$CT$708))*M361)),0)</f>
        <v>0</v>
      </c>
      <c r="G361" s="889"/>
      <c r="H361" s="889"/>
      <c r="I361" s="885" cm="1">
        <f t="array" ref="I361">IF($E$20="TA Digital",IF($C118="TADNorthAmerica",SUMPRODUCT((TADIndia='2. Roles &amp; Pricing'!D118)*('Rates &amp; Drop Downs INT'!$CI$6:$CI$747='2. Roles &amp; Pricing'!F118)*('Rates &amp; Drop Downs INT'!$CK$6:$CK$747='2. Roles &amp; Pricing'!K118)*('Rates &amp; Drop Downs INT'!$CP$6:$CP$747)),SUMPRODUCT((TADIndia='2. Roles &amp; Pricing'!D118)*('Rates &amp; Drop Downs INT'!$CI$6:$CI$747='2. Roles &amp; Pricing'!F118)*('Rates &amp; Drop Downs INT'!$CK$6:$CK$747='2. Roles &amp; Pricing'!K118)*('Rates &amp; Drop Downs INT'!$CR$6:$CR$747))),IF(L361&lt;&gt;"","",IF($E$26="Select Type","Select Margin Class",IFERROR(IF($O118="",0,IF($E$26="Client Custom Rates",0,IF($E$26="Standard Rates",_xlfn.XLOOKUP($O118,'Rates &amp; Drop Downs INT'!$F:$F,'Rates &amp; Drop Downs INT'!I:I)))),0))))</f>
        <v>0</v>
      </c>
      <c r="K361" s="885" cm="1">
        <f t="array" ref="K361">IF($E$20&lt;&gt;"Credera US",0,IF(L361&lt;&gt;"","",IFERROR(IF($D$26&lt;&gt;"Client Custom Rates",0,INDEX('Client Rate Cards'!E:E,MATCH(1,('Client Rate Cards'!B:B='2. Roles &amp; Pricing'!$D$27)*('Client Rate Cards'!D:D='2. Roles &amp; Pricing'!T118),0))),0)))</f>
        <v>0</v>
      </c>
      <c r="L361" s="1350"/>
      <c r="M361" s="1350" t="str">
        <f t="shared" si="96"/>
        <v/>
      </c>
      <c r="N361" s="1355" t="str">
        <f t="shared" si="93"/>
        <v/>
      </c>
      <c r="O361" s="1359" t="str">
        <f t="shared" si="94"/>
        <v/>
      </c>
    </row>
    <row r="362" spans="3:15" ht="13.95" hidden="1" customHeight="1" outlineLevel="1" x14ac:dyDescent="0.25">
      <c r="C362" s="1354" t="str">
        <f t="shared" si="95"/>
        <v/>
      </c>
      <c r="D362" s="918" t="str">
        <f t="shared" si="97"/>
        <v/>
      </c>
      <c r="E362" s="888"/>
      <c r="F362" s="888" cm="1">
        <f t="array" ref="F362">IFERROR(IF($E$20="Credera US",_xlfn.XLOOKUP($O119,'Rates &amp; Drop Downs INT'!F:F,'Rates &amp; Drop Downs INT'!G:G)*M362,IF($C119="TADNorthAmerica",SUMPRODUCT(('Rates &amp; Drop Downs INT'!$CG$6:$CG$708=$D119)*('Rates &amp; Drop Downs INT'!$CI$6:$CI$708=$F119)*('Rates &amp; Drop Downs INT'!$CK$6:$CK$708=$K119)*('Rates &amp; Drop Downs INT'!$CQ$6:$CQ$708))*M362,SUMPRODUCT(('Rates &amp; Drop Downs INT'!$CG$6:$CG$708=$D119)*('Rates &amp; Drop Downs INT'!$CI$6:$CI$708=$F119)*('Rates &amp; Drop Downs INT'!$CK$6:$CK$708=$K119)*('Rates &amp; Drop Downs INT'!$CT$6:$CT$708))*M362)),0)</f>
        <v>0</v>
      </c>
      <c r="G362" s="889"/>
      <c r="H362" s="889"/>
      <c r="I362" s="885" cm="1">
        <f t="array" ref="I362">IF($E$20="TA Digital",IF($C119="TADNorthAmerica",SUMPRODUCT((TADIndia='2. Roles &amp; Pricing'!D119)*('Rates &amp; Drop Downs INT'!$CI$6:$CI$747='2. Roles &amp; Pricing'!F119)*('Rates &amp; Drop Downs INT'!$CK$6:$CK$747='2. Roles &amp; Pricing'!K119)*('Rates &amp; Drop Downs INT'!$CP$6:$CP$747)),SUMPRODUCT((TADIndia='2. Roles &amp; Pricing'!D119)*('Rates &amp; Drop Downs INT'!$CI$6:$CI$747='2. Roles &amp; Pricing'!F119)*('Rates &amp; Drop Downs INT'!$CK$6:$CK$747='2. Roles &amp; Pricing'!K119)*('Rates &amp; Drop Downs INT'!$CR$6:$CR$747))),IF(L362&lt;&gt;"","",IF($E$26="Select Type","Select Margin Class",IFERROR(IF($O119="",0,IF($E$26="Client Custom Rates",0,IF($E$26="Standard Rates",_xlfn.XLOOKUP($O119,'Rates &amp; Drop Downs INT'!$F:$F,'Rates &amp; Drop Downs INT'!I:I)))),0))))</f>
        <v>0</v>
      </c>
      <c r="K362" s="885" cm="1">
        <f t="array" ref="K362">IF($E$20&lt;&gt;"Credera US",0,IF(L362&lt;&gt;"","",IFERROR(IF($D$26&lt;&gt;"Client Custom Rates",0,INDEX('Client Rate Cards'!E:E,MATCH(1,('Client Rate Cards'!B:B='2. Roles &amp; Pricing'!$D$27)*('Client Rate Cards'!D:D='2. Roles &amp; Pricing'!T119),0))),0)))</f>
        <v>0</v>
      </c>
      <c r="L362" s="1350"/>
      <c r="M362" s="1350" t="str">
        <f t="shared" si="96"/>
        <v/>
      </c>
      <c r="N362" s="1355" t="str">
        <f t="shared" si="93"/>
        <v/>
      </c>
      <c r="O362" s="1359" t="str">
        <f t="shared" si="94"/>
        <v/>
      </c>
    </row>
    <row r="363" spans="3:15" ht="13.95" hidden="1" customHeight="1" outlineLevel="1" x14ac:dyDescent="0.25">
      <c r="C363" s="1354" t="str">
        <f t="shared" si="95"/>
        <v/>
      </c>
      <c r="D363" s="918" t="str">
        <f t="shared" si="97"/>
        <v/>
      </c>
      <c r="E363" s="888"/>
      <c r="F363" s="888" cm="1">
        <f t="array" ref="F363">IFERROR(IF($E$20="Credera US",_xlfn.XLOOKUP($O120,'Rates &amp; Drop Downs INT'!F:F,'Rates &amp; Drop Downs INT'!G:G)*M363,IF($C120="TADNorthAmerica",SUMPRODUCT(('Rates &amp; Drop Downs INT'!$CG$6:$CG$708=$D120)*('Rates &amp; Drop Downs INT'!$CI$6:$CI$708=$F120)*('Rates &amp; Drop Downs INT'!$CK$6:$CK$708=$K120)*('Rates &amp; Drop Downs INT'!$CQ$6:$CQ$708))*M363,SUMPRODUCT(('Rates &amp; Drop Downs INT'!$CG$6:$CG$708=$D120)*('Rates &amp; Drop Downs INT'!$CI$6:$CI$708=$F120)*('Rates &amp; Drop Downs INT'!$CK$6:$CK$708=$K120)*('Rates &amp; Drop Downs INT'!$CT$6:$CT$708))*M363)),0)</f>
        <v>0</v>
      </c>
      <c r="G363" s="889"/>
      <c r="H363" s="889"/>
      <c r="I363" s="885" cm="1">
        <f t="array" ref="I363">IF($E$20="TA Digital",IF($C120="TADNorthAmerica",SUMPRODUCT((TADIndia='2. Roles &amp; Pricing'!D120)*('Rates &amp; Drop Downs INT'!$CI$6:$CI$747='2. Roles &amp; Pricing'!F120)*('Rates &amp; Drop Downs INT'!$CK$6:$CK$747='2. Roles &amp; Pricing'!K120)*('Rates &amp; Drop Downs INT'!$CP$6:$CP$747)),SUMPRODUCT((TADIndia='2. Roles &amp; Pricing'!D120)*('Rates &amp; Drop Downs INT'!$CI$6:$CI$747='2. Roles &amp; Pricing'!F120)*('Rates &amp; Drop Downs INT'!$CK$6:$CK$747='2. Roles &amp; Pricing'!K120)*('Rates &amp; Drop Downs INT'!$CR$6:$CR$747))),IF(L363&lt;&gt;"","",IF($E$26="Select Type","Select Margin Class",IFERROR(IF($O120="",0,IF($E$26="Client Custom Rates",0,IF($E$26="Standard Rates",_xlfn.XLOOKUP($O120,'Rates &amp; Drop Downs INT'!$F:$F,'Rates &amp; Drop Downs INT'!I:I)))),0))))</f>
        <v>0</v>
      </c>
      <c r="K363" s="885" cm="1">
        <f t="array" ref="K363">IF($E$20&lt;&gt;"Credera US",0,IF(L363&lt;&gt;"","",IFERROR(IF($D$26&lt;&gt;"Client Custom Rates",0,INDEX('Client Rate Cards'!E:E,MATCH(1,('Client Rate Cards'!B:B='2. Roles &amp; Pricing'!$D$27)*('Client Rate Cards'!D:D='2. Roles &amp; Pricing'!T120),0))),0)))</f>
        <v>0</v>
      </c>
      <c r="L363" s="1350"/>
      <c r="M363" s="1350" t="str">
        <f t="shared" si="96"/>
        <v/>
      </c>
      <c r="N363" s="1355" t="str">
        <f t="shared" si="93"/>
        <v/>
      </c>
      <c r="O363" s="1359" t="str">
        <f t="shared" si="94"/>
        <v/>
      </c>
    </row>
    <row r="364" spans="3:15" ht="13.95" hidden="1" customHeight="1" outlineLevel="1" x14ac:dyDescent="0.25">
      <c r="C364" s="1354" t="str">
        <f t="shared" si="95"/>
        <v/>
      </c>
      <c r="D364" s="918" t="str">
        <f t="shared" si="97"/>
        <v/>
      </c>
      <c r="E364" s="888"/>
      <c r="F364" s="888" cm="1">
        <f t="array" ref="F364">IFERROR(IF($E$20="Credera US",_xlfn.XLOOKUP($O121,'Rates &amp; Drop Downs INT'!F:F,'Rates &amp; Drop Downs INT'!G:G)*M364,IF($C121="TADNorthAmerica",SUMPRODUCT(('Rates &amp; Drop Downs INT'!$CG$6:$CG$708=$D121)*('Rates &amp; Drop Downs INT'!$CI$6:$CI$708=$F121)*('Rates &amp; Drop Downs INT'!$CK$6:$CK$708=$K121)*('Rates &amp; Drop Downs INT'!$CQ$6:$CQ$708))*M364,SUMPRODUCT(('Rates &amp; Drop Downs INT'!$CG$6:$CG$708=$D121)*('Rates &amp; Drop Downs INT'!$CI$6:$CI$708=$F121)*('Rates &amp; Drop Downs INT'!$CK$6:$CK$708=$K121)*('Rates &amp; Drop Downs INT'!$CT$6:$CT$708))*M364)),0)</f>
        <v>0</v>
      </c>
      <c r="G364" s="889"/>
      <c r="H364" s="889"/>
      <c r="I364" s="885" cm="1">
        <f t="array" ref="I364">IF($E$20="TA Digital",IF($C121="TADNorthAmerica",SUMPRODUCT((TADIndia='2. Roles &amp; Pricing'!D121)*('Rates &amp; Drop Downs INT'!$CI$6:$CI$747='2. Roles &amp; Pricing'!F121)*('Rates &amp; Drop Downs INT'!$CK$6:$CK$747='2. Roles &amp; Pricing'!K121)*('Rates &amp; Drop Downs INT'!$CP$6:$CP$747)),SUMPRODUCT((TADIndia='2. Roles &amp; Pricing'!D121)*('Rates &amp; Drop Downs INT'!$CI$6:$CI$747='2. Roles &amp; Pricing'!F121)*('Rates &amp; Drop Downs INT'!$CK$6:$CK$747='2. Roles &amp; Pricing'!K121)*('Rates &amp; Drop Downs INT'!$CR$6:$CR$747))),IF(L364&lt;&gt;"","",IF($E$26="Select Type","Select Margin Class",IFERROR(IF($O121="",0,IF($E$26="Client Custom Rates",0,IF($E$26="Standard Rates",_xlfn.XLOOKUP($O121,'Rates &amp; Drop Downs INT'!$F:$F,'Rates &amp; Drop Downs INT'!I:I)))),0))))</f>
        <v>0</v>
      </c>
      <c r="K364" s="885" cm="1">
        <f t="array" ref="K364">IF($E$20&lt;&gt;"Credera US",0,IF(L364&lt;&gt;"","",IFERROR(IF($D$26&lt;&gt;"Client Custom Rates",0,INDEX('Client Rate Cards'!E:E,MATCH(1,('Client Rate Cards'!B:B='2. Roles &amp; Pricing'!$D$27)*('Client Rate Cards'!D:D='2. Roles &amp; Pricing'!T121),0))),0)))</f>
        <v>0</v>
      </c>
      <c r="L364" s="1350"/>
      <c r="M364" s="1350" t="str">
        <f t="shared" si="96"/>
        <v/>
      </c>
      <c r="N364" s="1355" t="str">
        <f t="shared" si="93"/>
        <v/>
      </c>
      <c r="O364" s="1359" t="str">
        <f t="shared" si="94"/>
        <v/>
      </c>
    </row>
    <row r="365" spans="3:15" ht="13.95" hidden="1" customHeight="1" outlineLevel="1" x14ac:dyDescent="0.25">
      <c r="C365" s="1354" t="str">
        <f t="shared" si="95"/>
        <v/>
      </c>
      <c r="D365" s="918" t="str">
        <f t="shared" si="97"/>
        <v/>
      </c>
      <c r="E365" s="888"/>
      <c r="F365" s="888" cm="1">
        <f t="array" ref="F365">IFERROR(IF($E$20="Credera US",_xlfn.XLOOKUP($O122,'Rates &amp; Drop Downs INT'!F:F,'Rates &amp; Drop Downs INT'!G:G)*M365,IF($C122="TADNorthAmerica",SUMPRODUCT(('Rates &amp; Drop Downs INT'!$CG$6:$CG$708=$D122)*('Rates &amp; Drop Downs INT'!$CI$6:$CI$708=$F122)*('Rates &amp; Drop Downs INT'!$CK$6:$CK$708=$K122)*('Rates &amp; Drop Downs INT'!$CQ$6:$CQ$708))*M365,SUMPRODUCT(('Rates &amp; Drop Downs INT'!$CG$6:$CG$708=$D122)*('Rates &amp; Drop Downs INT'!$CI$6:$CI$708=$F122)*('Rates &amp; Drop Downs INT'!$CK$6:$CK$708=$K122)*('Rates &amp; Drop Downs INT'!$CT$6:$CT$708))*M365)),0)</f>
        <v>0</v>
      </c>
      <c r="G365" s="889"/>
      <c r="H365" s="889"/>
      <c r="I365" s="885" cm="1">
        <f t="array" ref="I365">IF($E$20="TA Digital",IF($C122="TADNorthAmerica",SUMPRODUCT((TADIndia='2. Roles &amp; Pricing'!D122)*('Rates &amp; Drop Downs INT'!$CI$6:$CI$747='2. Roles &amp; Pricing'!F122)*('Rates &amp; Drop Downs INT'!$CK$6:$CK$747='2. Roles &amp; Pricing'!K122)*('Rates &amp; Drop Downs INT'!$CP$6:$CP$747)),SUMPRODUCT((TADIndia='2. Roles &amp; Pricing'!D122)*('Rates &amp; Drop Downs INT'!$CI$6:$CI$747='2. Roles &amp; Pricing'!F122)*('Rates &amp; Drop Downs INT'!$CK$6:$CK$747='2. Roles &amp; Pricing'!K122)*('Rates &amp; Drop Downs INT'!$CR$6:$CR$747))),IF(L365&lt;&gt;"","",IF($E$26="Select Type","Select Margin Class",IFERROR(IF($O122="",0,IF($E$26="Client Custom Rates",0,IF($E$26="Standard Rates",_xlfn.XLOOKUP($O122,'Rates &amp; Drop Downs INT'!$F:$F,'Rates &amp; Drop Downs INT'!I:I)))),0))))</f>
        <v>0</v>
      </c>
      <c r="K365" s="885" cm="1">
        <f t="array" ref="K365">IF($E$20&lt;&gt;"Credera US",0,IF(L365&lt;&gt;"","",IFERROR(IF($D$26&lt;&gt;"Client Custom Rates",0,INDEX('Client Rate Cards'!E:E,MATCH(1,('Client Rate Cards'!B:B='2. Roles &amp; Pricing'!$D$27)*('Client Rate Cards'!D:D='2. Roles &amp; Pricing'!T122),0))),0)))</f>
        <v>0</v>
      </c>
      <c r="L365" s="1350"/>
      <c r="M365" s="1350" t="str">
        <f t="shared" si="96"/>
        <v/>
      </c>
      <c r="N365" s="1355" t="str">
        <f t="shared" si="93"/>
        <v/>
      </c>
      <c r="O365" s="1359" t="str">
        <f t="shared" si="94"/>
        <v/>
      </c>
    </row>
    <row r="366" spans="3:15" ht="13.95" hidden="1" customHeight="1" outlineLevel="1" x14ac:dyDescent="0.25">
      <c r="C366" s="1354" t="str">
        <f t="shared" si="95"/>
        <v/>
      </c>
      <c r="D366" s="918" t="str">
        <f t="shared" si="97"/>
        <v/>
      </c>
      <c r="E366" s="888"/>
      <c r="F366" s="888" cm="1">
        <f t="array" ref="F366">IFERROR(IF($E$20="Credera US",_xlfn.XLOOKUP($O123,'Rates &amp; Drop Downs INT'!F:F,'Rates &amp; Drop Downs INT'!G:G)*M366,IF($C123="TADNorthAmerica",SUMPRODUCT(('Rates &amp; Drop Downs INT'!$CG$6:$CG$708=$D123)*('Rates &amp; Drop Downs INT'!$CI$6:$CI$708=$F123)*('Rates &amp; Drop Downs INT'!$CK$6:$CK$708=$K123)*('Rates &amp; Drop Downs INT'!$CQ$6:$CQ$708))*M366,SUMPRODUCT(('Rates &amp; Drop Downs INT'!$CG$6:$CG$708=$D123)*('Rates &amp; Drop Downs INT'!$CI$6:$CI$708=$F123)*('Rates &amp; Drop Downs INT'!$CK$6:$CK$708=$K123)*('Rates &amp; Drop Downs INT'!$CT$6:$CT$708))*M366)),0)</f>
        <v>0</v>
      </c>
      <c r="G366" s="889"/>
      <c r="H366" s="889"/>
      <c r="I366" s="885" cm="1">
        <f t="array" ref="I366">IF($E$20="TA Digital",IF($C123="TADNorthAmerica",SUMPRODUCT((TADIndia='2. Roles &amp; Pricing'!D123)*('Rates &amp; Drop Downs INT'!$CI$6:$CI$747='2. Roles &amp; Pricing'!F123)*('Rates &amp; Drop Downs INT'!$CK$6:$CK$747='2. Roles &amp; Pricing'!K123)*('Rates &amp; Drop Downs INT'!$CP$6:$CP$747)),SUMPRODUCT((TADIndia='2. Roles &amp; Pricing'!D123)*('Rates &amp; Drop Downs INT'!$CI$6:$CI$747='2. Roles &amp; Pricing'!F123)*('Rates &amp; Drop Downs INT'!$CK$6:$CK$747='2. Roles &amp; Pricing'!K123)*('Rates &amp; Drop Downs INT'!$CR$6:$CR$747))),IF(L366&lt;&gt;"","",IF($E$26="Select Type","Select Margin Class",IFERROR(IF($O123="",0,IF($E$26="Client Custom Rates",0,IF($E$26="Standard Rates",_xlfn.XLOOKUP($O123,'Rates &amp; Drop Downs INT'!$F:$F,'Rates &amp; Drop Downs INT'!I:I)))),0))))</f>
        <v>0</v>
      </c>
      <c r="K366" s="885" cm="1">
        <f t="array" ref="K366">IF($E$20&lt;&gt;"Credera US",0,IF(L366&lt;&gt;"","",IFERROR(IF($D$26&lt;&gt;"Client Custom Rates",0,INDEX('Client Rate Cards'!E:E,MATCH(1,('Client Rate Cards'!B:B='2. Roles &amp; Pricing'!$D$27)*('Client Rate Cards'!D:D='2. Roles &amp; Pricing'!T123),0))),0)))</f>
        <v>0</v>
      </c>
      <c r="L366" s="1350"/>
      <c r="M366" s="1350" t="str">
        <f t="shared" si="96"/>
        <v/>
      </c>
      <c r="N366" s="1355" t="str">
        <f t="shared" si="93"/>
        <v/>
      </c>
      <c r="O366" s="1359" t="str">
        <f t="shared" si="94"/>
        <v/>
      </c>
    </row>
    <row r="367" spans="3:15" ht="13.95" hidden="1" customHeight="1" outlineLevel="1" x14ac:dyDescent="0.25">
      <c r="C367" s="1354" t="str">
        <f t="shared" si="95"/>
        <v/>
      </c>
      <c r="D367" s="918" t="str">
        <f t="shared" si="97"/>
        <v/>
      </c>
      <c r="E367" s="888"/>
      <c r="F367" s="888" cm="1">
        <f t="array" ref="F367">IFERROR(IF($E$20="Credera US",_xlfn.XLOOKUP($O124,'Rates &amp; Drop Downs INT'!F:F,'Rates &amp; Drop Downs INT'!G:G)*M367,IF($C124="TADNorthAmerica",SUMPRODUCT(('Rates &amp; Drop Downs INT'!$CG$6:$CG$708=$D124)*('Rates &amp; Drop Downs INT'!$CI$6:$CI$708=$F124)*('Rates &amp; Drop Downs INT'!$CK$6:$CK$708=$K124)*('Rates &amp; Drop Downs INT'!$CQ$6:$CQ$708))*M367,SUMPRODUCT(('Rates &amp; Drop Downs INT'!$CG$6:$CG$708=$D124)*('Rates &amp; Drop Downs INT'!$CI$6:$CI$708=$F124)*('Rates &amp; Drop Downs INT'!$CK$6:$CK$708=$K124)*('Rates &amp; Drop Downs INT'!$CT$6:$CT$708))*M367)),0)</f>
        <v>0</v>
      </c>
      <c r="G367" s="889"/>
      <c r="H367" s="889"/>
      <c r="I367" s="885" cm="1">
        <f t="array" ref="I367">IF($E$20="TA Digital",IF($C124="TADNorthAmerica",SUMPRODUCT((TADIndia='2. Roles &amp; Pricing'!D124)*('Rates &amp; Drop Downs INT'!$CI$6:$CI$747='2. Roles &amp; Pricing'!F124)*('Rates &amp; Drop Downs INT'!$CK$6:$CK$747='2. Roles &amp; Pricing'!K124)*('Rates &amp; Drop Downs INT'!$CP$6:$CP$747)),SUMPRODUCT((TADIndia='2. Roles &amp; Pricing'!D124)*('Rates &amp; Drop Downs INT'!$CI$6:$CI$747='2. Roles &amp; Pricing'!F124)*('Rates &amp; Drop Downs INT'!$CK$6:$CK$747='2. Roles &amp; Pricing'!K124)*('Rates &amp; Drop Downs INT'!$CR$6:$CR$747))),IF(L367&lt;&gt;"","",IF($E$26="Select Type","Select Margin Class",IFERROR(IF($O124="",0,IF($E$26="Client Custom Rates",0,IF($E$26="Standard Rates",_xlfn.XLOOKUP($O124,'Rates &amp; Drop Downs INT'!$F:$F,'Rates &amp; Drop Downs INT'!I:I)))),0))))</f>
        <v>0</v>
      </c>
      <c r="K367" s="885" cm="1">
        <f t="array" ref="K367">IF($E$20&lt;&gt;"Credera US",0,IF(L367&lt;&gt;"","",IFERROR(IF($D$26&lt;&gt;"Client Custom Rates",0,INDEX('Client Rate Cards'!E:E,MATCH(1,('Client Rate Cards'!B:B='2. Roles &amp; Pricing'!$D$27)*('Client Rate Cards'!D:D='2. Roles &amp; Pricing'!T124),0))),0)))</f>
        <v>0</v>
      </c>
      <c r="L367" s="1350"/>
      <c r="M367" s="1350" t="str">
        <f t="shared" si="96"/>
        <v/>
      </c>
      <c r="N367" s="1355" t="str">
        <f t="shared" si="93"/>
        <v/>
      </c>
      <c r="O367" s="1359" t="str">
        <f t="shared" si="94"/>
        <v/>
      </c>
    </row>
    <row r="368" spans="3:15" ht="13.95" hidden="1" customHeight="1" outlineLevel="1" x14ac:dyDescent="0.25">
      <c r="C368" s="1354" t="str">
        <f t="shared" si="95"/>
        <v/>
      </c>
      <c r="D368" s="918" t="str">
        <f t="shared" si="97"/>
        <v/>
      </c>
      <c r="E368" s="888"/>
      <c r="F368" s="888" cm="1">
        <f t="array" ref="F368">IFERROR(IF($E$20="Credera US",_xlfn.XLOOKUP($O125,'Rates &amp; Drop Downs INT'!F:F,'Rates &amp; Drop Downs INT'!G:G)*M368,IF($C125="TADNorthAmerica",SUMPRODUCT(('Rates &amp; Drop Downs INT'!$CG$6:$CG$708=$D125)*('Rates &amp; Drop Downs INT'!$CI$6:$CI$708=$F125)*('Rates &amp; Drop Downs INT'!$CK$6:$CK$708=$K125)*('Rates &amp; Drop Downs INT'!$CQ$6:$CQ$708))*M368,SUMPRODUCT(('Rates &amp; Drop Downs INT'!$CG$6:$CG$708=$D125)*('Rates &amp; Drop Downs INT'!$CI$6:$CI$708=$F125)*('Rates &amp; Drop Downs INT'!$CK$6:$CK$708=$K125)*('Rates &amp; Drop Downs INT'!$CT$6:$CT$708))*M368)),0)</f>
        <v>0</v>
      </c>
      <c r="G368" s="889"/>
      <c r="H368" s="889"/>
      <c r="I368" s="885" cm="1">
        <f t="array" ref="I368">IF($E$20="TA Digital",IF($C125="TADNorthAmerica",SUMPRODUCT((TADIndia='2. Roles &amp; Pricing'!D125)*('Rates &amp; Drop Downs INT'!$CI$6:$CI$747='2. Roles &amp; Pricing'!F125)*('Rates &amp; Drop Downs INT'!$CK$6:$CK$747='2. Roles &amp; Pricing'!K125)*('Rates &amp; Drop Downs INT'!$CP$6:$CP$747)),SUMPRODUCT((TADIndia='2. Roles &amp; Pricing'!D125)*('Rates &amp; Drop Downs INT'!$CI$6:$CI$747='2. Roles &amp; Pricing'!F125)*('Rates &amp; Drop Downs INT'!$CK$6:$CK$747='2. Roles &amp; Pricing'!K125)*('Rates &amp; Drop Downs INT'!$CR$6:$CR$747))),IF(L368&lt;&gt;"","",IF($E$26="Select Type","Select Margin Class",IFERROR(IF($O125="",0,IF($E$26="Client Custom Rates",0,IF($E$26="Standard Rates",_xlfn.XLOOKUP($O125,'Rates &amp; Drop Downs INT'!$F:$F,'Rates &amp; Drop Downs INT'!I:I)))),0))))</f>
        <v>0</v>
      </c>
      <c r="K368" s="885" cm="1">
        <f t="array" ref="K368">IF($E$20&lt;&gt;"Credera US",0,IF(L368&lt;&gt;"","",IFERROR(IF($D$26&lt;&gt;"Client Custom Rates",0,INDEX('Client Rate Cards'!E:E,MATCH(1,('Client Rate Cards'!B:B='2. Roles &amp; Pricing'!$D$27)*('Client Rate Cards'!D:D='2. Roles &amp; Pricing'!T125),0))),0)))</f>
        <v>0</v>
      </c>
      <c r="L368" s="1350"/>
      <c r="M368" s="1350" t="str">
        <f t="shared" si="96"/>
        <v/>
      </c>
      <c r="N368" s="1355" t="str">
        <f t="shared" si="93"/>
        <v/>
      </c>
      <c r="O368" s="1359" t="str">
        <f t="shared" si="94"/>
        <v/>
      </c>
    </row>
    <row r="369" spans="3:15" ht="13.95" hidden="1" customHeight="1" outlineLevel="1" x14ac:dyDescent="0.25">
      <c r="C369" s="1354" t="str">
        <f t="shared" si="95"/>
        <v/>
      </c>
      <c r="D369" s="918" t="str">
        <f t="shared" si="97"/>
        <v/>
      </c>
      <c r="E369" s="888"/>
      <c r="F369" s="888" cm="1">
        <f t="array" ref="F369">IFERROR(IF($E$20="Credera US",_xlfn.XLOOKUP($O126,'Rates &amp; Drop Downs INT'!F:F,'Rates &amp; Drop Downs INT'!G:G)*M369,IF($C126="TADNorthAmerica",SUMPRODUCT(('Rates &amp; Drop Downs INT'!$CG$6:$CG$708=$D126)*('Rates &amp; Drop Downs INT'!$CI$6:$CI$708=$F126)*('Rates &amp; Drop Downs INT'!$CK$6:$CK$708=$K126)*('Rates &amp; Drop Downs INT'!$CQ$6:$CQ$708))*M369,SUMPRODUCT(('Rates &amp; Drop Downs INT'!$CG$6:$CG$708=$D126)*('Rates &amp; Drop Downs INT'!$CI$6:$CI$708=$F126)*('Rates &amp; Drop Downs INT'!$CK$6:$CK$708=$K126)*('Rates &amp; Drop Downs INT'!$CT$6:$CT$708))*M369)),0)</f>
        <v>0</v>
      </c>
      <c r="G369" s="889"/>
      <c r="H369" s="889"/>
      <c r="I369" s="885" cm="1">
        <f t="array" ref="I369">IF($E$20="TA Digital",IF($C126="TADNorthAmerica",SUMPRODUCT((TADIndia='2. Roles &amp; Pricing'!D126)*('Rates &amp; Drop Downs INT'!$CI$6:$CI$747='2. Roles &amp; Pricing'!F126)*('Rates &amp; Drop Downs INT'!$CK$6:$CK$747='2. Roles &amp; Pricing'!K126)*('Rates &amp; Drop Downs INT'!$CP$6:$CP$747)),SUMPRODUCT((TADIndia='2. Roles &amp; Pricing'!D126)*('Rates &amp; Drop Downs INT'!$CI$6:$CI$747='2. Roles &amp; Pricing'!F126)*('Rates &amp; Drop Downs INT'!$CK$6:$CK$747='2. Roles &amp; Pricing'!K126)*('Rates &amp; Drop Downs INT'!$CR$6:$CR$747))),IF(L369&lt;&gt;"","",IF($E$26="Select Type","Select Margin Class",IFERROR(IF($O126="",0,IF($E$26="Client Custom Rates",0,IF($E$26="Standard Rates",_xlfn.XLOOKUP($O126,'Rates &amp; Drop Downs INT'!$F:$F,'Rates &amp; Drop Downs INT'!I:I)))),0))))</f>
        <v>0</v>
      </c>
      <c r="K369" s="885" cm="1">
        <f t="array" ref="K369">IF($E$20&lt;&gt;"Credera US",0,IF(L369&lt;&gt;"","",IFERROR(IF($D$26&lt;&gt;"Client Custom Rates",0,INDEX('Client Rate Cards'!E:E,MATCH(1,('Client Rate Cards'!B:B='2. Roles &amp; Pricing'!$D$27)*('Client Rate Cards'!D:D='2. Roles &amp; Pricing'!T126),0))),0)))</f>
        <v>0</v>
      </c>
      <c r="L369" s="1350"/>
      <c r="M369" s="1350" t="str">
        <f t="shared" si="96"/>
        <v/>
      </c>
      <c r="N369" s="1355" t="str">
        <f t="shared" si="93"/>
        <v/>
      </c>
      <c r="O369" s="1359" t="str">
        <f t="shared" si="94"/>
        <v/>
      </c>
    </row>
    <row r="370" spans="3:15" ht="13.95" hidden="1" customHeight="1" outlineLevel="1" x14ac:dyDescent="0.25">
      <c r="C370" s="1354" t="str">
        <f t="shared" si="95"/>
        <v/>
      </c>
      <c r="D370" s="918" t="str">
        <f t="shared" si="97"/>
        <v/>
      </c>
      <c r="E370" s="888"/>
      <c r="F370" s="888" cm="1">
        <f t="array" ref="F370">IFERROR(IF($E$20="Credera US",_xlfn.XLOOKUP($O127,'Rates &amp; Drop Downs INT'!F:F,'Rates &amp; Drop Downs INT'!G:G)*M370,IF($C127="TADNorthAmerica",SUMPRODUCT(('Rates &amp; Drop Downs INT'!$CG$6:$CG$708=$D127)*('Rates &amp; Drop Downs INT'!$CI$6:$CI$708=$F127)*('Rates &amp; Drop Downs INT'!$CK$6:$CK$708=$K127)*('Rates &amp; Drop Downs INT'!$CQ$6:$CQ$708))*M370,SUMPRODUCT(('Rates &amp; Drop Downs INT'!$CG$6:$CG$708=$D127)*('Rates &amp; Drop Downs INT'!$CI$6:$CI$708=$F127)*('Rates &amp; Drop Downs INT'!$CK$6:$CK$708=$K127)*('Rates &amp; Drop Downs INT'!$CT$6:$CT$708))*M370)),0)</f>
        <v>0</v>
      </c>
      <c r="G370" s="889"/>
      <c r="H370" s="889"/>
      <c r="I370" s="885" cm="1">
        <f t="array" ref="I370">IF($E$20="TA Digital",IF($C127="TADNorthAmerica",SUMPRODUCT((TADIndia='2. Roles &amp; Pricing'!D127)*('Rates &amp; Drop Downs INT'!$CI$6:$CI$747='2. Roles &amp; Pricing'!F127)*('Rates &amp; Drop Downs INT'!$CK$6:$CK$747='2. Roles &amp; Pricing'!K127)*('Rates &amp; Drop Downs INT'!$CP$6:$CP$747)),SUMPRODUCT((TADIndia='2. Roles &amp; Pricing'!D127)*('Rates &amp; Drop Downs INT'!$CI$6:$CI$747='2. Roles &amp; Pricing'!F127)*('Rates &amp; Drop Downs INT'!$CK$6:$CK$747='2. Roles &amp; Pricing'!K127)*('Rates &amp; Drop Downs INT'!$CR$6:$CR$747))),IF(L370&lt;&gt;"","",IF($E$26="Select Type","Select Margin Class",IFERROR(IF($O127="",0,IF($E$26="Client Custom Rates",0,IF($E$26="Standard Rates",_xlfn.XLOOKUP($O127,'Rates &amp; Drop Downs INT'!$F:$F,'Rates &amp; Drop Downs INT'!I:I)))),0))))</f>
        <v>0</v>
      </c>
      <c r="K370" s="885" cm="1">
        <f t="array" ref="K370">IF($E$20&lt;&gt;"Credera US",0,IF(L370&lt;&gt;"","",IFERROR(IF($D$26&lt;&gt;"Client Custom Rates",0,INDEX('Client Rate Cards'!E:E,MATCH(1,('Client Rate Cards'!B:B='2. Roles &amp; Pricing'!$D$27)*('Client Rate Cards'!D:D='2. Roles &amp; Pricing'!T127),0))),0)))</f>
        <v>0</v>
      </c>
      <c r="L370" s="1350"/>
      <c r="M370" s="1350" t="str">
        <f t="shared" si="96"/>
        <v/>
      </c>
      <c r="N370" s="1355" t="str">
        <f t="shared" si="93"/>
        <v/>
      </c>
      <c r="O370" s="1359" t="str">
        <f t="shared" si="94"/>
        <v/>
      </c>
    </row>
    <row r="371" spans="3:15" ht="13.95" hidden="1" customHeight="1" outlineLevel="1" x14ac:dyDescent="0.25">
      <c r="C371" s="1354" t="str">
        <f t="shared" si="95"/>
        <v/>
      </c>
      <c r="D371" s="918" t="str">
        <f t="shared" si="97"/>
        <v/>
      </c>
      <c r="E371" s="888"/>
      <c r="F371" s="888" cm="1">
        <f t="array" ref="F371">IFERROR(IF($E$20="Credera US",_xlfn.XLOOKUP($O128,'Rates &amp; Drop Downs INT'!F:F,'Rates &amp; Drop Downs INT'!G:G)*M371,IF($C128="TADNorthAmerica",SUMPRODUCT(('Rates &amp; Drop Downs INT'!$CG$6:$CG$708=$D128)*('Rates &amp; Drop Downs INT'!$CI$6:$CI$708=$F128)*('Rates &amp; Drop Downs INT'!$CK$6:$CK$708=$K128)*('Rates &amp; Drop Downs INT'!$CQ$6:$CQ$708))*M371,SUMPRODUCT(('Rates &amp; Drop Downs INT'!$CG$6:$CG$708=$D128)*('Rates &amp; Drop Downs INT'!$CI$6:$CI$708=$F128)*('Rates &amp; Drop Downs INT'!$CK$6:$CK$708=$K128)*('Rates &amp; Drop Downs INT'!$CT$6:$CT$708))*M371)),0)</f>
        <v>0</v>
      </c>
      <c r="G371" s="889"/>
      <c r="H371" s="889"/>
      <c r="I371" s="885" cm="1">
        <f t="array" ref="I371">IF($E$20="TA Digital",IF($C128="TADNorthAmerica",SUMPRODUCT((TADIndia='2. Roles &amp; Pricing'!D128)*('Rates &amp; Drop Downs INT'!$CI$6:$CI$747='2. Roles &amp; Pricing'!F128)*('Rates &amp; Drop Downs INT'!$CK$6:$CK$747='2. Roles &amp; Pricing'!K128)*('Rates &amp; Drop Downs INT'!$CP$6:$CP$747)),SUMPRODUCT((TADIndia='2. Roles &amp; Pricing'!D128)*('Rates &amp; Drop Downs INT'!$CI$6:$CI$747='2. Roles &amp; Pricing'!F128)*('Rates &amp; Drop Downs INT'!$CK$6:$CK$747='2. Roles &amp; Pricing'!K128)*('Rates &amp; Drop Downs INT'!$CR$6:$CR$747))),IF(L371&lt;&gt;"","",IF($E$26="Select Type","Select Margin Class",IFERROR(IF($O128="",0,IF($E$26="Client Custom Rates",0,IF($E$26="Standard Rates",_xlfn.XLOOKUP($O128,'Rates &amp; Drop Downs INT'!$F:$F,'Rates &amp; Drop Downs INT'!I:I)))),0))))</f>
        <v>0</v>
      </c>
      <c r="K371" s="885" cm="1">
        <f t="array" ref="K371">IF($E$20&lt;&gt;"Credera US",0,IF(L371&lt;&gt;"","",IFERROR(IF($D$26&lt;&gt;"Client Custom Rates",0,INDEX('Client Rate Cards'!E:E,MATCH(1,('Client Rate Cards'!B:B='2. Roles &amp; Pricing'!$D$27)*('Client Rate Cards'!D:D='2. Roles &amp; Pricing'!T128),0))),0)))</f>
        <v>0</v>
      </c>
      <c r="L371" s="1350"/>
      <c r="M371" s="1350" t="str">
        <f t="shared" si="96"/>
        <v/>
      </c>
      <c r="N371" s="1355" t="str">
        <f t="shared" si="93"/>
        <v/>
      </c>
      <c r="O371" s="1359" t="str">
        <f t="shared" si="94"/>
        <v/>
      </c>
    </row>
    <row r="372" spans="3:15" ht="13.95" hidden="1" customHeight="1" outlineLevel="1" x14ac:dyDescent="0.25">
      <c r="C372" s="1354" t="str">
        <f t="shared" si="95"/>
        <v/>
      </c>
      <c r="D372" s="918" t="str">
        <f t="shared" si="97"/>
        <v/>
      </c>
      <c r="E372" s="888"/>
      <c r="F372" s="888" cm="1">
        <f t="array" ref="F372">IFERROR(IF($E$20="Credera US",_xlfn.XLOOKUP($O129,'Rates &amp; Drop Downs INT'!F:F,'Rates &amp; Drop Downs INT'!G:G)*M372,IF($C129="TADNorthAmerica",SUMPRODUCT(('Rates &amp; Drop Downs INT'!$CG$6:$CG$708=$D129)*('Rates &amp; Drop Downs INT'!$CI$6:$CI$708=$F129)*('Rates &amp; Drop Downs INT'!$CK$6:$CK$708=$K129)*('Rates &amp; Drop Downs INT'!$CQ$6:$CQ$708))*M372,SUMPRODUCT(('Rates &amp; Drop Downs INT'!$CG$6:$CG$708=$D129)*('Rates &amp; Drop Downs INT'!$CI$6:$CI$708=$F129)*('Rates &amp; Drop Downs INT'!$CK$6:$CK$708=$K129)*('Rates &amp; Drop Downs INT'!$CT$6:$CT$708))*M372)),0)</f>
        <v>0</v>
      </c>
      <c r="G372" s="889"/>
      <c r="H372" s="889"/>
      <c r="I372" s="885" cm="1">
        <f t="array" ref="I372">IF($E$20="TA Digital",IF($C129="TADNorthAmerica",SUMPRODUCT((TADIndia='2. Roles &amp; Pricing'!D129)*('Rates &amp; Drop Downs INT'!$CI$6:$CI$747='2. Roles &amp; Pricing'!F129)*('Rates &amp; Drop Downs INT'!$CK$6:$CK$747='2. Roles &amp; Pricing'!K129)*('Rates &amp; Drop Downs INT'!$CP$6:$CP$747)),SUMPRODUCT((TADIndia='2. Roles &amp; Pricing'!D129)*('Rates &amp; Drop Downs INT'!$CI$6:$CI$747='2. Roles &amp; Pricing'!F129)*('Rates &amp; Drop Downs INT'!$CK$6:$CK$747='2. Roles &amp; Pricing'!K129)*('Rates &amp; Drop Downs INT'!$CR$6:$CR$747))),IF(L372&lt;&gt;"","",IF($E$26="Select Type","Select Margin Class",IFERROR(IF($O129="",0,IF($E$26="Client Custom Rates",0,IF($E$26="Standard Rates",_xlfn.XLOOKUP($O129,'Rates &amp; Drop Downs INT'!$F:$F,'Rates &amp; Drop Downs INT'!I:I)))),0))))</f>
        <v>0</v>
      </c>
      <c r="K372" s="885" cm="1">
        <f t="array" ref="K372">IF($E$20&lt;&gt;"Credera US",0,IF(L372&lt;&gt;"","",IFERROR(IF($D$26&lt;&gt;"Client Custom Rates",0,INDEX('Client Rate Cards'!E:E,MATCH(1,('Client Rate Cards'!B:B='2. Roles &amp; Pricing'!$D$27)*('Client Rate Cards'!D:D='2. Roles &amp; Pricing'!T129),0))),0)))</f>
        <v>0</v>
      </c>
      <c r="L372" s="1350"/>
      <c r="M372" s="1350" t="str">
        <f t="shared" si="96"/>
        <v/>
      </c>
      <c r="N372" s="1355" t="str">
        <f t="shared" si="93"/>
        <v/>
      </c>
      <c r="O372" s="1359" t="str">
        <f t="shared" si="94"/>
        <v/>
      </c>
    </row>
    <row r="373" spans="3:15" ht="13.95" hidden="1" customHeight="1" outlineLevel="1" x14ac:dyDescent="0.25">
      <c r="C373" s="1354" t="str">
        <f t="shared" si="95"/>
        <v/>
      </c>
      <c r="D373" s="918" t="str">
        <f t="shared" si="97"/>
        <v/>
      </c>
      <c r="E373" s="888"/>
      <c r="F373" s="888" cm="1">
        <f t="array" ref="F373">IFERROR(IF($E$20="Credera US",_xlfn.XLOOKUP($O130,'Rates &amp; Drop Downs INT'!F:F,'Rates &amp; Drop Downs INT'!G:G)*M373,IF($C130="TADNorthAmerica",SUMPRODUCT(('Rates &amp; Drop Downs INT'!$CG$6:$CG$708=$D130)*('Rates &amp; Drop Downs INT'!$CI$6:$CI$708=$F130)*('Rates &amp; Drop Downs INT'!$CK$6:$CK$708=$K130)*('Rates &amp; Drop Downs INT'!$CQ$6:$CQ$708))*M373,SUMPRODUCT(('Rates &amp; Drop Downs INT'!$CG$6:$CG$708=$D130)*('Rates &amp; Drop Downs INT'!$CI$6:$CI$708=$F130)*('Rates &amp; Drop Downs INT'!$CK$6:$CK$708=$K130)*('Rates &amp; Drop Downs INT'!$CT$6:$CT$708))*M373)),0)</f>
        <v>0</v>
      </c>
      <c r="G373" s="889"/>
      <c r="H373" s="889"/>
      <c r="I373" s="885" cm="1">
        <f t="array" ref="I373">IF($E$20="TA Digital",IF($C130="TADNorthAmerica",SUMPRODUCT((TADIndia='2. Roles &amp; Pricing'!D130)*('Rates &amp; Drop Downs INT'!$CI$6:$CI$747='2. Roles &amp; Pricing'!F130)*('Rates &amp; Drop Downs INT'!$CK$6:$CK$747='2. Roles &amp; Pricing'!K130)*('Rates &amp; Drop Downs INT'!$CP$6:$CP$747)),SUMPRODUCT((TADIndia='2. Roles &amp; Pricing'!D130)*('Rates &amp; Drop Downs INT'!$CI$6:$CI$747='2. Roles &amp; Pricing'!F130)*('Rates &amp; Drop Downs INT'!$CK$6:$CK$747='2. Roles &amp; Pricing'!K130)*('Rates &amp; Drop Downs INT'!$CR$6:$CR$747))),IF(L373&lt;&gt;"","",IF($E$26="Select Type","Select Margin Class",IFERROR(IF($O130="",0,IF($E$26="Client Custom Rates",0,IF($E$26="Standard Rates",_xlfn.XLOOKUP($O130,'Rates &amp; Drop Downs INT'!$F:$F,'Rates &amp; Drop Downs INT'!I:I)))),0))))</f>
        <v>0</v>
      </c>
      <c r="K373" s="885" cm="1">
        <f t="array" ref="K373">IF($E$20&lt;&gt;"Credera US",0,IF(L373&lt;&gt;"","",IFERROR(IF($D$26&lt;&gt;"Client Custom Rates",0,INDEX('Client Rate Cards'!E:E,MATCH(1,('Client Rate Cards'!B:B='2. Roles &amp; Pricing'!$D$27)*('Client Rate Cards'!D:D='2. Roles &amp; Pricing'!T130),0))),0)))</f>
        <v>0</v>
      </c>
      <c r="L373" s="1350"/>
      <c r="M373" s="1350" t="str">
        <f t="shared" si="96"/>
        <v/>
      </c>
      <c r="N373" s="1355" t="str">
        <f t="shared" si="93"/>
        <v/>
      </c>
      <c r="O373" s="1359" t="str">
        <f t="shared" si="94"/>
        <v/>
      </c>
    </row>
    <row r="374" spans="3:15" ht="13.95" hidden="1" customHeight="1" outlineLevel="1" x14ac:dyDescent="0.25">
      <c r="C374" s="1354" t="str">
        <f t="shared" si="95"/>
        <v/>
      </c>
      <c r="D374" s="918" t="str">
        <f t="shared" si="97"/>
        <v/>
      </c>
      <c r="E374" s="888"/>
      <c r="F374" s="888" cm="1">
        <f t="array" ref="F374">IFERROR(IF($E$20="Credera US",_xlfn.XLOOKUP($O131,'Rates &amp; Drop Downs INT'!F:F,'Rates &amp; Drop Downs INT'!G:G)*M374,IF($C131="TADNorthAmerica",SUMPRODUCT(('Rates &amp; Drop Downs INT'!$CG$6:$CG$708=$D131)*('Rates &amp; Drop Downs INT'!$CI$6:$CI$708=$F131)*('Rates &amp; Drop Downs INT'!$CK$6:$CK$708=$K131)*('Rates &amp; Drop Downs INT'!$CQ$6:$CQ$708))*M374,SUMPRODUCT(('Rates &amp; Drop Downs INT'!$CG$6:$CG$708=$D131)*('Rates &amp; Drop Downs INT'!$CI$6:$CI$708=$F131)*('Rates &amp; Drop Downs INT'!$CK$6:$CK$708=$K131)*('Rates &amp; Drop Downs INT'!$CT$6:$CT$708))*M374)),0)</f>
        <v>0</v>
      </c>
      <c r="G374" s="889"/>
      <c r="H374" s="889"/>
      <c r="I374" s="885" cm="1">
        <f t="array" ref="I374">IF($E$20="TA Digital",IF($C131="TADNorthAmerica",SUMPRODUCT((TADIndia='2. Roles &amp; Pricing'!D131)*('Rates &amp; Drop Downs INT'!$CI$6:$CI$747='2. Roles &amp; Pricing'!F131)*('Rates &amp; Drop Downs INT'!$CK$6:$CK$747='2. Roles &amp; Pricing'!K131)*('Rates &amp; Drop Downs INT'!$CP$6:$CP$747)),SUMPRODUCT((TADIndia='2. Roles &amp; Pricing'!D131)*('Rates &amp; Drop Downs INT'!$CI$6:$CI$747='2. Roles &amp; Pricing'!F131)*('Rates &amp; Drop Downs INT'!$CK$6:$CK$747='2. Roles &amp; Pricing'!K131)*('Rates &amp; Drop Downs INT'!$CR$6:$CR$747))),IF(L374&lt;&gt;"","",IF($E$26="Select Type","Select Margin Class",IFERROR(IF($O131="",0,IF($E$26="Client Custom Rates",0,IF($E$26="Standard Rates",_xlfn.XLOOKUP($O131,'Rates &amp; Drop Downs INT'!$F:$F,'Rates &amp; Drop Downs INT'!I:I)))),0))))</f>
        <v>0</v>
      </c>
      <c r="K374" s="885" cm="1">
        <f t="array" ref="K374">IF($E$20&lt;&gt;"Credera US",0,IF(L374&lt;&gt;"","",IFERROR(IF($D$26&lt;&gt;"Client Custom Rates",0,INDEX('Client Rate Cards'!E:E,MATCH(1,('Client Rate Cards'!B:B='2. Roles &amp; Pricing'!$D$27)*('Client Rate Cards'!D:D='2. Roles &amp; Pricing'!T131),0))),0)))</f>
        <v>0</v>
      </c>
      <c r="L374" s="1350"/>
      <c r="M374" s="1350" t="str">
        <f t="shared" si="96"/>
        <v/>
      </c>
      <c r="N374" s="1355" t="str">
        <f t="shared" si="93"/>
        <v/>
      </c>
      <c r="O374" s="1359" t="str">
        <f t="shared" si="94"/>
        <v/>
      </c>
    </row>
    <row r="375" spans="3:15" ht="13.95" hidden="1" customHeight="1" outlineLevel="1" x14ac:dyDescent="0.25">
      <c r="C375" s="1354" t="str">
        <f t="shared" si="95"/>
        <v/>
      </c>
      <c r="D375" s="918" t="str">
        <f t="shared" si="97"/>
        <v/>
      </c>
      <c r="E375" s="888"/>
      <c r="F375" s="888" cm="1">
        <f t="array" ref="F375">IFERROR(IF($E$20="Credera US",_xlfn.XLOOKUP($O132,'Rates &amp; Drop Downs INT'!F:F,'Rates &amp; Drop Downs INT'!G:G)*M375,IF($C132="TADNorthAmerica",SUMPRODUCT(('Rates &amp; Drop Downs INT'!$CG$6:$CG$708=$D132)*('Rates &amp; Drop Downs INT'!$CI$6:$CI$708=$F132)*('Rates &amp; Drop Downs INT'!$CK$6:$CK$708=$K132)*('Rates &amp; Drop Downs INT'!$CQ$6:$CQ$708))*M375,SUMPRODUCT(('Rates &amp; Drop Downs INT'!$CG$6:$CG$708=$D132)*('Rates &amp; Drop Downs INT'!$CI$6:$CI$708=$F132)*('Rates &amp; Drop Downs INT'!$CK$6:$CK$708=$K132)*('Rates &amp; Drop Downs INT'!$CT$6:$CT$708))*M375)),0)</f>
        <v>0</v>
      </c>
      <c r="G375" s="889"/>
      <c r="H375" s="889"/>
      <c r="I375" s="885" cm="1">
        <f t="array" ref="I375">IF($E$20="TA Digital",IF($C132="TADNorthAmerica",SUMPRODUCT((TADIndia='2. Roles &amp; Pricing'!D132)*('Rates &amp; Drop Downs INT'!$CI$6:$CI$747='2. Roles &amp; Pricing'!F132)*('Rates &amp; Drop Downs INT'!$CK$6:$CK$747='2. Roles &amp; Pricing'!K132)*('Rates &amp; Drop Downs INT'!$CP$6:$CP$747)),SUMPRODUCT((TADIndia='2. Roles &amp; Pricing'!D132)*('Rates &amp; Drop Downs INT'!$CI$6:$CI$747='2. Roles &amp; Pricing'!F132)*('Rates &amp; Drop Downs INT'!$CK$6:$CK$747='2. Roles &amp; Pricing'!K132)*('Rates &amp; Drop Downs INT'!$CR$6:$CR$747))),IF(L375&lt;&gt;"","",IF($E$26="Select Type","Select Margin Class",IFERROR(IF($O132="",0,IF($E$26="Client Custom Rates",0,IF($E$26="Standard Rates",_xlfn.XLOOKUP($O132,'Rates &amp; Drop Downs INT'!$F:$F,'Rates &amp; Drop Downs INT'!I:I)))),0))))</f>
        <v>0</v>
      </c>
      <c r="K375" s="885" cm="1">
        <f t="array" ref="K375">IF($E$20&lt;&gt;"Credera US",0,IF(L375&lt;&gt;"","",IFERROR(IF($D$26&lt;&gt;"Client Custom Rates",0,INDEX('Client Rate Cards'!E:E,MATCH(1,('Client Rate Cards'!B:B='2. Roles &amp; Pricing'!$D$27)*('Client Rate Cards'!D:D='2. Roles &amp; Pricing'!T132),0))),0)))</f>
        <v>0</v>
      </c>
      <c r="L375" s="1350"/>
      <c r="M375" s="1350" t="str">
        <f t="shared" si="96"/>
        <v/>
      </c>
      <c r="N375" s="1355" t="str">
        <f t="shared" si="93"/>
        <v/>
      </c>
      <c r="O375" s="1359" t="str">
        <f t="shared" si="94"/>
        <v/>
      </c>
    </row>
    <row r="376" spans="3:15" ht="13.95" hidden="1" customHeight="1" outlineLevel="1" x14ac:dyDescent="0.25">
      <c r="C376" s="1354" t="str">
        <f t="shared" si="95"/>
        <v/>
      </c>
      <c r="D376" s="918" t="str">
        <f t="shared" si="97"/>
        <v/>
      </c>
      <c r="E376" s="888"/>
      <c r="F376" s="888" cm="1">
        <f t="array" ref="F376">IFERROR(IF($E$20="Credera US",_xlfn.XLOOKUP($O133,'Rates &amp; Drop Downs INT'!F:F,'Rates &amp; Drop Downs INT'!G:G)*M376,IF($C133="TADNorthAmerica",SUMPRODUCT(('Rates &amp; Drop Downs INT'!$CG$6:$CG$708=$D133)*('Rates &amp; Drop Downs INT'!$CI$6:$CI$708=$F133)*('Rates &amp; Drop Downs INT'!$CK$6:$CK$708=$K133)*('Rates &amp; Drop Downs INT'!$CQ$6:$CQ$708))*M376,SUMPRODUCT(('Rates &amp; Drop Downs INT'!$CG$6:$CG$708=$D133)*('Rates &amp; Drop Downs INT'!$CI$6:$CI$708=$F133)*('Rates &amp; Drop Downs INT'!$CK$6:$CK$708=$K133)*('Rates &amp; Drop Downs INT'!$CT$6:$CT$708))*M376)),0)</f>
        <v>0</v>
      </c>
      <c r="G376" s="889"/>
      <c r="H376" s="889"/>
      <c r="I376" s="885" cm="1">
        <f t="array" ref="I376">IF($E$20="TA Digital",IF($C133="TADNorthAmerica",SUMPRODUCT((TADIndia='2. Roles &amp; Pricing'!D133)*('Rates &amp; Drop Downs INT'!$CI$6:$CI$747='2. Roles &amp; Pricing'!F133)*('Rates &amp; Drop Downs INT'!$CK$6:$CK$747='2. Roles &amp; Pricing'!K133)*('Rates &amp; Drop Downs INT'!$CP$6:$CP$747)),SUMPRODUCT((TADIndia='2. Roles &amp; Pricing'!D133)*('Rates &amp; Drop Downs INT'!$CI$6:$CI$747='2. Roles &amp; Pricing'!F133)*('Rates &amp; Drop Downs INT'!$CK$6:$CK$747='2. Roles &amp; Pricing'!K133)*('Rates &amp; Drop Downs INT'!$CR$6:$CR$747))),IF(L376&lt;&gt;"","",IF($E$26="Select Type","Select Margin Class",IFERROR(IF($O133="",0,IF($E$26="Client Custom Rates",0,IF($E$26="Standard Rates",_xlfn.XLOOKUP($O133,'Rates &amp; Drop Downs INT'!$F:$F,'Rates &amp; Drop Downs INT'!I:I)))),0))))</f>
        <v>0</v>
      </c>
      <c r="K376" s="885" cm="1">
        <f t="array" ref="K376">IF($E$20&lt;&gt;"Credera US",0,IF(L376&lt;&gt;"","",IFERROR(IF($D$26&lt;&gt;"Client Custom Rates",0,INDEX('Client Rate Cards'!E:E,MATCH(1,('Client Rate Cards'!B:B='2. Roles &amp; Pricing'!$D$27)*('Client Rate Cards'!D:D='2. Roles &amp; Pricing'!T133),0))),0)))</f>
        <v>0</v>
      </c>
      <c r="L376" s="1350"/>
      <c r="M376" s="1350" t="str">
        <f t="shared" si="96"/>
        <v/>
      </c>
      <c r="N376" s="1355" t="str">
        <f t="shared" si="93"/>
        <v/>
      </c>
      <c r="O376" s="1359" t="str">
        <f t="shared" si="94"/>
        <v/>
      </c>
    </row>
    <row r="377" spans="3:15" ht="13.95" hidden="1" customHeight="1" outlineLevel="1" x14ac:dyDescent="0.25">
      <c r="C377" s="1354" t="str">
        <f t="shared" si="95"/>
        <v/>
      </c>
      <c r="D377" s="918" t="str">
        <f t="shared" si="97"/>
        <v/>
      </c>
      <c r="E377" s="888"/>
      <c r="F377" s="888" cm="1">
        <f t="array" ref="F377">IFERROR(IF($E$20="Credera US",_xlfn.XLOOKUP($O134,'Rates &amp; Drop Downs INT'!F:F,'Rates &amp; Drop Downs INT'!G:G)*M377,IF($C134="TADNorthAmerica",SUMPRODUCT(('Rates &amp; Drop Downs INT'!$CG$6:$CG$708=$D134)*('Rates &amp; Drop Downs INT'!$CI$6:$CI$708=$F134)*('Rates &amp; Drop Downs INT'!$CK$6:$CK$708=$K134)*('Rates &amp; Drop Downs INT'!$CQ$6:$CQ$708))*M377,SUMPRODUCT(('Rates &amp; Drop Downs INT'!$CG$6:$CG$708=$D134)*('Rates &amp; Drop Downs INT'!$CI$6:$CI$708=$F134)*('Rates &amp; Drop Downs INT'!$CK$6:$CK$708=$K134)*('Rates &amp; Drop Downs INT'!$CT$6:$CT$708))*M377)),0)</f>
        <v>0</v>
      </c>
      <c r="G377" s="889"/>
      <c r="H377" s="889"/>
      <c r="I377" s="885" cm="1">
        <f t="array" ref="I377">IF($E$20="TA Digital",IF($C134="TADNorthAmerica",SUMPRODUCT((TADIndia='2. Roles &amp; Pricing'!D134)*('Rates &amp; Drop Downs INT'!$CI$6:$CI$747='2. Roles &amp; Pricing'!F134)*('Rates &amp; Drop Downs INT'!$CK$6:$CK$747='2. Roles &amp; Pricing'!K134)*('Rates &amp; Drop Downs INT'!$CP$6:$CP$747)),SUMPRODUCT((TADIndia='2. Roles &amp; Pricing'!D134)*('Rates &amp; Drop Downs INT'!$CI$6:$CI$747='2. Roles &amp; Pricing'!F134)*('Rates &amp; Drop Downs INT'!$CK$6:$CK$747='2. Roles &amp; Pricing'!K134)*('Rates &amp; Drop Downs INT'!$CR$6:$CR$747))),IF(L377&lt;&gt;"","",IF($E$26="Select Type","Select Margin Class",IFERROR(IF($O134="",0,IF($E$26="Client Custom Rates",0,IF($E$26="Standard Rates",_xlfn.XLOOKUP($O134,'Rates &amp; Drop Downs INT'!$F:$F,'Rates &amp; Drop Downs INT'!I:I)))),0))))</f>
        <v>0</v>
      </c>
      <c r="K377" s="885" cm="1">
        <f t="array" ref="K377">IF($E$20&lt;&gt;"Credera US",0,IF(L377&lt;&gt;"","",IFERROR(IF($D$26&lt;&gt;"Client Custom Rates",0,INDEX('Client Rate Cards'!E:E,MATCH(1,('Client Rate Cards'!B:B='2. Roles &amp; Pricing'!$D$27)*('Client Rate Cards'!D:D='2. Roles &amp; Pricing'!T134),0))),0)))</f>
        <v>0</v>
      </c>
      <c r="L377" s="1350"/>
      <c r="M377" s="1350" t="str">
        <f t="shared" si="96"/>
        <v/>
      </c>
      <c r="N377" s="1355" t="str">
        <f t="shared" si="93"/>
        <v/>
      </c>
      <c r="O377" s="1359" t="str">
        <f t="shared" si="94"/>
        <v/>
      </c>
    </row>
    <row r="378" spans="3:15" ht="13.95" hidden="1" customHeight="1" outlineLevel="1" x14ac:dyDescent="0.25">
      <c r="C378" s="1354" t="str">
        <f t="shared" si="95"/>
        <v/>
      </c>
      <c r="D378" s="918" t="str">
        <f t="shared" si="97"/>
        <v/>
      </c>
      <c r="E378" s="888"/>
      <c r="F378" s="888" cm="1">
        <f t="array" ref="F378">IFERROR(IF($E$20="Credera US",_xlfn.XLOOKUP($O135,'Rates &amp; Drop Downs INT'!F:F,'Rates &amp; Drop Downs INT'!G:G)*M378,IF($C135="TADNorthAmerica",SUMPRODUCT(('Rates &amp; Drop Downs INT'!$CG$6:$CG$708=$D135)*('Rates &amp; Drop Downs INT'!$CI$6:$CI$708=$F135)*('Rates &amp; Drop Downs INT'!$CK$6:$CK$708=$K135)*('Rates &amp; Drop Downs INT'!$CQ$6:$CQ$708))*M378,SUMPRODUCT(('Rates &amp; Drop Downs INT'!$CG$6:$CG$708=$D135)*('Rates &amp; Drop Downs INT'!$CI$6:$CI$708=$F135)*('Rates &amp; Drop Downs INT'!$CK$6:$CK$708=$K135)*('Rates &amp; Drop Downs INT'!$CT$6:$CT$708))*M378)),0)</f>
        <v>0</v>
      </c>
      <c r="G378" s="889"/>
      <c r="H378" s="889"/>
      <c r="I378" s="885" cm="1">
        <f t="array" ref="I378">IF($E$20="TA Digital",IF($C135="TADNorthAmerica",SUMPRODUCT((TADIndia='2. Roles &amp; Pricing'!D135)*('Rates &amp; Drop Downs INT'!$CI$6:$CI$747='2. Roles &amp; Pricing'!F135)*('Rates &amp; Drop Downs INT'!$CK$6:$CK$747='2. Roles &amp; Pricing'!K135)*('Rates &amp; Drop Downs INT'!$CP$6:$CP$747)),SUMPRODUCT((TADIndia='2. Roles &amp; Pricing'!D135)*('Rates &amp; Drop Downs INT'!$CI$6:$CI$747='2. Roles &amp; Pricing'!F135)*('Rates &amp; Drop Downs INT'!$CK$6:$CK$747='2. Roles &amp; Pricing'!K135)*('Rates &amp; Drop Downs INT'!$CR$6:$CR$747))),IF(L378&lt;&gt;"","",IF($E$26="Select Type","Select Margin Class",IFERROR(IF($O135="",0,IF($E$26="Client Custom Rates",0,IF($E$26="Standard Rates",_xlfn.XLOOKUP($O135,'Rates &amp; Drop Downs INT'!$F:$F,'Rates &amp; Drop Downs INT'!I:I)))),0))))</f>
        <v>0</v>
      </c>
      <c r="K378" s="885" cm="1">
        <f t="array" ref="K378">IF($E$20&lt;&gt;"Credera US",0,IF(L378&lt;&gt;"","",IFERROR(IF($D$26&lt;&gt;"Client Custom Rates",0,INDEX('Client Rate Cards'!E:E,MATCH(1,('Client Rate Cards'!B:B='2. Roles &amp; Pricing'!$D$27)*('Client Rate Cards'!D:D='2. Roles &amp; Pricing'!T135),0))),0)))</f>
        <v>0</v>
      </c>
      <c r="L378" s="1350"/>
      <c r="M378" s="1350" t="str">
        <f t="shared" si="96"/>
        <v/>
      </c>
      <c r="N378" s="1355" t="str">
        <f t="shared" si="93"/>
        <v/>
      </c>
      <c r="O378" s="1359" t="str">
        <f t="shared" si="94"/>
        <v/>
      </c>
    </row>
    <row r="379" spans="3:15" ht="13.95" hidden="1" customHeight="1" outlineLevel="1" x14ac:dyDescent="0.25">
      <c r="C379" s="1354" t="str">
        <f t="shared" si="95"/>
        <v/>
      </c>
      <c r="D379" s="918" t="str">
        <f t="shared" si="97"/>
        <v/>
      </c>
      <c r="E379" s="888"/>
      <c r="F379" s="888" cm="1">
        <f t="array" ref="F379">IFERROR(IF($E$20="Credera US",_xlfn.XLOOKUP($O136,'Rates &amp; Drop Downs INT'!F:F,'Rates &amp; Drop Downs INT'!G:G)*M379,IF($C136="TADNorthAmerica",SUMPRODUCT(('Rates &amp; Drop Downs INT'!$CG$6:$CG$708=$D136)*('Rates &amp; Drop Downs INT'!$CI$6:$CI$708=$F136)*('Rates &amp; Drop Downs INT'!$CK$6:$CK$708=$K136)*('Rates &amp; Drop Downs INT'!$CQ$6:$CQ$708))*M379,SUMPRODUCT(('Rates &amp; Drop Downs INT'!$CG$6:$CG$708=$D136)*('Rates &amp; Drop Downs INT'!$CI$6:$CI$708=$F136)*('Rates &amp; Drop Downs INT'!$CK$6:$CK$708=$K136)*('Rates &amp; Drop Downs INT'!$CT$6:$CT$708))*M379)),0)</f>
        <v>0</v>
      </c>
      <c r="G379" s="889"/>
      <c r="H379" s="889"/>
      <c r="I379" s="885" cm="1">
        <f t="array" ref="I379">IF($E$20="TA Digital",IF($C136="TADNorthAmerica",SUMPRODUCT((TADIndia='2. Roles &amp; Pricing'!D136)*('Rates &amp; Drop Downs INT'!$CI$6:$CI$747='2. Roles &amp; Pricing'!F136)*('Rates &amp; Drop Downs INT'!$CK$6:$CK$747='2. Roles &amp; Pricing'!K136)*('Rates &amp; Drop Downs INT'!$CP$6:$CP$747)),SUMPRODUCT((TADIndia='2. Roles &amp; Pricing'!D136)*('Rates &amp; Drop Downs INT'!$CI$6:$CI$747='2. Roles &amp; Pricing'!F136)*('Rates &amp; Drop Downs INT'!$CK$6:$CK$747='2. Roles &amp; Pricing'!K136)*('Rates &amp; Drop Downs INT'!$CR$6:$CR$747))),IF(L379&lt;&gt;"","",IF($E$26="Select Type","Select Margin Class",IFERROR(IF($O136="",0,IF($E$26="Client Custom Rates",0,IF($E$26="Standard Rates",_xlfn.XLOOKUP($O136,'Rates &amp; Drop Downs INT'!$F:$F,'Rates &amp; Drop Downs INT'!I:I)))),0))))</f>
        <v>0</v>
      </c>
      <c r="K379" s="885" cm="1">
        <f t="array" ref="K379">IF($E$20&lt;&gt;"Credera US",0,IF(L379&lt;&gt;"","",IFERROR(IF($D$26&lt;&gt;"Client Custom Rates",0,INDEX('Client Rate Cards'!E:E,MATCH(1,('Client Rate Cards'!B:B='2. Roles &amp; Pricing'!$D$27)*('Client Rate Cards'!D:D='2. Roles &amp; Pricing'!T136),0))),0)))</f>
        <v>0</v>
      </c>
      <c r="L379" s="1350"/>
      <c r="M379" s="1350" t="str">
        <f t="shared" si="96"/>
        <v/>
      </c>
      <c r="N379" s="1355" t="str">
        <f t="shared" si="93"/>
        <v/>
      </c>
      <c r="O379" s="1359" t="str">
        <f t="shared" si="94"/>
        <v/>
      </c>
    </row>
    <row r="380" spans="3:15" ht="13.95" hidden="1" customHeight="1" outlineLevel="1" x14ac:dyDescent="0.25">
      <c r="C380" s="1354" t="str">
        <f t="shared" si="95"/>
        <v/>
      </c>
      <c r="D380" s="918" t="str">
        <f t="shared" si="97"/>
        <v/>
      </c>
      <c r="E380" s="888"/>
      <c r="F380" s="888" cm="1">
        <f t="array" ref="F380">IFERROR(IF($E$20="Credera US",_xlfn.XLOOKUP($O137,'Rates &amp; Drop Downs INT'!F:F,'Rates &amp; Drop Downs INT'!G:G)*M380,IF($C137="TADNorthAmerica",SUMPRODUCT(('Rates &amp; Drop Downs INT'!$CG$6:$CG$708=$D137)*('Rates &amp; Drop Downs INT'!$CI$6:$CI$708=$F137)*('Rates &amp; Drop Downs INT'!$CK$6:$CK$708=$K137)*('Rates &amp; Drop Downs INT'!$CQ$6:$CQ$708))*M380,SUMPRODUCT(('Rates &amp; Drop Downs INT'!$CG$6:$CG$708=$D137)*('Rates &amp; Drop Downs INT'!$CI$6:$CI$708=$F137)*('Rates &amp; Drop Downs INT'!$CK$6:$CK$708=$K137)*('Rates &amp; Drop Downs INT'!$CT$6:$CT$708))*M380)),0)</f>
        <v>0</v>
      </c>
      <c r="G380" s="889"/>
      <c r="H380" s="889"/>
      <c r="I380" s="885" cm="1">
        <f t="array" ref="I380">IF($E$20="TA Digital",IF($C137="TADNorthAmerica",SUMPRODUCT((TADIndia='2. Roles &amp; Pricing'!D137)*('Rates &amp; Drop Downs INT'!$CI$6:$CI$747='2. Roles &amp; Pricing'!F137)*('Rates &amp; Drop Downs INT'!$CK$6:$CK$747='2. Roles &amp; Pricing'!K137)*('Rates &amp; Drop Downs INT'!$CP$6:$CP$747)),SUMPRODUCT((TADIndia='2. Roles &amp; Pricing'!D137)*('Rates &amp; Drop Downs INT'!$CI$6:$CI$747='2. Roles &amp; Pricing'!F137)*('Rates &amp; Drop Downs INT'!$CK$6:$CK$747='2. Roles &amp; Pricing'!K137)*('Rates &amp; Drop Downs INT'!$CR$6:$CR$747))),IF(L380&lt;&gt;"","",IF($E$26="Select Type","Select Margin Class",IFERROR(IF($O137="",0,IF($E$26="Client Custom Rates",0,IF($E$26="Standard Rates",_xlfn.XLOOKUP($O137,'Rates &amp; Drop Downs INT'!$F:$F,'Rates &amp; Drop Downs INT'!I:I)))),0))))</f>
        <v>0</v>
      </c>
      <c r="K380" s="885" cm="1">
        <f t="array" ref="K380">IF($E$20&lt;&gt;"Credera US",0,IF(L380&lt;&gt;"","",IFERROR(IF($D$26&lt;&gt;"Client Custom Rates",0,INDEX('Client Rate Cards'!E:E,MATCH(1,('Client Rate Cards'!B:B='2. Roles &amp; Pricing'!$D$27)*('Client Rate Cards'!D:D='2. Roles &amp; Pricing'!T137),0))),0)))</f>
        <v>0</v>
      </c>
      <c r="L380" s="1350"/>
      <c r="M380" s="1350" t="str">
        <f t="shared" si="96"/>
        <v/>
      </c>
      <c r="N380" s="1355" t="str">
        <f t="shared" si="93"/>
        <v/>
      </c>
      <c r="O380" s="1359" t="str">
        <f t="shared" si="94"/>
        <v/>
      </c>
    </row>
    <row r="381" spans="3:15" ht="13.95" hidden="1" customHeight="1" outlineLevel="1" x14ac:dyDescent="0.25">
      <c r="C381" s="1354" t="str">
        <f t="shared" si="95"/>
        <v/>
      </c>
      <c r="D381" s="918" t="str">
        <f t="shared" si="97"/>
        <v/>
      </c>
      <c r="E381" s="888"/>
      <c r="F381" s="888" cm="1">
        <f t="array" ref="F381">IFERROR(IF($E$20="Credera US",_xlfn.XLOOKUP($O138,'Rates &amp; Drop Downs INT'!F:F,'Rates &amp; Drop Downs INT'!G:G)*M381,IF($C138="TADNorthAmerica",SUMPRODUCT(('Rates &amp; Drop Downs INT'!$CG$6:$CG$708=$D138)*('Rates &amp; Drop Downs INT'!$CI$6:$CI$708=$F138)*('Rates &amp; Drop Downs INT'!$CK$6:$CK$708=$K138)*('Rates &amp; Drop Downs INT'!$CQ$6:$CQ$708))*M381,SUMPRODUCT(('Rates &amp; Drop Downs INT'!$CG$6:$CG$708=$D138)*('Rates &amp; Drop Downs INT'!$CI$6:$CI$708=$F138)*('Rates &amp; Drop Downs INT'!$CK$6:$CK$708=$K138)*('Rates &amp; Drop Downs INT'!$CT$6:$CT$708))*M381)),0)</f>
        <v>0</v>
      </c>
      <c r="G381" s="889"/>
      <c r="H381" s="889"/>
      <c r="I381" s="885" cm="1">
        <f t="array" ref="I381">IF($E$20="TA Digital",IF($C138="TADNorthAmerica",SUMPRODUCT((TADIndia='2. Roles &amp; Pricing'!D138)*('Rates &amp; Drop Downs INT'!$CI$6:$CI$747='2. Roles &amp; Pricing'!F138)*('Rates &amp; Drop Downs INT'!$CK$6:$CK$747='2. Roles &amp; Pricing'!K138)*('Rates &amp; Drop Downs INT'!$CP$6:$CP$747)),SUMPRODUCT((TADIndia='2. Roles &amp; Pricing'!D138)*('Rates &amp; Drop Downs INT'!$CI$6:$CI$747='2. Roles &amp; Pricing'!F138)*('Rates &amp; Drop Downs INT'!$CK$6:$CK$747='2. Roles &amp; Pricing'!K138)*('Rates &amp; Drop Downs INT'!$CR$6:$CR$747))),IF(L381&lt;&gt;"","",IF($E$26="Select Type","Select Margin Class",IFERROR(IF($O138="",0,IF($E$26="Client Custom Rates",0,IF($E$26="Standard Rates",_xlfn.XLOOKUP($O138,'Rates &amp; Drop Downs INT'!$F:$F,'Rates &amp; Drop Downs INT'!I:I)))),0))))</f>
        <v>0</v>
      </c>
      <c r="K381" s="885" cm="1">
        <f t="array" ref="K381">IF($E$20&lt;&gt;"Credera US",0,IF(L381&lt;&gt;"","",IFERROR(IF($D$26&lt;&gt;"Client Custom Rates",0,INDEX('Client Rate Cards'!E:E,MATCH(1,('Client Rate Cards'!B:B='2. Roles &amp; Pricing'!$D$27)*('Client Rate Cards'!D:D='2. Roles &amp; Pricing'!T138),0))),0)))</f>
        <v>0</v>
      </c>
      <c r="L381" s="1350"/>
      <c r="M381" s="1350" t="str">
        <f t="shared" si="96"/>
        <v/>
      </c>
      <c r="N381" s="1355" t="str">
        <f t="shared" si="93"/>
        <v/>
      </c>
      <c r="O381" s="1359" t="str">
        <f t="shared" si="94"/>
        <v/>
      </c>
    </row>
    <row r="382" spans="3:15" ht="13.95" hidden="1" customHeight="1" outlineLevel="1" x14ac:dyDescent="0.25">
      <c r="C382" s="1354" t="str">
        <f t="shared" si="95"/>
        <v/>
      </c>
      <c r="D382" s="918" t="str">
        <f t="shared" si="97"/>
        <v/>
      </c>
      <c r="E382" s="888"/>
      <c r="F382" s="888" cm="1">
        <f t="array" ref="F382">IFERROR(IF($E$20="Credera US",_xlfn.XLOOKUP($O139,'Rates &amp; Drop Downs INT'!F:F,'Rates &amp; Drop Downs INT'!G:G)*M382,IF($C139="TADNorthAmerica",SUMPRODUCT(('Rates &amp; Drop Downs INT'!$CG$6:$CG$708=$D139)*('Rates &amp; Drop Downs INT'!$CI$6:$CI$708=$F139)*('Rates &amp; Drop Downs INT'!$CK$6:$CK$708=$K139)*('Rates &amp; Drop Downs INT'!$CQ$6:$CQ$708))*M382,SUMPRODUCT(('Rates &amp; Drop Downs INT'!$CG$6:$CG$708=$D139)*('Rates &amp; Drop Downs INT'!$CI$6:$CI$708=$F139)*('Rates &amp; Drop Downs INT'!$CK$6:$CK$708=$K139)*('Rates &amp; Drop Downs INT'!$CT$6:$CT$708))*M382)),0)</f>
        <v>0</v>
      </c>
      <c r="G382" s="889"/>
      <c r="H382" s="889"/>
      <c r="I382" s="885" cm="1">
        <f t="array" ref="I382">IF($E$20="TA Digital",IF($C139="TADNorthAmerica",SUMPRODUCT((TADIndia='2. Roles &amp; Pricing'!D139)*('Rates &amp; Drop Downs INT'!$CI$6:$CI$747='2. Roles &amp; Pricing'!F139)*('Rates &amp; Drop Downs INT'!$CK$6:$CK$747='2. Roles &amp; Pricing'!K139)*('Rates &amp; Drop Downs INT'!$CP$6:$CP$747)),SUMPRODUCT((TADIndia='2. Roles &amp; Pricing'!D139)*('Rates &amp; Drop Downs INT'!$CI$6:$CI$747='2. Roles &amp; Pricing'!F139)*('Rates &amp; Drop Downs INT'!$CK$6:$CK$747='2. Roles &amp; Pricing'!K139)*('Rates &amp; Drop Downs INT'!$CR$6:$CR$747))),IF(L382&lt;&gt;"","",IF($E$26="Select Type","Select Margin Class",IFERROR(IF($O139="",0,IF($E$26="Client Custom Rates",0,IF($E$26="Standard Rates",_xlfn.XLOOKUP($O139,'Rates &amp; Drop Downs INT'!$F:$F,'Rates &amp; Drop Downs INT'!I:I)))),0))))</f>
        <v>0</v>
      </c>
      <c r="K382" s="885" cm="1">
        <f t="array" ref="K382">IF($E$20&lt;&gt;"Credera US",0,IF(L382&lt;&gt;"","",IFERROR(IF($D$26&lt;&gt;"Client Custom Rates",0,INDEX('Client Rate Cards'!E:E,MATCH(1,('Client Rate Cards'!B:B='2. Roles &amp; Pricing'!$D$27)*('Client Rate Cards'!D:D='2. Roles &amp; Pricing'!T139),0))),0)))</f>
        <v>0</v>
      </c>
      <c r="L382" s="1350"/>
      <c r="M382" s="1350" t="str">
        <f t="shared" si="96"/>
        <v/>
      </c>
      <c r="N382" s="1355" t="str">
        <f t="shared" si="93"/>
        <v/>
      </c>
      <c r="O382" s="1359" t="str">
        <f t="shared" si="94"/>
        <v/>
      </c>
    </row>
    <row r="383" spans="3:15" ht="13.95" hidden="1" customHeight="1" outlineLevel="1" x14ac:dyDescent="0.25">
      <c r="C383" s="1354" t="str">
        <f t="shared" si="95"/>
        <v/>
      </c>
      <c r="D383" s="918" t="str">
        <f t="shared" si="97"/>
        <v/>
      </c>
      <c r="E383" s="888"/>
      <c r="F383" s="888" cm="1">
        <f t="array" ref="F383">IFERROR(IF($E$20="Credera US",_xlfn.XLOOKUP($O140,'Rates &amp; Drop Downs INT'!F:F,'Rates &amp; Drop Downs INT'!G:G)*M383,IF($C140="TADNorthAmerica",SUMPRODUCT(('Rates &amp; Drop Downs INT'!$CG$6:$CG$708=$D140)*('Rates &amp; Drop Downs INT'!$CI$6:$CI$708=$F140)*('Rates &amp; Drop Downs INT'!$CK$6:$CK$708=$K140)*('Rates &amp; Drop Downs INT'!$CQ$6:$CQ$708))*M383,SUMPRODUCT(('Rates &amp; Drop Downs INT'!$CG$6:$CG$708=$D140)*('Rates &amp; Drop Downs INT'!$CI$6:$CI$708=$F140)*('Rates &amp; Drop Downs INT'!$CK$6:$CK$708=$K140)*('Rates &amp; Drop Downs INT'!$CT$6:$CT$708))*M383)),0)</f>
        <v>0</v>
      </c>
      <c r="G383" s="889"/>
      <c r="H383" s="889"/>
      <c r="I383" s="885" cm="1">
        <f t="array" ref="I383">IF($E$20="TA Digital",IF($C140="TADNorthAmerica",SUMPRODUCT((TADIndia='2. Roles &amp; Pricing'!D140)*('Rates &amp; Drop Downs INT'!$CI$6:$CI$747='2. Roles &amp; Pricing'!F140)*('Rates &amp; Drop Downs INT'!$CK$6:$CK$747='2. Roles &amp; Pricing'!K140)*('Rates &amp; Drop Downs INT'!$CP$6:$CP$747)),SUMPRODUCT((TADIndia='2. Roles &amp; Pricing'!D140)*('Rates &amp; Drop Downs INT'!$CI$6:$CI$747='2. Roles &amp; Pricing'!F140)*('Rates &amp; Drop Downs INT'!$CK$6:$CK$747='2. Roles &amp; Pricing'!K140)*('Rates &amp; Drop Downs INT'!$CR$6:$CR$747))),IF(L383&lt;&gt;"","",IF($E$26="Select Type","Select Margin Class",IFERROR(IF($O140="",0,IF($E$26="Client Custom Rates",0,IF($E$26="Standard Rates",_xlfn.XLOOKUP($O140,'Rates &amp; Drop Downs INT'!$F:$F,'Rates &amp; Drop Downs INT'!I:I)))),0))))</f>
        <v>0</v>
      </c>
      <c r="K383" s="885" cm="1">
        <f t="array" ref="K383">IF($E$20&lt;&gt;"Credera US",0,IF(L383&lt;&gt;"","",IFERROR(IF($D$26&lt;&gt;"Client Custom Rates",0,INDEX('Client Rate Cards'!E:E,MATCH(1,('Client Rate Cards'!B:B='2. Roles &amp; Pricing'!$D$27)*('Client Rate Cards'!D:D='2. Roles &amp; Pricing'!T140),0))),0)))</f>
        <v>0</v>
      </c>
      <c r="L383" s="1350"/>
      <c r="M383" s="1350" t="str">
        <f t="shared" si="96"/>
        <v/>
      </c>
      <c r="N383" s="1355" t="str">
        <f t="shared" si="93"/>
        <v/>
      </c>
      <c r="O383" s="1359" t="str">
        <f t="shared" si="94"/>
        <v/>
      </c>
    </row>
    <row r="384" spans="3:15" ht="13.95" hidden="1" customHeight="1" outlineLevel="1" x14ac:dyDescent="0.25">
      <c r="C384" s="1354" t="str">
        <f t="shared" si="95"/>
        <v/>
      </c>
      <c r="D384" s="918" t="str">
        <f t="shared" si="97"/>
        <v/>
      </c>
      <c r="E384" s="888"/>
      <c r="F384" s="888" cm="1">
        <f t="array" ref="F384">IFERROR(IF($E$20="Credera US",_xlfn.XLOOKUP($O141,'Rates &amp; Drop Downs INT'!F:F,'Rates &amp; Drop Downs INT'!G:G)*M384,IF($C141="TADNorthAmerica",SUMPRODUCT(('Rates &amp; Drop Downs INT'!$CG$6:$CG$708=$D141)*('Rates &amp; Drop Downs INT'!$CI$6:$CI$708=$F141)*('Rates &amp; Drop Downs INT'!$CK$6:$CK$708=$K141)*('Rates &amp; Drop Downs INT'!$CQ$6:$CQ$708))*M384,SUMPRODUCT(('Rates &amp; Drop Downs INT'!$CG$6:$CG$708=$D141)*('Rates &amp; Drop Downs INT'!$CI$6:$CI$708=$F141)*('Rates &amp; Drop Downs INT'!$CK$6:$CK$708=$K141)*('Rates &amp; Drop Downs INT'!$CT$6:$CT$708))*M384)),0)</f>
        <v>0</v>
      </c>
      <c r="G384" s="889"/>
      <c r="H384" s="889"/>
      <c r="I384" s="885" cm="1">
        <f t="array" ref="I384">IF($E$20="TA Digital",IF($C141="TADNorthAmerica",SUMPRODUCT((TADIndia='2. Roles &amp; Pricing'!D141)*('Rates &amp; Drop Downs INT'!$CI$6:$CI$747='2. Roles &amp; Pricing'!F141)*('Rates &amp; Drop Downs INT'!$CK$6:$CK$747='2. Roles &amp; Pricing'!K141)*('Rates &amp; Drop Downs INT'!$CP$6:$CP$747)),SUMPRODUCT((TADIndia='2. Roles &amp; Pricing'!D141)*('Rates &amp; Drop Downs INT'!$CI$6:$CI$747='2. Roles &amp; Pricing'!F141)*('Rates &amp; Drop Downs INT'!$CK$6:$CK$747='2. Roles &amp; Pricing'!K141)*('Rates &amp; Drop Downs INT'!$CR$6:$CR$747))),IF(L384&lt;&gt;"","",IF($E$26="Select Type","Select Margin Class",IFERROR(IF($O141="",0,IF($E$26="Client Custom Rates",0,IF($E$26="Standard Rates",_xlfn.XLOOKUP($O141,'Rates &amp; Drop Downs INT'!$F:$F,'Rates &amp; Drop Downs INT'!I:I)))),0))))</f>
        <v>0</v>
      </c>
      <c r="K384" s="885" cm="1">
        <f t="array" ref="K384">IF($E$20&lt;&gt;"Credera US",0,IF(L384&lt;&gt;"","",IFERROR(IF($D$26&lt;&gt;"Client Custom Rates",0,INDEX('Client Rate Cards'!E:E,MATCH(1,('Client Rate Cards'!B:B='2. Roles &amp; Pricing'!$D$27)*('Client Rate Cards'!D:D='2. Roles &amp; Pricing'!T141),0))),0)))</f>
        <v>0</v>
      </c>
      <c r="L384" s="1350"/>
      <c r="M384" s="1350" t="str">
        <f t="shared" si="96"/>
        <v/>
      </c>
      <c r="N384" s="1355" t="str">
        <f t="shared" si="93"/>
        <v/>
      </c>
      <c r="O384" s="1359" t="str">
        <f t="shared" si="94"/>
        <v/>
      </c>
    </row>
    <row r="385" spans="2:37" ht="13.95" hidden="1" customHeight="1" outlineLevel="1" x14ac:dyDescent="0.25">
      <c r="C385" s="1354" t="str">
        <f t="shared" si="95"/>
        <v/>
      </c>
      <c r="D385" s="918" t="str">
        <f t="shared" si="97"/>
        <v/>
      </c>
      <c r="E385" s="888"/>
      <c r="F385" s="888" cm="1">
        <f t="array" ref="F385">IFERROR(IF($E$20="Credera US",_xlfn.XLOOKUP($O142,'Rates &amp; Drop Downs INT'!F:F,'Rates &amp; Drop Downs INT'!G:G)*M385,IF($C142="TADNorthAmerica",SUMPRODUCT(('Rates &amp; Drop Downs INT'!$CG$6:$CG$708=$D142)*('Rates &amp; Drop Downs INT'!$CI$6:$CI$708=$F142)*('Rates &amp; Drop Downs INT'!$CK$6:$CK$708=$K142)*('Rates &amp; Drop Downs INT'!$CQ$6:$CQ$708))*M385,SUMPRODUCT(('Rates &amp; Drop Downs INT'!$CG$6:$CG$708=$D142)*('Rates &amp; Drop Downs INT'!$CI$6:$CI$708=$F142)*('Rates &amp; Drop Downs INT'!$CK$6:$CK$708=$K142)*('Rates &amp; Drop Downs INT'!$CT$6:$CT$708))*M385)),0)</f>
        <v>0</v>
      </c>
      <c r="G385" s="889"/>
      <c r="H385" s="889"/>
      <c r="I385" s="885" cm="1">
        <f t="array" ref="I385">IF($E$20="TA Digital",IF($C142="TADNorthAmerica",SUMPRODUCT((TADIndia='2. Roles &amp; Pricing'!D142)*('Rates &amp; Drop Downs INT'!$CI$6:$CI$747='2. Roles &amp; Pricing'!F142)*('Rates &amp; Drop Downs INT'!$CK$6:$CK$747='2. Roles &amp; Pricing'!K142)*('Rates &amp; Drop Downs INT'!$CP$6:$CP$747)),SUMPRODUCT((TADIndia='2. Roles &amp; Pricing'!D142)*('Rates &amp; Drop Downs INT'!$CI$6:$CI$747='2. Roles &amp; Pricing'!F142)*('Rates &amp; Drop Downs INT'!$CK$6:$CK$747='2. Roles &amp; Pricing'!K142)*('Rates &amp; Drop Downs INT'!$CR$6:$CR$747))),IF(L385&lt;&gt;"","",IF($E$26="Select Type","Select Margin Class",IFERROR(IF($O142="",0,IF($E$26="Client Custom Rates",0,IF($E$26="Standard Rates",_xlfn.XLOOKUP($O142,'Rates &amp; Drop Downs INT'!$F:$F,'Rates &amp; Drop Downs INT'!I:I)))),0))))</f>
        <v>0</v>
      </c>
      <c r="K385" s="885" cm="1">
        <f t="array" ref="K385">IF($E$20&lt;&gt;"Credera US",0,IF(L385&lt;&gt;"","",IFERROR(IF($D$26&lt;&gt;"Client Custom Rates",0,INDEX('Client Rate Cards'!E:E,MATCH(1,('Client Rate Cards'!B:B='2. Roles &amp; Pricing'!$D$27)*('Client Rate Cards'!D:D='2. Roles &amp; Pricing'!T142),0))),0)))</f>
        <v>0</v>
      </c>
      <c r="L385" s="1350"/>
      <c r="M385" s="1350" t="str">
        <f t="shared" si="96"/>
        <v/>
      </c>
      <c r="N385" s="1355" t="str">
        <f t="shared" si="93"/>
        <v/>
      </c>
      <c r="O385" s="1359" t="str">
        <f t="shared" si="94"/>
        <v/>
      </c>
    </row>
    <row r="386" spans="2:37" ht="13.95" hidden="1" customHeight="1" outlineLevel="1" x14ac:dyDescent="0.25">
      <c r="C386" s="1354" t="str">
        <f t="shared" si="95"/>
        <v/>
      </c>
      <c r="D386" s="918" t="str">
        <f t="shared" si="97"/>
        <v/>
      </c>
      <c r="E386" s="888"/>
      <c r="F386" s="888" cm="1">
        <f t="array" ref="F386">IFERROR(IF($E$20="Credera US",_xlfn.XLOOKUP($O143,'Rates &amp; Drop Downs INT'!F:F,'Rates &amp; Drop Downs INT'!G:G)*M386,IF($C143="TADNorthAmerica",SUMPRODUCT(('Rates &amp; Drop Downs INT'!$CG$6:$CG$708=$D143)*('Rates &amp; Drop Downs INT'!$CI$6:$CI$708=$F143)*('Rates &amp; Drop Downs INT'!$CK$6:$CK$708=$K143)*('Rates &amp; Drop Downs INT'!$CQ$6:$CQ$708))*M386,SUMPRODUCT(('Rates &amp; Drop Downs INT'!$CG$6:$CG$708=$D143)*('Rates &amp; Drop Downs INT'!$CI$6:$CI$708=$F143)*('Rates &amp; Drop Downs INT'!$CK$6:$CK$708=$K143)*('Rates &amp; Drop Downs INT'!$CT$6:$CT$708))*M386)),0)</f>
        <v>0</v>
      </c>
      <c r="G386" s="889"/>
      <c r="H386" s="889"/>
      <c r="I386" s="885" cm="1">
        <f t="array" ref="I386">IF($E$20="TA Digital",IF($C143="TADNorthAmerica",SUMPRODUCT((TADIndia='2. Roles &amp; Pricing'!D143)*('Rates &amp; Drop Downs INT'!$CI$6:$CI$747='2. Roles &amp; Pricing'!F143)*('Rates &amp; Drop Downs INT'!$CK$6:$CK$747='2. Roles &amp; Pricing'!K143)*('Rates &amp; Drop Downs INT'!$CP$6:$CP$747)),SUMPRODUCT((TADIndia='2. Roles &amp; Pricing'!D143)*('Rates &amp; Drop Downs INT'!$CI$6:$CI$747='2. Roles &amp; Pricing'!F143)*('Rates &amp; Drop Downs INT'!$CK$6:$CK$747='2. Roles &amp; Pricing'!K143)*('Rates &amp; Drop Downs INT'!$CR$6:$CR$747))),IF(L386&lt;&gt;"","",IF($E$26="Select Type","Select Margin Class",IFERROR(IF($O143="",0,IF($E$26="Client Custom Rates",0,IF($E$26="Standard Rates",_xlfn.XLOOKUP($O143,'Rates &amp; Drop Downs INT'!$F:$F,'Rates &amp; Drop Downs INT'!I:I)))),0))))</f>
        <v>0</v>
      </c>
      <c r="K386" s="885" cm="1">
        <f t="array" ref="K386">IF($E$20&lt;&gt;"Credera US",0,IF(L386&lt;&gt;"","",IFERROR(IF($D$26&lt;&gt;"Client Custom Rates",0,INDEX('Client Rate Cards'!E:E,MATCH(1,('Client Rate Cards'!B:B='2. Roles &amp; Pricing'!$D$27)*('Client Rate Cards'!D:D='2. Roles &amp; Pricing'!T143),0))),0)))</f>
        <v>0</v>
      </c>
      <c r="L386" s="1350"/>
      <c r="M386" s="1350" t="str">
        <f t="shared" si="96"/>
        <v/>
      </c>
      <c r="N386" s="1355" t="str">
        <f t="shared" si="93"/>
        <v/>
      </c>
      <c r="O386" s="1359" t="str">
        <f t="shared" si="94"/>
        <v/>
      </c>
    </row>
    <row r="387" spans="2:37" ht="13.95" hidden="1" customHeight="1" outlineLevel="1" x14ac:dyDescent="0.25">
      <c r="C387" s="1354" t="str">
        <f t="shared" ref="C387:C390" si="98">IF(K144="","",K144)</f>
        <v/>
      </c>
      <c r="D387" s="918" t="str">
        <f t="shared" si="97"/>
        <v/>
      </c>
      <c r="E387" s="888"/>
      <c r="F387" s="888" cm="1">
        <f t="array" ref="F387">IFERROR(IF($E$20="Credera US",_xlfn.XLOOKUP($O144,'Rates &amp; Drop Downs INT'!F:F,'Rates &amp; Drop Downs INT'!G:G)*M387,IF($C144="TADNorthAmerica",SUMPRODUCT(('Rates &amp; Drop Downs INT'!$CG$6:$CG$708=$D144)*('Rates &amp; Drop Downs INT'!$CI$6:$CI$708=$F144)*('Rates &amp; Drop Downs INT'!$CK$6:$CK$708=$K144)*('Rates &amp; Drop Downs INT'!$CQ$6:$CQ$708))*M387,SUMPRODUCT(('Rates &amp; Drop Downs INT'!$CG$6:$CG$708=$D144)*('Rates &amp; Drop Downs INT'!$CI$6:$CI$708=$F144)*('Rates &amp; Drop Downs INT'!$CK$6:$CK$708=$K144)*('Rates &amp; Drop Downs INT'!$CT$6:$CT$708))*M387)),0)</f>
        <v>0</v>
      </c>
      <c r="G387" s="889"/>
      <c r="H387" s="889"/>
      <c r="I387" s="885" cm="1">
        <f t="array" ref="I387">IF($E$20="TA Digital",IF($C144="TADNorthAmerica",SUMPRODUCT((TADIndia='2. Roles &amp; Pricing'!D144)*('Rates &amp; Drop Downs INT'!$CI$6:$CI$747='2. Roles &amp; Pricing'!F144)*('Rates &amp; Drop Downs INT'!$CK$6:$CK$747='2. Roles &amp; Pricing'!K144)*('Rates &amp; Drop Downs INT'!$CP$6:$CP$747)),SUMPRODUCT((TADIndia='2. Roles &amp; Pricing'!D144)*('Rates &amp; Drop Downs INT'!$CI$6:$CI$747='2. Roles &amp; Pricing'!F144)*('Rates &amp; Drop Downs INT'!$CK$6:$CK$747='2. Roles &amp; Pricing'!K144)*('Rates &amp; Drop Downs INT'!$CR$6:$CR$747))),IF(L387&lt;&gt;"","",IF($E$26="Select Type","Select Margin Class",IFERROR(IF($O144="",0,IF($E$26="Client Custom Rates",0,IF($E$26="Standard Rates",_xlfn.XLOOKUP($O144,'Rates &amp; Drop Downs INT'!$F:$F,'Rates &amp; Drop Downs INT'!I:I)))),0))))</f>
        <v>0</v>
      </c>
      <c r="K387" s="885" cm="1">
        <f t="array" ref="K387">IF($E$20&lt;&gt;"Credera US",0,IF(L387&lt;&gt;"","",IFERROR(IF($D$26&lt;&gt;"Client Custom Rates",0,INDEX('Client Rate Cards'!E:E,MATCH(1,('Client Rate Cards'!B:B='2. Roles &amp; Pricing'!$D$27)*('Client Rate Cards'!D:D='2. Roles &amp; Pricing'!T144),0))),0)))</f>
        <v>0</v>
      </c>
      <c r="L387" s="1350"/>
      <c r="M387" s="1350" t="str">
        <f t="shared" ref="M387:M390" si="99">IF(SUM(E266:BM266)=0,"",SUM(E266:BM266))</f>
        <v/>
      </c>
      <c r="N387" s="1355" t="str">
        <f t="shared" si="93"/>
        <v/>
      </c>
      <c r="O387" s="1359" t="str">
        <f t="shared" si="94"/>
        <v/>
      </c>
    </row>
    <row r="388" spans="2:37" ht="13.95" hidden="1" customHeight="1" outlineLevel="1" x14ac:dyDescent="0.25">
      <c r="C388" s="1354" t="str">
        <f t="shared" si="98"/>
        <v/>
      </c>
      <c r="D388" s="918" t="str">
        <f t="shared" si="97"/>
        <v/>
      </c>
      <c r="E388" s="888"/>
      <c r="F388" s="888" cm="1">
        <f t="array" ref="F388">IFERROR(IF($E$20="Credera US",_xlfn.XLOOKUP($O145,'Rates &amp; Drop Downs INT'!F:F,'Rates &amp; Drop Downs INT'!G:G)*M388,IF($C145="TADNorthAmerica",SUMPRODUCT(('Rates &amp; Drop Downs INT'!$CG$6:$CG$708=$D145)*('Rates &amp; Drop Downs INT'!$CI$6:$CI$708=$F145)*('Rates &amp; Drop Downs INT'!$CK$6:$CK$708=$K145)*('Rates &amp; Drop Downs INT'!$CQ$6:$CQ$708))*M388,SUMPRODUCT(('Rates &amp; Drop Downs INT'!$CG$6:$CG$708=$D145)*('Rates &amp; Drop Downs INT'!$CI$6:$CI$708=$F145)*('Rates &amp; Drop Downs INT'!$CK$6:$CK$708=$K145)*('Rates &amp; Drop Downs INT'!$CT$6:$CT$708))*M388)),0)</f>
        <v>0</v>
      </c>
      <c r="G388" s="889"/>
      <c r="H388" s="889"/>
      <c r="I388" s="885" cm="1">
        <f t="array" ref="I388">IF($E$20="TA Digital",IF($C145="TADNorthAmerica",SUMPRODUCT((TADIndia='2. Roles &amp; Pricing'!D145)*('Rates &amp; Drop Downs INT'!$CI$6:$CI$747='2. Roles &amp; Pricing'!F145)*('Rates &amp; Drop Downs INT'!$CK$6:$CK$747='2. Roles &amp; Pricing'!K145)*('Rates &amp; Drop Downs INT'!$CP$6:$CP$747)),SUMPRODUCT((TADIndia='2. Roles &amp; Pricing'!D145)*('Rates &amp; Drop Downs INT'!$CI$6:$CI$747='2. Roles &amp; Pricing'!F145)*('Rates &amp; Drop Downs INT'!$CK$6:$CK$747='2. Roles &amp; Pricing'!K145)*('Rates &amp; Drop Downs INT'!$CR$6:$CR$747))),IF(L388&lt;&gt;"","",IF($E$26="Select Type","Select Margin Class",IFERROR(IF($O145="",0,IF($E$26="Client Custom Rates",0,IF($E$26="Standard Rates",_xlfn.XLOOKUP($O145,'Rates &amp; Drop Downs INT'!$F:$F,'Rates &amp; Drop Downs INT'!I:I)))),0))))</f>
        <v>0</v>
      </c>
      <c r="K388" s="885" cm="1">
        <f t="array" ref="K388">IF($E$20&lt;&gt;"Credera US",0,IF(L388&lt;&gt;"","",IFERROR(IF($D$26&lt;&gt;"Client Custom Rates",0,INDEX('Client Rate Cards'!E:E,MATCH(1,('Client Rate Cards'!B:B='2. Roles &amp; Pricing'!$D$27)*('Client Rate Cards'!D:D='2. Roles &amp; Pricing'!T145),0))),0)))</f>
        <v>0</v>
      </c>
      <c r="L388" s="1350"/>
      <c r="M388" s="1350" t="str">
        <f t="shared" si="99"/>
        <v/>
      </c>
      <c r="N388" s="1355" t="str">
        <f t="shared" si="93"/>
        <v/>
      </c>
      <c r="O388" s="1359" t="str">
        <f t="shared" si="94"/>
        <v/>
      </c>
    </row>
    <row r="389" spans="2:37" ht="13.95" hidden="1" customHeight="1" outlineLevel="1" x14ac:dyDescent="0.25">
      <c r="C389" s="1354" t="str">
        <f t="shared" si="98"/>
        <v/>
      </c>
      <c r="D389" s="918" t="str">
        <f t="shared" si="97"/>
        <v/>
      </c>
      <c r="E389" s="1363"/>
      <c r="F389" s="1363" cm="1">
        <f t="array" ref="F389">IFERROR(IF($E$20="Credera US",_xlfn.XLOOKUP($O146,'Rates &amp; Drop Downs INT'!F:F,'Rates &amp; Drop Downs INT'!G:G)*M389,IF($C146="TADNorthAmerica",SUMPRODUCT(('Rates &amp; Drop Downs INT'!$CG$6:$CG$708=$D146)*('Rates &amp; Drop Downs INT'!$CI$6:$CI$708=$F146)*('Rates &amp; Drop Downs INT'!$CK$6:$CK$708=$K146)*('Rates &amp; Drop Downs INT'!$CQ$6:$CQ$708))*M389,SUMPRODUCT(('Rates &amp; Drop Downs INT'!$CG$6:$CG$708=$D146)*('Rates &amp; Drop Downs INT'!$CI$6:$CI$708=$F146)*('Rates &amp; Drop Downs INT'!$CK$6:$CK$708=$K146)*('Rates &amp; Drop Downs INT'!$CT$6:$CT$708))*M389)),0)</f>
        <v>0</v>
      </c>
      <c r="G389" s="1364"/>
      <c r="H389" s="1364"/>
      <c r="I389" s="885" cm="1">
        <f t="array" ref="I389">IF($E$20="TA Digital",IF($C146="TADNorthAmerica",SUMPRODUCT((TADIndia='2. Roles &amp; Pricing'!D146)*('Rates &amp; Drop Downs INT'!$CI$6:$CI$747='2. Roles &amp; Pricing'!F146)*('Rates &amp; Drop Downs INT'!$CK$6:$CK$747='2. Roles &amp; Pricing'!K146)*('Rates &amp; Drop Downs INT'!$CP$6:$CP$747)),SUMPRODUCT((TADIndia='2. Roles &amp; Pricing'!D146)*('Rates &amp; Drop Downs INT'!$CI$6:$CI$747='2. Roles &amp; Pricing'!F146)*('Rates &amp; Drop Downs INT'!$CK$6:$CK$747='2. Roles &amp; Pricing'!K146)*('Rates &amp; Drop Downs INT'!$CR$6:$CR$747))),IF(L389&lt;&gt;"","",IF($E$26="Select Type","Select Margin Class",IFERROR(IF($O146="",0,IF($E$26="Client Custom Rates",0,IF($E$26="Standard Rates",_xlfn.XLOOKUP($O146,'Rates &amp; Drop Downs INT'!$F:$F,'Rates &amp; Drop Downs INT'!I:I)))),0))))</f>
        <v>0</v>
      </c>
      <c r="K389" s="885" cm="1">
        <f t="array" ref="K389">IF($E$20&lt;&gt;"Credera US",0,IF(L389&lt;&gt;"","",IFERROR(IF($D$26&lt;&gt;"Client Custom Rates",0,INDEX('Client Rate Cards'!E:E,MATCH(1,('Client Rate Cards'!B:B='2. Roles &amp; Pricing'!$D$27)*('Client Rate Cards'!D:D='2. Roles &amp; Pricing'!T146),0))),0)))</f>
        <v>0</v>
      </c>
      <c r="L389" s="1350"/>
      <c r="M389" s="1357" t="str">
        <f t="shared" si="99"/>
        <v/>
      </c>
      <c r="N389" s="1358" t="str">
        <f t="shared" si="93"/>
        <v/>
      </c>
      <c r="O389" s="1359" t="str">
        <f t="shared" si="94"/>
        <v/>
      </c>
    </row>
    <row r="390" spans="2:37" ht="13.95" hidden="1" customHeight="1" outlineLevel="1" x14ac:dyDescent="0.25">
      <c r="C390" s="1362" t="str">
        <f t="shared" si="98"/>
        <v/>
      </c>
      <c r="D390" s="918" t="str">
        <f t="shared" si="97"/>
        <v/>
      </c>
      <c r="E390" s="914"/>
      <c r="F390" s="914" cm="1">
        <f t="array" ref="F390">IFERROR(IF($E$20="Credera US",_xlfn.XLOOKUP($O147,'Rates &amp; Drop Downs INT'!F:F,'Rates &amp; Drop Downs INT'!G:G)*M390,IF($C147="TADNorthAmerica",SUMPRODUCT(('Rates &amp; Drop Downs INT'!$CG$6:$CG$708=$D147)*('Rates &amp; Drop Downs INT'!$CI$6:$CI$708=$F147)*('Rates &amp; Drop Downs INT'!$CK$6:$CK$708=$K147)*('Rates &amp; Drop Downs INT'!$CQ$6:$CQ$708))*M390,SUMPRODUCT(('Rates &amp; Drop Downs INT'!$CG$6:$CG$708=$D147)*('Rates &amp; Drop Downs INT'!$CI$6:$CI$708=$F147)*('Rates &amp; Drop Downs INT'!$CK$6:$CK$708=$K147)*('Rates &amp; Drop Downs INT'!$CT$6:$CT$708))*M390)),0)</f>
        <v>0</v>
      </c>
      <c r="G390" s="915"/>
      <c r="H390" s="1364"/>
      <c r="I390" s="885" cm="1">
        <f t="array" ref="I390">IF($E$20="TA Digital",IF($C147="TADNorthAmerica",SUMPRODUCT((TADIndia='2. Roles &amp; Pricing'!D147)*('Rates &amp; Drop Downs INT'!$CI$6:$CI$747='2. Roles &amp; Pricing'!F147)*('Rates &amp; Drop Downs INT'!$CK$6:$CK$747='2. Roles &amp; Pricing'!K147)*('Rates &amp; Drop Downs INT'!$CP$6:$CP$747)),SUMPRODUCT((TADIndia='2. Roles &amp; Pricing'!D147)*('Rates &amp; Drop Downs INT'!$CI$6:$CI$747='2. Roles &amp; Pricing'!F147)*('Rates &amp; Drop Downs INT'!$CK$6:$CK$747='2. Roles &amp; Pricing'!K147)*('Rates &amp; Drop Downs INT'!$CR$6:$CR$747))),IF(L390&lt;&gt;"","",IF($E$26="Select Type","Select Margin Class",IFERROR(IF($O147="",0,IF($E$26="Client Custom Rates",0,IF($E$26="Standard Rates",_xlfn.XLOOKUP($O147,'Rates &amp; Drop Downs INT'!$F:$F,'Rates &amp; Drop Downs INT'!I:I)))),0))))</f>
        <v>0</v>
      </c>
      <c r="K390" s="885" cm="1">
        <f t="array" ref="K390">IF($E$20&lt;&gt;"Credera US",0,IF(L390&lt;&gt;"","",IFERROR(IF($D$26&lt;&gt;"Client Custom Rates",0,INDEX('Client Rate Cards'!E:E,MATCH(1,('Client Rate Cards'!B:B='2. Roles &amp; Pricing'!$D$27)*('Client Rate Cards'!D:D='2. Roles &amp; Pricing'!T147),0))),0)))</f>
        <v>0</v>
      </c>
      <c r="L390" s="1350"/>
      <c r="M390" s="916" t="str">
        <f t="shared" si="99"/>
        <v/>
      </c>
      <c r="N390" s="1356" t="str">
        <f t="shared" si="93"/>
        <v/>
      </c>
      <c r="O390" s="1359" t="str">
        <f t="shared" si="94"/>
        <v/>
      </c>
    </row>
    <row r="391" spans="2:37" collapsed="1" x14ac:dyDescent="0.25">
      <c r="B391" s="395" t="s">
        <v>2235</v>
      </c>
      <c r="C391" s="522" t="s">
        <v>2238</v>
      </c>
      <c r="D391" s="398"/>
      <c r="F391" s="487"/>
      <c r="I391" s="487"/>
      <c r="K391" s="487"/>
      <c r="L391" s="487"/>
      <c r="M391" s="523"/>
    </row>
    <row r="392" spans="2:37" x14ac:dyDescent="0.25">
      <c r="D392" s="398"/>
      <c r="F392" s="487"/>
      <c r="I392" s="429"/>
      <c r="K392" s="487"/>
      <c r="L392" s="487"/>
      <c r="M392" s="523"/>
    </row>
    <row r="393" spans="2:37" ht="17.399999999999999" x14ac:dyDescent="0.25">
      <c r="C393" s="801" t="s">
        <v>3399</v>
      </c>
      <c r="D393" s="403"/>
      <c r="E393" s="403"/>
      <c r="F393" s="403"/>
      <c r="G393" s="403"/>
      <c r="H393" s="403"/>
      <c r="I393" s="403"/>
      <c r="J393" s="403"/>
      <c r="K393" s="403"/>
      <c r="L393" s="403"/>
      <c r="M393" s="403"/>
      <c r="N393" s="403"/>
      <c r="O393" s="403"/>
      <c r="P393" s="403"/>
      <c r="Q393" s="403"/>
      <c r="R393" s="403"/>
      <c r="S393" s="403"/>
      <c r="T393" s="403"/>
      <c r="U393" s="403"/>
      <c r="V393" s="403"/>
      <c r="W393" s="403"/>
      <c r="X393" s="403"/>
      <c r="Y393" s="403"/>
      <c r="Z393" s="403"/>
      <c r="AA393" s="403"/>
      <c r="AB393" s="403"/>
      <c r="AC393" s="403"/>
      <c r="AD393" s="403"/>
      <c r="AE393" s="403"/>
      <c r="AF393" s="403"/>
      <c r="AG393" s="403"/>
      <c r="AH393" s="403"/>
      <c r="AI393" s="403"/>
      <c r="AJ393" s="403"/>
      <c r="AK393" s="403"/>
    </row>
    <row r="394" spans="2:37" x14ac:dyDescent="0.25">
      <c r="C394" s="1546" t="s">
        <v>3578</v>
      </c>
      <c r="D394" s="1546"/>
      <c r="E394" s="1546"/>
      <c r="F394" s="1546"/>
      <c r="G394" s="1546"/>
      <c r="H394" s="1546"/>
      <c r="I394" s="1546"/>
    </row>
    <row r="395" spans="2:37" ht="13.95" customHeight="1" x14ac:dyDescent="0.25">
      <c r="C395" s="1688" t="s">
        <v>3577</v>
      </c>
      <c r="D395" s="1688"/>
      <c r="E395" s="1688"/>
      <c r="F395" s="1688"/>
      <c r="G395" s="1688"/>
      <c r="H395" s="1688"/>
      <c r="I395" s="1688"/>
      <c r="J395" s="1688"/>
      <c r="K395" s="1688"/>
      <c r="L395" s="1688"/>
      <c r="M395" s="1688"/>
      <c r="N395" s="1688"/>
      <c r="O395" s="627"/>
    </row>
    <row r="396" spans="2:37" x14ac:dyDescent="0.25">
      <c r="C396" s="1688" t="s">
        <v>3224</v>
      </c>
      <c r="D396" s="1688"/>
      <c r="E396" s="1688"/>
      <c r="F396" s="1688"/>
      <c r="G396" s="1688"/>
      <c r="H396" s="1688"/>
      <c r="I396" s="1688"/>
      <c r="J396" s="1688"/>
      <c r="K396" s="1688"/>
      <c r="L396" s="1688"/>
      <c r="M396" s="1688"/>
      <c r="N396" s="1688"/>
      <c r="O396" s="1264"/>
    </row>
    <row r="397" spans="2:37" x14ac:dyDescent="0.25">
      <c r="C397" s="1688" t="s">
        <v>3398</v>
      </c>
      <c r="D397" s="1688"/>
      <c r="E397" s="1688"/>
      <c r="F397" s="1688"/>
      <c r="G397" s="1688"/>
      <c r="H397" s="1688"/>
      <c r="I397" s="1688"/>
      <c r="J397" s="1688"/>
      <c r="K397" s="1688"/>
      <c r="L397" s="1688"/>
      <c r="M397" s="1688"/>
      <c r="N397" s="1688"/>
      <c r="O397" s="1264"/>
    </row>
    <row r="398" spans="2:37" x14ac:dyDescent="0.25">
      <c r="C398" s="1228"/>
      <c r="D398" s="1228"/>
      <c r="E398" s="1228"/>
      <c r="F398" s="1228"/>
      <c r="G398" s="1228"/>
      <c r="H398" s="1228"/>
      <c r="I398" s="1228"/>
      <c r="J398" s="1228"/>
      <c r="K398" s="1228"/>
      <c r="L398" s="1228"/>
      <c r="M398" s="1228"/>
      <c r="N398" s="1228"/>
      <c r="O398" s="1228"/>
    </row>
    <row r="399" spans="2:37" ht="31.2" x14ac:dyDescent="0.25">
      <c r="C399" s="1581" t="s">
        <v>3579</v>
      </c>
      <c r="D399" s="1724" t="s">
        <v>101</v>
      </c>
      <c r="E399" s="1725"/>
      <c r="F399" s="1726"/>
      <c r="G399" s="1373"/>
      <c r="H399" s="1573"/>
      <c r="I399" s="1372"/>
    </row>
    <row r="400" spans="2:37" ht="33" customHeight="1" x14ac:dyDescent="0.25">
      <c r="C400" s="821" t="s">
        <v>102</v>
      </c>
      <c r="D400" s="1374" t="s">
        <v>213</v>
      </c>
      <c r="E400" s="1375" t="s">
        <v>2272</v>
      </c>
      <c r="F400" s="1375" t="s">
        <v>2273</v>
      </c>
      <c r="G400" s="1365"/>
      <c r="H400" s="1574"/>
      <c r="I400" s="1369"/>
    </row>
    <row r="401" spans="3:9" x14ac:dyDescent="0.25">
      <c r="C401" s="924" t="str" cm="1">
        <f t="array" ref="C401">IF(OR($D$399="No Approach Options Used",$D$399="Select Approach Option")=TRUE,'1. Project Inputs'!B38,IFERROR(INDEX('Optional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f>
        <v>[Enter Estimated Bucket 1]</v>
      </c>
      <c r="D401" s="925" t="str">
        <f>IF($D$399="Select Approach Option"," ",IF($D$399='1. Project Inputs'!$C$64,SUMIFS(TB.ScopeEstimation[WED],TB.ScopeEstimation[Bucket],C401,TB.ScopeEstimation[Option 1],"Yes"),IF($D$399='1. Project Inputs'!$C$65,SUMIFS(TB.ScopeEstimation[WED],TB.ScopeEstimation[Bucket],C401,TB.ScopeEstimation[Option 2],"Yes"),IF($D$399='1. Project Inputs'!$C$66,SUMIFS(TB.ScopeEstimation[WED],TB.ScopeEstimation[Bucket],C401,TB.ScopeEstimation[Option 3],"Yes"),IF($D$399="No Approach Options Used",SUMIFS(TB.ScopeEstimation[WED],TB.ScopeEstimation[Bucket],C401))))))</f>
        <v xml:space="preserve"> </v>
      </c>
      <c r="E401" s="926" t="str">
        <f t="shared" ref="E401:E420" si="100">IF(D401=" "," ",D401*8)</f>
        <v xml:space="preserve"> </v>
      </c>
      <c r="F401" s="927" t="str">
        <f t="shared" ref="F401:F420" si="101">IFERROR(IF(ISBLANK($AB$48),"No Buckets Used below",($E401-SUMIF($AB$48:$AB$147,$C401,$M$291:$M$390))),"")</f>
        <v>No Buckets Used below</v>
      </c>
      <c r="G401" s="1366"/>
      <c r="I401" s="1370"/>
    </row>
    <row r="402" spans="3:9" x14ac:dyDescent="0.25">
      <c r="C402" s="919" t="str" cm="1">
        <f t="array" ref="C402">IF(OR($D$399="No Approach Options Used",$D$399="Select Approach Option")=TRUE,'1. Project Inputs'!B39,IFERROR(INDEX('Optional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f>
        <v>[Enter Estimated Bucket 2]</v>
      </c>
      <c r="D402" s="925" t="str">
        <f>IF($D$399="Select Approach Option"," ",IF($D$399='1. Project Inputs'!$C$64,SUMIFS(TB.ScopeEstimation[WED],TB.ScopeEstimation[Bucket],C402,TB.ScopeEstimation[Option 1],"Yes"),IF($D$399='1. Project Inputs'!$C$65,SUMIFS(TB.ScopeEstimation[WED],TB.ScopeEstimation[Bucket],C402,TB.ScopeEstimation[Option 2],"Yes"),IF($D$399='1. Project Inputs'!$C$66,SUMIFS(TB.ScopeEstimation[WED],TB.ScopeEstimation[Bucket],C402,TB.ScopeEstimation[Option 3],"Yes"),IF($D$399="No Approach Options Used",SUMIFS(TB.ScopeEstimation[WED],TB.ScopeEstimation[Bucket],C402))))))</f>
        <v xml:space="preserve"> </v>
      </c>
      <c r="E402" s="926" t="str">
        <f t="shared" si="100"/>
        <v xml:space="preserve"> </v>
      </c>
      <c r="F402" s="927" t="str">
        <f t="shared" si="101"/>
        <v>No Buckets Used below</v>
      </c>
      <c r="G402" s="1367"/>
      <c r="I402" s="1370"/>
    </row>
    <row r="403" spans="3:9" x14ac:dyDescent="0.25">
      <c r="C403" s="919" t="str" cm="1">
        <f t="array" ref="C403">IF(OR($D$399="No Approach Options Used",$D$399="Select Approach Option")=TRUE,'1. Project Inputs'!B40,IFERROR(INDEX('Optional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Estimation'!$G$15)+1)))),ROW(A3))),""))</f>
        <v>[Enter Estimated Bucket 3]</v>
      </c>
      <c r="D403" s="925" t="str">
        <f>IF($D$399="Select Approach Option"," ",IF($D$399='1. Project Inputs'!$C$64,SUMIFS(TB.ScopeEstimation[WED],TB.ScopeEstimation[Bucket],C403,TB.ScopeEstimation[Option 1],"Yes"),IF($D$399='1. Project Inputs'!$C$65,SUMIFS(TB.ScopeEstimation[WED],TB.ScopeEstimation[Bucket],C403,TB.ScopeEstimation[Option 2],"Yes"),IF($D$399='1. Project Inputs'!$C$66,SUMIFS(TB.ScopeEstimation[WED],TB.ScopeEstimation[Bucket],C403,TB.ScopeEstimation[Option 3],"Yes"),IF($D$399="No Approach Options Used",SUMIFS(TB.ScopeEstimation[WED],TB.ScopeEstimation[Bucket],C403))))))</f>
        <v xml:space="preserve"> </v>
      </c>
      <c r="E403" s="926" t="str">
        <f t="shared" si="100"/>
        <v xml:space="preserve"> </v>
      </c>
      <c r="F403" s="927" t="str">
        <f t="shared" si="101"/>
        <v>No Buckets Used below</v>
      </c>
      <c r="G403" s="1367"/>
      <c r="I403" s="1370"/>
    </row>
    <row r="404" spans="3:9" x14ac:dyDescent="0.25">
      <c r="C404" s="919" t="str" cm="1">
        <f t="array" ref="C404">IF(OR($D$399="No Approach Options Used",$D$399="Select Approach Option")=TRUE,'1. Project Inputs'!B41,IFERROR(INDEX('Optional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Estimation'!$G$15)+1)))),ROW(A4))),""))</f>
        <v>[Enter Estimated Bucket 4]</v>
      </c>
      <c r="D404" s="925" t="str">
        <f>IF($D$399="Select Approach Option"," ",IF($D$399='1. Project Inputs'!$C$64,SUMIFS(TB.ScopeEstimation[WED],TB.ScopeEstimation[Bucket],C404,TB.ScopeEstimation[Option 1],"Yes"),IF($D$399='1. Project Inputs'!$C$65,SUMIFS(TB.ScopeEstimation[WED],TB.ScopeEstimation[Bucket],C404,TB.ScopeEstimation[Option 2],"Yes"),IF($D$399='1. Project Inputs'!$C$66,SUMIFS(TB.ScopeEstimation[WED],TB.ScopeEstimation[Bucket],C404,TB.ScopeEstimation[Option 3],"Yes"),IF($D$399="No Approach Options Used",SUMIFS(TB.ScopeEstimation[WED],TB.ScopeEstimation[Bucket],C404))))))</f>
        <v xml:space="preserve"> </v>
      </c>
      <c r="E404" s="926" t="str">
        <f t="shared" si="100"/>
        <v xml:space="preserve"> </v>
      </c>
      <c r="F404" s="927" t="str">
        <f t="shared" si="101"/>
        <v>No Buckets Used below</v>
      </c>
      <c r="G404" s="1367"/>
      <c r="I404" s="1370"/>
    </row>
    <row r="405" spans="3:9" x14ac:dyDescent="0.25">
      <c r="C405" s="919" t="str" cm="1">
        <f t="array" ref="C405">IF(OR($D$399="No Approach Options Used",$D$399="Select Approach Option")=TRUE,'1. Project Inputs'!B42,IFERROR(INDEX('Optional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Estimation'!$G$15)+1)))),ROW(A5))),""))</f>
        <v>[Enter Estimated Bucket 5]</v>
      </c>
      <c r="D405" s="925" t="str">
        <f>IF($D$399="Select Approach Option"," ",IF($D$399='1. Project Inputs'!$C$64,SUMIFS(TB.ScopeEstimation[WED],TB.ScopeEstimation[Bucket],C405,TB.ScopeEstimation[Option 1],"Yes"),IF($D$399='1. Project Inputs'!$C$65,SUMIFS(TB.ScopeEstimation[WED],TB.ScopeEstimation[Bucket],C405,TB.ScopeEstimation[Option 2],"Yes"),IF($D$399='1. Project Inputs'!$C$66,SUMIFS(TB.ScopeEstimation[WED],TB.ScopeEstimation[Bucket],C405,TB.ScopeEstimation[Option 3],"Yes"),IF($D$399="No Approach Options Used",SUMIFS(TB.ScopeEstimation[WED],TB.ScopeEstimation[Bucket],C405))))))</f>
        <v xml:space="preserve"> </v>
      </c>
      <c r="E405" s="926" t="str">
        <f t="shared" si="100"/>
        <v xml:space="preserve"> </v>
      </c>
      <c r="F405" s="927" t="str">
        <f t="shared" si="101"/>
        <v>No Buckets Used below</v>
      </c>
      <c r="G405" s="1367"/>
      <c r="I405" s="1370"/>
    </row>
    <row r="406" spans="3:9" x14ac:dyDescent="0.25">
      <c r="C406" s="919" t="str" cm="1">
        <f t="array" ref="C406">IF(OR($D$399="No Approach Options Used",$D$399="Select Approach Option")=TRUE,'1. Project Inputs'!B43,IFERROR(INDEX('Optional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Estimation'!$G$15)+1)))),ROW(A6))),""))</f>
        <v>[Enter Estimated Bucket 6]</v>
      </c>
      <c r="D406" s="925" t="str">
        <f>IF($D$399="Select Approach Option"," ",IF($D$399='1. Project Inputs'!$C$64,SUMIFS(TB.ScopeEstimation[WED],TB.ScopeEstimation[Bucket],C406,TB.ScopeEstimation[Option 1],"Yes"),IF($D$399='1. Project Inputs'!$C$65,SUMIFS(TB.ScopeEstimation[WED],TB.ScopeEstimation[Bucket],C406,TB.ScopeEstimation[Option 2],"Yes"),IF($D$399='1. Project Inputs'!$C$66,SUMIFS(TB.ScopeEstimation[WED],TB.ScopeEstimation[Bucket],C406,TB.ScopeEstimation[Option 3],"Yes"),IF($D$399="No Approach Options Used",SUMIFS(TB.ScopeEstimation[WED],TB.ScopeEstimation[Bucket],C406))))))</f>
        <v xml:space="preserve"> </v>
      </c>
      <c r="E406" s="926" t="str">
        <f t="shared" si="100"/>
        <v xml:space="preserve"> </v>
      </c>
      <c r="F406" s="927" t="str">
        <f t="shared" si="101"/>
        <v>No Buckets Used below</v>
      </c>
      <c r="G406" s="1367"/>
      <c r="I406" s="1370"/>
    </row>
    <row r="407" spans="3:9" x14ac:dyDescent="0.25">
      <c r="C407" s="919" t="str" cm="1">
        <f t="array" ref="C407">IF(OR($D$399="No Approach Options Used",$D$399="Select Approach Option")=TRUE,'1. Project Inputs'!B44,IFERROR(INDEX('Optional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Estimation'!$G$15)+1)))),ROW(A7))),""))</f>
        <v>[Enter Estimated Bucket 7]</v>
      </c>
      <c r="D407" s="925" t="str">
        <f>IF($D$399="Select Approach Option"," ",IF($D$399='1. Project Inputs'!$C$64,SUMIFS(TB.ScopeEstimation[WED],TB.ScopeEstimation[Bucket],C407,TB.ScopeEstimation[Option 1],"Yes"),IF($D$399='1. Project Inputs'!$C$65,SUMIFS(TB.ScopeEstimation[WED],TB.ScopeEstimation[Bucket],C407,TB.ScopeEstimation[Option 2],"Yes"),IF($D$399='1. Project Inputs'!$C$66,SUMIFS(TB.ScopeEstimation[WED],TB.ScopeEstimation[Bucket],C407,TB.ScopeEstimation[Option 3],"Yes"),IF($D$399="No Approach Options Used",SUMIFS(TB.ScopeEstimation[WED],TB.ScopeEstimation[Bucket],C407))))))</f>
        <v xml:space="preserve"> </v>
      </c>
      <c r="E407" s="926" t="str">
        <f t="shared" si="100"/>
        <v xml:space="preserve"> </v>
      </c>
      <c r="F407" s="927" t="str">
        <f t="shared" si="101"/>
        <v>No Buckets Used below</v>
      </c>
      <c r="G407" s="1367"/>
      <c r="I407" s="1370"/>
    </row>
    <row r="408" spans="3:9" x14ac:dyDescent="0.25">
      <c r="C408" s="919" t="str" cm="1">
        <f t="array" ref="C408">IF(OR($D$399="No Approach Options Used",$D$399="Select Approach Option")=TRUE,'1. Project Inputs'!B45,IFERROR(INDEX('Optional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Estimation'!$G$15)+1)))),ROW(A9))),""))</f>
        <v>[Enter Estimated Bucket 8]</v>
      </c>
      <c r="D408" s="925" t="str">
        <f>IF($D$399="Select Approach Option"," ",IF($D$399='1. Project Inputs'!$C$64,SUMIFS(TB.ScopeEstimation[WED],TB.ScopeEstimation[Bucket],C408,TB.ScopeEstimation[Option 1],"Yes"),IF($D$399='1. Project Inputs'!$C$65,SUMIFS(TB.ScopeEstimation[WED],TB.ScopeEstimation[Bucket],C408,TB.ScopeEstimation[Option 2],"Yes"),IF($D$399='1. Project Inputs'!$C$66,SUMIFS(TB.ScopeEstimation[WED],TB.ScopeEstimation[Bucket],C408,TB.ScopeEstimation[Option 3],"Yes"),IF($D$399="No Approach Options Used",SUMIFS(TB.ScopeEstimation[WED],TB.ScopeEstimation[Bucket],C408))))))</f>
        <v xml:space="preserve"> </v>
      </c>
      <c r="E408" s="926" t="str">
        <f t="shared" si="100"/>
        <v xml:space="preserve"> </v>
      </c>
      <c r="F408" s="927" t="str">
        <f t="shared" si="101"/>
        <v>No Buckets Used below</v>
      </c>
      <c r="G408" s="1367"/>
      <c r="I408" s="1370"/>
    </row>
    <row r="409" spans="3:9" x14ac:dyDescent="0.25">
      <c r="C409" s="919" t="str" cm="1">
        <f t="array" ref="C409">IF(OR($D$399="No Approach Options Used",$D$399="Select Approach Option")=TRUE,'1. Project Inputs'!B46,IFERROR(INDEX('Optional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9]</v>
      </c>
      <c r="D409" s="925" t="str">
        <f>IF($D$399="Select Approach Option"," ",IF($D$399='1. Project Inputs'!$C$64,SUMIFS(TB.ScopeEstimation[WED],TB.ScopeEstimation[Bucket],C409,TB.ScopeEstimation[Option 1],"Yes"),IF($D$399='1. Project Inputs'!$C$65,SUMIFS(TB.ScopeEstimation[WED],TB.ScopeEstimation[Bucket],C409,TB.ScopeEstimation[Option 2],"Yes"),IF($D$399='1. Project Inputs'!$C$66,SUMIFS(TB.ScopeEstimation[WED],TB.ScopeEstimation[Bucket],C409,TB.ScopeEstimation[Option 3],"Yes"),IF($D$399="No Approach Options Used",SUMIFS(TB.ScopeEstimation[WED],TB.ScopeEstimation[Bucket],C409))))))</f>
        <v xml:space="preserve"> </v>
      </c>
      <c r="E409" s="926" t="str">
        <f t="shared" si="100"/>
        <v xml:space="preserve"> </v>
      </c>
      <c r="F409" s="927" t="str">
        <f t="shared" si="101"/>
        <v>No Buckets Used below</v>
      </c>
      <c r="G409" s="1367"/>
      <c r="I409" s="1370"/>
    </row>
    <row r="410" spans="3:9" x14ac:dyDescent="0.25">
      <c r="C410" s="919" t="str" cm="1">
        <f t="array" ref="C410">IF(OR($D$399="No Approach Options Used",$D$399="Select Approach Option")=TRUE,'1. Project Inputs'!B47,IFERROR(INDEX('Optional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Estimation'!$G$15)+1)))),ROW(A11))),""))</f>
        <v>[Enter Estimated Bucket 10]</v>
      </c>
      <c r="D410" s="925" t="str">
        <f>IF($D$399="Select Approach Option"," ",IF($D$399='1. Project Inputs'!$C$64,SUMIFS(TB.ScopeEstimation[WED],TB.ScopeEstimation[Bucket],C410,TB.ScopeEstimation[Option 1],"Yes"),IF($D$399='1. Project Inputs'!$C$65,SUMIFS(TB.ScopeEstimation[WED],TB.ScopeEstimation[Bucket],C410,TB.ScopeEstimation[Option 2],"Yes"),IF($D$399='1. Project Inputs'!$C$66,SUMIFS(TB.ScopeEstimation[WED],TB.ScopeEstimation[Bucket],C410,TB.ScopeEstimation[Option 3],"Yes"),IF($D$399="No Approach Options Used",SUMIFS(TB.ScopeEstimation[WED],TB.ScopeEstimation[Bucket],C410))))))</f>
        <v xml:space="preserve"> </v>
      </c>
      <c r="E410" s="926" t="str">
        <f t="shared" si="100"/>
        <v xml:space="preserve"> </v>
      </c>
      <c r="F410" s="927" t="str">
        <f t="shared" si="101"/>
        <v>No Buckets Used below</v>
      </c>
      <c r="G410" s="1367"/>
      <c r="I410" s="1370"/>
    </row>
    <row r="411" spans="3:9" x14ac:dyDescent="0.25">
      <c r="C411" s="919" t="str" cm="1">
        <f t="array" ref="C411">IF(OR($D$399="No Approach Options Used",$D$399="Select Approach Option")=TRUE,'1. Project Inputs'!B48,IFERROR(INDEX('Optional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Estimation'!$G$15)+1)))),ROW(A13))),""))</f>
        <v>[Enter Estimated Bucket 11]</v>
      </c>
      <c r="D411" s="925" t="str">
        <f>IF($D$399="Select Approach Option"," ",IF($D$399='1. Project Inputs'!$C$64,SUMIFS(TB.ScopeEstimation[WED],TB.ScopeEstimation[Bucket],C411,TB.ScopeEstimation[Option 1],"Yes"),IF($D$399='1. Project Inputs'!$C$65,SUMIFS(TB.ScopeEstimation[WED],TB.ScopeEstimation[Bucket],C411,TB.ScopeEstimation[Option 2],"Yes"),IF($D$399='1. Project Inputs'!$C$66,SUMIFS(TB.ScopeEstimation[WED],TB.ScopeEstimation[Bucket],C411,TB.ScopeEstimation[Option 3],"Yes"),IF($D$399="No Approach Options Used",SUMIFS(TB.ScopeEstimation[WED],TB.ScopeEstimation[Bucket],C411))))))</f>
        <v xml:space="preserve"> </v>
      </c>
      <c r="E411" s="926" t="str">
        <f t="shared" si="100"/>
        <v xml:space="preserve"> </v>
      </c>
      <c r="F411" s="927" t="str">
        <f t="shared" si="101"/>
        <v>No Buckets Used below</v>
      </c>
      <c r="G411" s="1367"/>
      <c r="I411" s="1370"/>
    </row>
    <row r="412" spans="3:9" x14ac:dyDescent="0.25">
      <c r="C412" s="919" t="str" cm="1">
        <f t="array" ref="C412">IF(OR($D$399="No Approach Options Used",$D$399="Select Approach Option")=TRUE,'1. Project Inputs'!B49,IFERROR(INDEX('Optional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Estimation'!$G$15)+1)))),ROW(A14))),""))</f>
        <v>[Enter Estimated Bucket 12]</v>
      </c>
      <c r="D412" s="925" t="str">
        <f>IF($D$399="Select Approach Option"," ",IF($D$399='1. Project Inputs'!$C$64,SUMIFS(TB.ScopeEstimation[WED],TB.ScopeEstimation[Bucket],C412,TB.ScopeEstimation[Option 1],"Yes"),IF($D$399='1. Project Inputs'!$C$65,SUMIFS(TB.ScopeEstimation[WED],TB.ScopeEstimation[Bucket],C412,TB.ScopeEstimation[Option 2],"Yes"),IF($D$399='1. Project Inputs'!$C$66,SUMIFS(TB.ScopeEstimation[WED],TB.ScopeEstimation[Bucket],C412,TB.ScopeEstimation[Option 3],"Yes"),IF($D$399="No Approach Options Used",SUMIFS(TB.ScopeEstimation[WED],TB.ScopeEstimation[Bucket],C412))))))</f>
        <v xml:space="preserve"> </v>
      </c>
      <c r="E412" s="926" t="str">
        <f t="shared" si="100"/>
        <v xml:space="preserve"> </v>
      </c>
      <c r="F412" s="927" t="str">
        <f t="shared" si="101"/>
        <v>No Buckets Used below</v>
      </c>
      <c r="G412" s="1367"/>
      <c r="I412" s="1370"/>
    </row>
    <row r="413" spans="3:9" x14ac:dyDescent="0.25">
      <c r="C413" s="919" t="str" cm="1">
        <f t="array" ref="C413">IF(OR($D$399="No Approach Options Used",$D$399="Select Approach Option")=TRUE,'1. Project Inputs'!B50,IFERROR(INDEX('Optional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Estimation'!$G$15)+1)))),ROW(A15))),""))</f>
        <v>[Enter Estimated Bucket 13]</v>
      </c>
      <c r="D413" s="925" t="str">
        <f>IF($D$399="Select Approach Option"," ",IF($D$399='1. Project Inputs'!$C$64,SUMIFS(TB.ScopeEstimation[WED],TB.ScopeEstimation[Bucket],C413,TB.ScopeEstimation[Option 1],"Yes"),IF($D$399='1. Project Inputs'!$C$65,SUMIFS(TB.ScopeEstimation[WED],TB.ScopeEstimation[Bucket],C413,TB.ScopeEstimation[Option 2],"Yes"),IF($D$399='1. Project Inputs'!$C$66,SUMIFS(TB.ScopeEstimation[WED],TB.ScopeEstimation[Bucket],C413,TB.ScopeEstimation[Option 3],"Yes"),IF($D$399="No Approach Options Used",SUMIFS(TB.ScopeEstimation[WED],TB.ScopeEstimation[Bucket],C413))))))</f>
        <v xml:space="preserve"> </v>
      </c>
      <c r="E413" s="926" t="str">
        <f t="shared" si="100"/>
        <v xml:space="preserve"> </v>
      </c>
      <c r="F413" s="927" t="str">
        <f t="shared" si="101"/>
        <v>No Buckets Used below</v>
      </c>
      <c r="G413" s="1367"/>
      <c r="I413" s="1370"/>
    </row>
    <row r="414" spans="3:9" x14ac:dyDescent="0.25">
      <c r="C414" s="919" t="str" cm="1">
        <f t="array" ref="C414">IF(OR($D$399="No Approach Options Used",$D$399="Select Approach Option")=TRUE,'1. Project Inputs'!B51,IFERROR(INDEX('Optional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Estimation'!$G$15)+1)))),ROW(A16))),""))</f>
        <v>[Enter Estimated Bucket 14]</v>
      </c>
      <c r="D414" s="925" t="str">
        <f>IF($D$399="Select Approach Option"," ",IF($D$399='1. Project Inputs'!$C$64,SUMIFS(TB.ScopeEstimation[WED],TB.ScopeEstimation[Bucket],C414,TB.ScopeEstimation[Option 1],"Yes"),IF($D$399='1. Project Inputs'!$C$65,SUMIFS(TB.ScopeEstimation[WED],TB.ScopeEstimation[Bucket],C414,TB.ScopeEstimation[Option 2],"Yes"),IF($D$399='1. Project Inputs'!$C$66,SUMIFS(TB.ScopeEstimation[WED],TB.ScopeEstimation[Bucket],C414,TB.ScopeEstimation[Option 3],"Yes"),IF($D$399="No Approach Options Used",SUMIFS(TB.ScopeEstimation[WED],TB.ScopeEstimation[Bucket],C414))))))</f>
        <v xml:space="preserve"> </v>
      </c>
      <c r="E414" s="926" t="str">
        <f t="shared" si="100"/>
        <v xml:space="preserve"> </v>
      </c>
      <c r="F414" s="927" t="str">
        <f t="shared" si="101"/>
        <v>No Buckets Used below</v>
      </c>
      <c r="G414" s="1367"/>
      <c r="I414" s="1370"/>
    </row>
    <row r="415" spans="3:9" x14ac:dyDescent="0.25">
      <c r="C415" s="919" t="str" cm="1">
        <f t="array" ref="C415">IF(OR($D$399="No Approach Options Used",$D$399="Select Approach Option")=TRUE,'1. Project Inputs'!B52,IFERROR(INDEX('Optional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Estimation'!$G$15)+1)))),ROW(A17))),""))</f>
        <v>[Enter Estimated Bucket 15]</v>
      </c>
      <c r="D415" s="925" t="str">
        <f>IF($D$399="Select Approach Option"," ",IF($D$399='1. Project Inputs'!$C$64,SUMIFS(TB.ScopeEstimation[WED],TB.ScopeEstimation[Bucket],C415,TB.ScopeEstimation[Option 1],"Yes"),IF($D$399='1. Project Inputs'!$C$65,SUMIFS(TB.ScopeEstimation[WED],TB.ScopeEstimation[Bucket],C415,TB.ScopeEstimation[Option 2],"Yes"),IF($D$399='1. Project Inputs'!$C$66,SUMIFS(TB.ScopeEstimation[WED],TB.ScopeEstimation[Bucket],C415,TB.ScopeEstimation[Option 3],"Yes"),IF($D$399="No Approach Options Used",SUMIFS(TB.ScopeEstimation[WED],TB.ScopeEstimation[Bucket],C415))))))</f>
        <v xml:space="preserve"> </v>
      </c>
      <c r="E415" s="926" t="str">
        <f t="shared" si="100"/>
        <v xml:space="preserve"> </v>
      </c>
      <c r="F415" s="927" t="str">
        <f t="shared" si="101"/>
        <v>No Buckets Used below</v>
      </c>
      <c r="G415" s="1367"/>
      <c r="I415" s="1370"/>
    </row>
    <row r="416" spans="3:9" x14ac:dyDescent="0.25">
      <c r="C416" s="919" t="str" cm="1">
        <f t="array" ref="C416">IF(OR($D$399="No Approach Options Used",$D$399="Select Approach Option")=TRUE,'1. Project Inputs'!B53,IFERROR(INDEX('Optional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16]</v>
      </c>
      <c r="D416" s="925" t="str">
        <f>IF($D$399="Select Approach Option"," ",IF($D$399='1. Project Inputs'!$C$64,SUMIFS(TB.ScopeEstimation[WED],TB.ScopeEstimation[Bucket],C416,TB.ScopeEstimation[Option 1],"Yes"),IF($D$399='1. Project Inputs'!$C$65,SUMIFS(TB.ScopeEstimation[WED],TB.ScopeEstimation[Bucket],C416,TB.ScopeEstimation[Option 2],"Yes"),IF($D$399='1. Project Inputs'!$C$66,SUMIFS(TB.ScopeEstimation[WED],TB.ScopeEstimation[Bucket],C416,TB.ScopeEstimation[Option 3],"Yes"),IF($D$399="No Approach Options Used",SUMIFS(TB.ScopeEstimation[WED],TB.ScopeEstimation[Bucket],C416))))))</f>
        <v xml:space="preserve"> </v>
      </c>
      <c r="E416" s="926" t="str">
        <f t="shared" si="100"/>
        <v xml:space="preserve"> </v>
      </c>
      <c r="F416" s="927" t="str">
        <f t="shared" si="101"/>
        <v>No Buckets Used below</v>
      </c>
      <c r="G416" s="1367"/>
      <c r="I416" s="1370"/>
    </row>
    <row r="417" spans="3:9" x14ac:dyDescent="0.25">
      <c r="C417" s="919" t="str" cm="1">
        <f t="array" ref="C417">IF(OR($D$399="No Approach Options Used",$D$399="Select Approach Option")=TRUE,'1. Project Inputs'!B54,IFERROR(INDEX('Optional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Estimation'!$G$15)+1)))),ROW(A18))),""))</f>
        <v>[Enter Estimated Bucket 17]</v>
      </c>
      <c r="D417" s="925" t="str">
        <f>IF($D$399="Select Approach Option"," ",IF($D$399='1. Project Inputs'!$C$64,SUMIFS(TB.ScopeEstimation[WED],TB.ScopeEstimation[Bucket],C417,TB.ScopeEstimation[Option 1],"Yes"),IF($D$399='1. Project Inputs'!$C$65,SUMIFS(TB.ScopeEstimation[WED],TB.ScopeEstimation[Bucket],C417,TB.ScopeEstimation[Option 2],"Yes"),IF($D$399='1. Project Inputs'!$C$66,SUMIFS(TB.ScopeEstimation[WED],TB.ScopeEstimation[Bucket],C417,TB.ScopeEstimation[Option 3],"Yes"),IF($D$399="No Approach Options Used",SUMIFS(TB.ScopeEstimation[WED],TB.ScopeEstimation[Bucket],C417))))))</f>
        <v xml:space="preserve"> </v>
      </c>
      <c r="E417" s="926" t="str">
        <f t="shared" si="100"/>
        <v xml:space="preserve"> </v>
      </c>
      <c r="F417" s="927" t="str">
        <f t="shared" si="101"/>
        <v>No Buckets Used below</v>
      </c>
      <c r="G417" s="1367"/>
      <c r="I417" s="1370"/>
    </row>
    <row r="418" spans="3:9" x14ac:dyDescent="0.25">
      <c r="C418" s="919" t="str" cm="1">
        <f t="array" ref="C418">IF(OR($D$399="No Approach Options Used",$D$399="Select Approach Option")=TRUE,'1. Project Inputs'!B55,IFERROR(INDEX('Optional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Estimation'!$G$15)+1)))),ROW(A19))),""))</f>
        <v>[Enter Estimated Bucket 18]</v>
      </c>
      <c r="D418" s="925" t="str">
        <f>IF($D$399="Select Approach Option"," ",IF($D$399='1. Project Inputs'!$C$64,SUMIFS(TB.ScopeEstimation[WED],TB.ScopeEstimation[Bucket],C418,TB.ScopeEstimation[Option 1],"Yes"),IF($D$399='1. Project Inputs'!$C$65,SUMIFS(TB.ScopeEstimation[WED],TB.ScopeEstimation[Bucket],C418,TB.ScopeEstimation[Option 2],"Yes"),IF($D$399='1. Project Inputs'!$C$66,SUMIFS(TB.ScopeEstimation[WED],TB.ScopeEstimation[Bucket],C418,TB.ScopeEstimation[Option 3],"Yes"),IF($D$399="No Approach Options Used",SUMIFS(TB.ScopeEstimation[WED],TB.ScopeEstimation[Bucket],C418))))))</f>
        <v xml:space="preserve"> </v>
      </c>
      <c r="E418" s="926" t="str">
        <f t="shared" si="100"/>
        <v xml:space="preserve"> </v>
      </c>
      <c r="F418" s="927" t="str">
        <f t="shared" si="101"/>
        <v>No Buckets Used below</v>
      </c>
      <c r="G418" s="1367"/>
      <c r="I418" s="1370"/>
    </row>
    <row r="419" spans="3:9" x14ac:dyDescent="0.25">
      <c r="C419" s="919" t="str" cm="1">
        <f t="array" ref="C419">IF(OR($D$399="No Approach Options Used",$D$399="Select Approach Option")=TRUE,'1. Project Inputs'!B56,IFERROR(INDEX('Optional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Estimation'!$G$15)+1)))),ROW(A20))),""))</f>
        <v>[Enter Estimated Bucket 19]</v>
      </c>
      <c r="D419" s="925" t="str">
        <f>IF($D$399="Select Approach Option"," ",IF($D$399='1. Project Inputs'!$C$64,SUMIFS(TB.ScopeEstimation[WED],TB.ScopeEstimation[Bucket],C419,TB.ScopeEstimation[Option 1],"Yes"),IF($D$399='1. Project Inputs'!$C$65,SUMIFS(TB.ScopeEstimation[WED],TB.ScopeEstimation[Bucket],C419,TB.ScopeEstimation[Option 2],"Yes"),IF($D$399='1. Project Inputs'!$C$66,SUMIFS(TB.ScopeEstimation[WED],TB.ScopeEstimation[Bucket],C419,TB.ScopeEstimation[Option 3],"Yes"),IF($D$399="No Approach Options Used",SUMIFS(TB.ScopeEstimation[WED],TB.ScopeEstimation[Bucket],C419))))))</f>
        <v xml:space="preserve"> </v>
      </c>
      <c r="E419" s="926" t="str">
        <f t="shared" si="100"/>
        <v xml:space="preserve"> </v>
      </c>
      <c r="F419" s="927" t="str">
        <f t="shared" si="101"/>
        <v>No Buckets Used below</v>
      </c>
      <c r="G419" s="1367"/>
      <c r="I419" s="1370"/>
    </row>
    <row r="420" spans="3:9" x14ac:dyDescent="0.25">
      <c r="C420" s="919" t="str" cm="1">
        <f t="array" ref="C420">IF(OR($D$399="No Approach Options Used",$D$399="Select Approach Option")=TRUE,'1. Project Inputs'!B57,IFERROR(INDEX('Optional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Estimation'!$G$15)+1)))),ROW(A21))),""))</f>
        <v>[Enter Estimated Bucket 20]</v>
      </c>
      <c r="D420" s="925" t="str">
        <f>IF($D$399="Select Approach Option"," ",IF($D$399='1. Project Inputs'!$C$64,SUMIFS(TB.ScopeEstimation[WED],TB.ScopeEstimation[Bucket],C420,TB.ScopeEstimation[Option 1],"Yes"),IF($D$399='1. Project Inputs'!$C$65,SUMIFS(TB.ScopeEstimation[WED],TB.ScopeEstimation[Bucket],C420,TB.ScopeEstimation[Option 2],"Yes"),IF($D$399='1. Project Inputs'!$C$66,SUMIFS(TB.ScopeEstimation[WED],TB.ScopeEstimation[Bucket],C420,TB.ScopeEstimation[Option 3],"Yes"),IF($D$399="No Approach Options Used",SUMIFS(TB.ScopeEstimation[WED],TB.ScopeEstimation[Bucket],C420))))))</f>
        <v xml:space="preserve"> </v>
      </c>
      <c r="E420" s="926" t="str">
        <f t="shared" si="100"/>
        <v xml:space="preserve"> </v>
      </c>
      <c r="F420" s="927" t="str">
        <f t="shared" si="101"/>
        <v>No Buckets Used below</v>
      </c>
      <c r="G420" s="1367"/>
      <c r="I420" s="1370"/>
    </row>
    <row r="421" spans="3:9" x14ac:dyDescent="0.25">
      <c r="C421" s="920" t="s">
        <v>87</v>
      </c>
      <c r="D421" s="921">
        <f>SUM(D401:D420)</f>
        <v>0</v>
      </c>
      <c r="E421" s="922">
        <f>SUM(E401:E420)</f>
        <v>0</v>
      </c>
      <c r="F421" s="923">
        <f>SUM(F401:F420)</f>
        <v>0</v>
      </c>
      <c r="G421" s="1368"/>
      <c r="I421" s="1371"/>
    </row>
  </sheetData>
  <sheetProtection sort="0" autoFilter="0" pivotTables="0"/>
  <dataConsolidate/>
  <mergeCells count="595">
    <mergeCell ref="Y43:AB45"/>
    <mergeCell ref="C395:N395"/>
    <mergeCell ref="C152:P152"/>
    <mergeCell ref="AC143:AD143"/>
    <mergeCell ref="AC144:AD144"/>
    <mergeCell ref="AC145:AD145"/>
    <mergeCell ref="AC146:AD146"/>
    <mergeCell ref="AC147:AD147"/>
    <mergeCell ref="E18:F18"/>
    <mergeCell ref="E19:F19"/>
    <mergeCell ref="E20:F20"/>
    <mergeCell ref="E21:F21"/>
    <mergeCell ref="E22:F22"/>
    <mergeCell ref="E23:F23"/>
    <mergeCell ref="E24:F24"/>
    <mergeCell ref="E25:F25"/>
    <mergeCell ref="E26:F26"/>
    <mergeCell ref="E27:F27"/>
    <mergeCell ref="E28:F28"/>
    <mergeCell ref="E29:F29"/>
    <mergeCell ref="E30:F30"/>
    <mergeCell ref="AC134:AD134"/>
    <mergeCell ref="AC135:AD135"/>
    <mergeCell ref="AC136:AD136"/>
    <mergeCell ref="AC137:AD137"/>
    <mergeCell ref="AC138:AD138"/>
    <mergeCell ref="AC139:AD139"/>
    <mergeCell ref="AC140:AD140"/>
    <mergeCell ref="AC141:AD141"/>
    <mergeCell ref="AC142:AD142"/>
    <mergeCell ref="AC125:AD125"/>
    <mergeCell ref="AC126:AD126"/>
    <mergeCell ref="AC127:AD127"/>
    <mergeCell ref="AC128:AD128"/>
    <mergeCell ref="AC129:AD129"/>
    <mergeCell ref="AC130:AD130"/>
    <mergeCell ref="AC131:AD131"/>
    <mergeCell ref="AC132:AD132"/>
    <mergeCell ref="AC133:AD133"/>
    <mergeCell ref="AC101:AD101"/>
    <mergeCell ref="AC102:AD102"/>
    <mergeCell ref="AC103:AD103"/>
    <mergeCell ref="AC104:AD104"/>
    <mergeCell ref="AC105:AD105"/>
    <mergeCell ref="AC106:AD106"/>
    <mergeCell ref="AC107:AD107"/>
    <mergeCell ref="AC108:AD108"/>
    <mergeCell ref="AC109:AD109"/>
    <mergeCell ref="AC92:AD92"/>
    <mergeCell ref="AC93:AD93"/>
    <mergeCell ref="AC94:AD94"/>
    <mergeCell ref="AC95:AD95"/>
    <mergeCell ref="AC96:AD96"/>
    <mergeCell ref="AC97:AD97"/>
    <mergeCell ref="AC98:AD98"/>
    <mergeCell ref="AC99:AD99"/>
    <mergeCell ref="AC100:AD100"/>
    <mergeCell ref="AC83:AD83"/>
    <mergeCell ref="AC84:AD84"/>
    <mergeCell ref="AC85:AD85"/>
    <mergeCell ref="AC86:AD86"/>
    <mergeCell ref="AC87:AD87"/>
    <mergeCell ref="AC88:AD88"/>
    <mergeCell ref="AC89:AD89"/>
    <mergeCell ref="AC90:AD90"/>
    <mergeCell ref="AC91:AD91"/>
    <mergeCell ref="AC74:AD74"/>
    <mergeCell ref="AC75:AD75"/>
    <mergeCell ref="AC76:AD76"/>
    <mergeCell ref="AC77:AD77"/>
    <mergeCell ref="AC78:AD78"/>
    <mergeCell ref="AC79:AD79"/>
    <mergeCell ref="AC80:AD80"/>
    <mergeCell ref="AC81:AD81"/>
    <mergeCell ref="AC82:AD82"/>
    <mergeCell ref="AC65:AD65"/>
    <mergeCell ref="AC66:AD66"/>
    <mergeCell ref="AC67:AD67"/>
    <mergeCell ref="AC68:AD68"/>
    <mergeCell ref="AC69:AD69"/>
    <mergeCell ref="AC70:AD70"/>
    <mergeCell ref="AC71:AD71"/>
    <mergeCell ref="AC72:AD72"/>
    <mergeCell ref="AC73:AD73"/>
    <mergeCell ref="AC56:AD56"/>
    <mergeCell ref="AC57:AD57"/>
    <mergeCell ref="AC58:AD58"/>
    <mergeCell ref="AC59:AD59"/>
    <mergeCell ref="AC60:AD60"/>
    <mergeCell ref="AC61:AD61"/>
    <mergeCell ref="AC62:AD62"/>
    <mergeCell ref="AC63:AD63"/>
    <mergeCell ref="AC64:AD64"/>
    <mergeCell ref="AC47:AD47"/>
    <mergeCell ref="AC48:AD48"/>
    <mergeCell ref="AC49:AD49"/>
    <mergeCell ref="AC50:AD50"/>
    <mergeCell ref="AC51:AD51"/>
    <mergeCell ref="AC52:AD52"/>
    <mergeCell ref="AC53:AD53"/>
    <mergeCell ref="AC54:AD54"/>
    <mergeCell ref="AC55:AD55"/>
    <mergeCell ref="D399:F399"/>
    <mergeCell ref="C272:D272"/>
    <mergeCell ref="K60:M60"/>
    <mergeCell ref="K61:M61"/>
    <mergeCell ref="K62:M62"/>
    <mergeCell ref="C287:P287"/>
    <mergeCell ref="C286:P286"/>
    <mergeCell ref="C284:N284"/>
    <mergeCell ref="K96:M96"/>
    <mergeCell ref="K97:M97"/>
    <mergeCell ref="K98:M98"/>
    <mergeCell ref="K91:M91"/>
    <mergeCell ref="K92:M92"/>
    <mergeCell ref="K93:M93"/>
    <mergeCell ref="K94:M94"/>
    <mergeCell ref="K95:M95"/>
    <mergeCell ref="C155:N155"/>
    <mergeCell ref="K87:M87"/>
    <mergeCell ref="K88:M88"/>
    <mergeCell ref="K89:M89"/>
    <mergeCell ref="K90:M90"/>
    <mergeCell ref="K78:M78"/>
    <mergeCell ref="K79:M79"/>
    <mergeCell ref="K81:M81"/>
    <mergeCell ref="T141:U141"/>
    <mergeCell ref="T142:U142"/>
    <mergeCell ref="T143:U143"/>
    <mergeCell ref="T144:U144"/>
    <mergeCell ref="T145:U145"/>
    <mergeCell ref="T114:U114"/>
    <mergeCell ref="T115:U115"/>
    <mergeCell ref="T116:U116"/>
    <mergeCell ref="T117:U117"/>
    <mergeCell ref="T118:U118"/>
    <mergeCell ref="T119:U119"/>
    <mergeCell ref="T120:U120"/>
    <mergeCell ref="T121:U121"/>
    <mergeCell ref="T122:U122"/>
    <mergeCell ref="T146:U146"/>
    <mergeCell ref="T147:U147"/>
    <mergeCell ref="O53:S53"/>
    <mergeCell ref="O54:S54"/>
    <mergeCell ref="O55:S55"/>
    <mergeCell ref="O56:S56"/>
    <mergeCell ref="T132:U132"/>
    <mergeCell ref="T133:U133"/>
    <mergeCell ref="T134:U134"/>
    <mergeCell ref="T135:U135"/>
    <mergeCell ref="T136:U136"/>
    <mergeCell ref="T137:U137"/>
    <mergeCell ref="T138:U138"/>
    <mergeCell ref="T139:U139"/>
    <mergeCell ref="T140:U140"/>
    <mergeCell ref="T123:U123"/>
    <mergeCell ref="T124:U124"/>
    <mergeCell ref="T125:U125"/>
    <mergeCell ref="T126:U126"/>
    <mergeCell ref="T127:U127"/>
    <mergeCell ref="T128:U128"/>
    <mergeCell ref="T129:U129"/>
    <mergeCell ref="T130:U130"/>
    <mergeCell ref="T131:U131"/>
    <mergeCell ref="T112:U112"/>
    <mergeCell ref="T113:U113"/>
    <mergeCell ref="T96:U96"/>
    <mergeCell ref="T97:U97"/>
    <mergeCell ref="T98:U98"/>
    <mergeCell ref="T99:U99"/>
    <mergeCell ref="T100:U100"/>
    <mergeCell ref="T101:U101"/>
    <mergeCell ref="T102:U102"/>
    <mergeCell ref="T103:U103"/>
    <mergeCell ref="T104:U104"/>
    <mergeCell ref="T105:U105"/>
    <mergeCell ref="T106:U106"/>
    <mergeCell ref="T107:U107"/>
    <mergeCell ref="T108:U108"/>
    <mergeCell ref="T109:U109"/>
    <mergeCell ref="T110:U110"/>
    <mergeCell ref="T88:U88"/>
    <mergeCell ref="T89:U89"/>
    <mergeCell ref="T90:U90"/>
    <mergeCell ref="T91:U91"/>
    <mergeCell ref="T92:U92"/>
    <mergeCell ref="T93:U93"/>
    <mergeCell ref="T94:U94"/>
    <mergeCell ref="T95:U95"/>
    <mergeCell ref="T111:U111"/>
    <mergeCell ref="T79:U79"/>
    <mergeCell ref="T80:U80"/>
    <mergeCell ref="T81:U81"/>
    <mergeCell ref="T82:U82"/>
    <mergeCell ref="T83:U83"/>
    <mergeCell ref="T84:U84"/>
    <mergeCell ref="T85:U85"/>
    <mergeCell ref="T86:U86"/>
    <mergeCell ref="T87:U87"/>
    <mergeCell ref="K51:M51"/>
    <mergeCell ref="C42:N42"/>
    <mergeCell ref="C43:N43"/>
    <mergeCell ref="C44:N44"/>
    <mergeCell ref="T75:U75"/>
    <mergeCell ref="T76:U76"/>
    <mergeCell ref="T77:U77"/>
    <mergeCell ref="T78:U78"/>
    <mergeCell ref="K52:M52"/>
    <mergeCell ref="T58:U58"/>
    <mergeCell ref="T59:U59"/>
    <mergeCell ref="K59:M59"/>
    <mergeCell ref="T53:U53"/>
    <mergeCell ref="T54:U54"/>
    <mergeCell ref="T55:U55"/>
    <mergeCell ref="T56:U56"/>
    <mergeCell ref="T57:U57"/>
    <mergeCell ref="K53:M53"/>
    <mergeCell ref="K54:M54"/>
    <mergeCell ref="K55:M55"/>
    <mergeCell ref="K56:M56"/>
    <mergeCell ref="K57:M57"/>
    <mergeCell ref="K58:M58"/>
    <mergeCell ref="F32:I32"/>
    <mergeCell ref="K47:M47"/>
    <mergeCell ref="C37:N37"/>
    <mergeCell ref="C38:N38"/>
    <mergeCell ref="O47:S47"/>
    <mergeCell ref="O48:S48"/>
    <mergeCell ref="O49:S49"/>
    <mergeCell ref="O50:S50"/>
    <mergeCell ref="C17:F17"/>
    <mergeCell ref="K48:M48"/>
    <mergeCell ref="K49:M49"/>
    <mergeCell ref="K50:M50"/>
    <mergeCell ref="C35:O35"/>
    <mergeCell ref="O51:S51"/>
    <mergeCell ref="O52:S52"/>
    <mergeCell ref="T47:U47"/>
    <mergeCell ref="T48:U48"/>
    <mergeCell ref="T49:U49"/>
    <mergeCell ref="T50:U50"/>
    <mergeCell ref="T51:U51"/>
    <mergeCell ref="T52:U52"/>
    <mergeCell ref="K80:M80"/>
    <mergeCell ref="T60:U60"/>
    <mergeCell ref="T61:U61"/>
    <mergeCell ref="T62:U62"/>
    <mergeCell ref="T63:U63"/>
    <mergeCell ref="T64:U64"/>
    <mergeCell ref="T65:U65"/>
    <mergeCell ref="T66:U66"/>
    <mergeCell ref="T67:U67"/>
    <mergeCell ref="T68:U68"/>
    <mergeCell ref="T69:U69"/>
    <mergeCell ref="T70:U70"/>
    <mergeCell ref="T71:U71"/>
    <mergeCell ref="T72:U72"/>
    <mergeCell ref="T73:U73"/>
    <mergeCell ref="T74:U74"/>
    <mergeCell ref="K82:M82"/>
    <mergeCell ref="K83:M83"/>
    <mergeCell ref="K84:M84"/>
    <mergeCell ref="K85:M85"/>
    <mergeCell ref="K86:M86"/>
    <mergeCell ref="C154:N154"/>
    <mergeCell ref="K63:M63"/>
    <mergeCell ref="K64:M64"/>
    <mergeCell ref="K65:M65"/>
    <mergeCell ref="K66:M66"/>
    <mergeCell ref="K67:M67"/>
    <mergeCell ref="K68:M68"/>
    <mergeCell ref="K69:M69"/>
    <mergeCell ref="K70:M70"/>
    <mergeCell ref="K71:M71"/>
    <mergeCell ref="K72:M72"/>
    <mergeCell ref="K73:M73"/>
    <mergeCell ref="K74:M74"/>
    <mergeCell ref="K75:M75"/>
    <mergeCell ref="K76:M76"/>
    <mergeCell ref="K77:M77"/>
    <mergeCell ref="K100:M100"/>
    <mergeCell ref="K101:M101"/>
    <mergeCell ref="K102:M102"/>
    <mergeCell ref="K103:M103"/>
    <mergeCell ref="K104:M104"/>
    <mergeCell ref="K105:M105"/>
    <mergeCell ref="K106:M106"/>
    <mergeCell ref="K107:M107"/>
    <mergeCell ref="C3:D3"/>
    <mergeCell ref="O17:T17"/>
    <mergeCell ref="O74:S74"/>
    <mergeCell ref="O75:S75"/>
    <mergeCell ref="O76:S76"/>
    <mergeCell ref="O77:S77"/>
    <mergeCell ref="O78:S78"/>
    <mergeCell ref="O79:S79"/>
    <mergeCell ref="O80:S80"/>
    <mergeCell ref="O81:S81"/>
    <mergeCell ref="O82:S82"/>
    <mergeCell ref="O83:S83"/>
    <mergeCell ref="O84:S84"/>
    <mergeCell ref="O85:S85"/>
    <mergeCell ref="O86:S86"/>
    <mergeCell ref="O87:S87"/>
    <mergeCell ref="O88:S88"/>
    <mergeCell ref="O89:S89"/>
    <mergeCell ref="O91:S91"/>
    <mergeCell ref="AI29:AJ29"/>
    <mergeCell ref="AI30:AJ30"/>
    <mergeCell ref="AH1:AJ1"/>
    <mergeCell ref="AI19:AJ19"/>
    <mergeCell ref="AI20:AJ20"/>
    <mergeCell ref="AI21:AJ21"/>
    <mergeCell ref="AI22:AJ22"/>
    <mergeCell ref="AI23:AJ23"/>
    <mergeCell ref="AI24:AJ24"/>
    <mergeCell ref="AI25:AJ25"/>
    <mergeCell ref="AI26:AJ26"/>
    <mergeCell ref="AI27:AJ27"/>
    <mergeCell ref="AI28:AJ28"/>
    <mergeCell ref="F2:K2"/>
    <mergeCell ref="C7:I7"/>
    <mergeCell ref="C15:I15"/>
    <mergeCell ref="L2:M2"/>
    <mergeCell ref="L3:M3"/>
    <mergeCell ref="Q2:Y2"/>
    <mergeCell ref="C12:R12"/>
    <mergeCell ref="K7:Q7"/>
    <mergeCell ref="C8:N8"/>
    <mergeCell ref="C9:N9"/>
    <mergeCell ref="C10:N10"/>
    <mergeCell ref="C11:N11"/>
    <mergeCell ref="AH132:AI132"/>
    <mergeCell ref="AH133:AI133"/>
    <mergeCell ref="AH134:AI134"/>
    <mergeCell ref="AH144:AI144"/>
    <mergeCell ref="AH145:AI145"/>
    <mergeCell ref="AH146:AI146"/>
    <mergeCell ref="AH147:AI147"/>
    <mergeCell ref="AH135:AI135"/>
    <mergeCell ref="AH136:AI136"/>
    <mergeCell ref="AH137:AI137"/>
    <mergeCell ref="AH138:AI138"/>
    <mergeCell ref="AH139:AI139"/>
    <mergeCell ref="AH140:AI140"/>
    <mergeCell ref="AH141:AI141"/>
    <mergeCell ref="AH142:AI142"/>
    <mergeCell ref="AH143:AI143"/>
    <mergeCell ref="AH106:AI106"/>
    <mergeCell ref="AH107:AI107"/>
    <mergeCell ref="AH125:AI125"/>
    <mergeCell ref="AH126:AI126"/>
    <mergeCell ref="AH127:AI127"/>
    <mergeCell ref="AH128:AI128"/>
    <mergeCell ref="AH129:AI129"/>
    <mergeCell ref="AH130:AI130"/>
    <mergeCell ref="AH131:AI131"/>
    <mergeCell ref="BX187:CA187"/>
    <mergeCell ref="BX186:BY186"/>
    <mergeCell ref="BZ186:CA186"/>
    <mergeCell ref="AH99:AI99"/>
    <mergeCell ref="AH111:AI111"/>
    <mergeCell ref="AH112:AI112"/>
    <mergeCell ref="AH113:AI113"/>
    <mergeCell ref="AH114:AI114"/>
    <mergeCell ref="AH115:AI115"/>
    <mergeCell ref="AH116:AI116"/>
    <mergeCell ref="AH117:AI117"/>
    <mergeCell ref="AH118:AI118"/>
    <mergeCell ref="AH119:AI119"/>
    <mergeCell ref="AH120:AI120"/>
    <mergeCell ref="AH121:AI121"/>
    <mergeCell ref="AH122:AI122"/>
    <mergeCell ref="AH108:AI108"/>
    <mergeCell ref="AH109:AI109"/>
    <mergeCell ref="AH110:AI110"/>
    <mergeCell ref="AH100:AI100"/>
    <mergeCell ref="AH101:AI101"/>
    <mergeCell ref="AH102:AI102"/>
    <mergeCell ref="AH103:AI103"/>
    <mergeCell ref="AH104:AI104"/>
    <mergeCell ref="AC119:AD119"/>
    <mergeCell ref="AC120:AD120"/>
    <mergeCell ref="AC121:AD121"/>
    <mergeCell ref="AC122:AD122"/>
    <mergeCell ref="AH123:AI123"/>
    <mergeCell ref="AH124:AI124"/>
    <mergeCell ref="AC123:AD123"/>
    <mergeCell ref="AC124:AD124"/>
    <mergeCell ref="AH93:AI93"/>
    <mergeCell ref="AH94:AI94"/>
    <mergeCell ref="AH95:AI95"/>
    <mergeCell ref="AC110:AD110"/>
    <mergeCell ref="AC111:AD111"/>
    <mergeCell ref="AC112:AD112"/>
    <mergeCell ref="AC113:AD113"/>
    <mergeCell ref="AC114:AD114"/>
    <mergeCell ref="AC115:AD115"/>
    <mergeCell ref="AC116:AD116"/>
    <mergeCell ref="AC117:AD117"/>
    <mergeCell ref="AC118:AD118"/>
    <mergeCell ref="AH97:AI97"/>
    <mergeCell ref="AH98:AI98"/>
    <mergeCell ref="AH96:AI96"/>
    <mergeCell ref="AH105:AI105"/>
    <mergeCell ref="AH87:AI87"/>
    <mergeCell ref="AH88:AI88"/>
    <mergeCell ref="AH89:AI89"/>
    <mergeCell ref="AH90:AI90"/>
    <mergeCell ref="AH66:AI66"/>
    <mergeCell ref="AH67:AI67"/>
    <mergeCell ref="AH68:AI68"/>
    <mergeCell ref="AH69:AI69"/>
    <mergeCell ref="AH70:AI70"/>
    <mergeCell ref="AH71:AI71"/>
    <mergeCell ref="AH72:AI72"/>
    <mergeCell ref="AH79:AI79"/>
    <mergeCell ref="AH80:AI80"/>
    <mergeCell ref="AH81:AI81"/>
    <mergeCell ref="AH73:AI73"/>
    <mergeCell ref="AH82:AI82"/>
    <mergeCell ref="AH83:AI83"/>
    <mergeCell ref="AH84:AI84"/>
    <mergeCell ref="AH85:AI85"/>
    <mergeCell ref="AH86:AI86"/>
    <mergeCell ref="AH91:AI91"/>
    <mergeCell ref="AH92:AI92"/>
    <mergeCell ref="AH47:AI47"/>
    <mergeCell ref="AH77:AI77"/>
    <mergeCell ref="AH78:AI78"/>
    <mergeCell ref="AH49:AI49"/>
    <mergeCell ref="AH50:AI50"/>
    <mergeCell ref="AH51:AI51"/>
    <mergeCell ref="AH52:AI52"/>
    <mergeCell ref="AH53:AI53"/>
    <mergeCell ref="AH54:AI54"/>
    <mergeCell ref="AH60:AI60"/>
    <mergeCell ref="AH55:AI55"/>
    <mergeCell ref="AH56:AI56"/>
    <mergeCell ref="AH57:AI57"/>
    <mergeCell ref="AH58:AI58"/>
    <mergeCell ref="AH59:AI59"/>
    <mergeCell ref="AH61:AI61"/>
    <mergeCell ref="AH62:AI62"/>
    <mergeCell ref="AH63:AI63"/>
    <mergeCell ref="AH48:AI48"/>
    <mergeCell ref="AH74:AI74"/>
    <mergeCell ref="AH75:AI75"/>
    <mergeCell ref="AH76:AI76"/>
    <mergeCell ref="AH64:AI64"/>
    <mergeCell ref="AH65:AI65"/>
    <mergeCell ref="AC24:AF25"/>
    <mergeCell ref="C46:I46"/>
    <mergeCell ref="K108:M108"/>
    <mergeCell ref="C283:N283"/>
    <mergeCell ref="C396:N396"/>
    <mergeCell ref="C397:N397"/>
    <mergeCell ref="K99:M99"/>
    <mergeCell ref="K109:M109"/>
    <mergeCell ref="K110:M110"/>
    <mergeCell ref="K111:M111"/>
    <mergeCell ref="K112:M112"/>
    <mergeCell ref="K113:M113"/>
    <mergeCell ref="K114:M114"/>
    <mergeCell ref="K115:M115"/>
    <mergeCell ref="K116:M116"/>
    <mergeCell ref="K117:M117"/>
    <mergeCell ref="K118:M118"/>
    <mergeCell ref="K119:M119"/>
    <mergeCell ref="K120:M120"/>
    <mergeCell ref="K121:M121"/>
    <mergeCell ref="K122:M122"/>
    <mergeCell ref="K123:M123"/>
    <mergeCell ref="K124:M124"/>
    <mergeCell ref="K125:M125"/>
    <mergeCell ref="K126:M126"/>
    <mergeCell ref="K127:M127"/>
    <mergeCell ref="K128:M128"/>
    <mergeCell ref="K129:M129"/>
    <mergeCell ref="K130:M130"/>
    <mergeCell ref="K131:M131"/>
    <mergeCell ref="K132:M132"/>
    <mergeCell ref="K133:M133"/>
    <mergeCell ref="K134:M134"/>
    <mergeCell ref="K135:M135"/>
    <mergeCell ref="K136:M136"/>
    <mergeCell ref="K137:M137"/>
    <mergeCell ref="K138:M138"/>
    <mergeCell ref="K139:M139"/>
    <mergeCell ref="K140:M140"/>
    <mergeCell ref="K141:M141"/>
    <mergeCell ref="K142:M142"/>
    <mergeCell ref="K143:M143"/>
    <mergeCell ref="K144:M144"/>
    <mergeCell ref="K145:M145"/>
    <mergeCell ref="K146:M146"/>
    <mergeCell ref="K147:M147"/>
    <mergeCell ref="O57:S57"/>
    <mergeCell ref="O58:S58"/>
    <mergeCell ref="O59:S59"/>
    <mergeCell ref="O60:S60"/>
    <mergeCell ref="O61:S61"/>
    <mergeCell ref="O62:S62"/>
    <mergeCell ref="O63:S63"/>
    <mergeCell ref="O64:S64"/>
    <mergeCell ref="O65:S65"/>
    <mergeCell ref="O66:S66"/>
    <mergeCell ref="O67:S67"/>
    <mergeCell ref="O68:S68"/>
    <mergeCell ref="O69:S69"/>
    <mergeCell ref="O70:S70"/>
    <mergeCell ref="O71:S71"/>
    <mergeCell ref="O72:S72"/>
    <mergeCell ref="O73:S73"/>
    <mergeCell ref="O90:S90"/>
    <mergeCell ref="O92:S92"/>
    <mergeCell ref="O93:S93"/>
    <mergeCell ref="O94:S94"/>
    <mergeCell ref="O95:S95"/>
    <mergeCell ref="O96:S96"/>
    <mergeCell ref="O97:S97"/>
    <mergeCell ref="O98:S98"/>
    <mergeCell ref="O99:S99"/>
    <mergeCell ref="O100:S100"/>
    <mergeCell ref="O101:S101"/>
    <mergeCell ref="O102:S102"/>
    <mergeCell ref="O103:S103"/>
    <mergeCell ref="O104:S104"/>
    <mergeCell ref="O105:S105"/>
    <mergeCell ref="O106:S106"/>
    <mergeCell ref="O107:S107"/>
    <mergeCell ref="O108:S108"/>
    <mergeCell ref="O109:S109"/>
    <mergeCell ref="O110:S110"/>
    <mergeCell ref="O111:S111"/>
    <mergeCell ref="O112:S112"/>
    <mergeCell ref="O113:S113"/>
    <mergeCell ref="O114:S114"/>
    <mergeCell ref="O115:S115"/>
    <mergeCell ref="O116:S116"/>
    <mergeCell ref="O117:S117"/>
    <mergeCell ref="O118:S118"/>
    <mergeCell ref="O119:S119"/>
    <mergeCell ref="O120:S120"/>
    <mergeCell ref="O121:S121"/>
    <mergeCell ref="O122:S122"/>
    <mergeCell ref="O123:S123"/>
    <mergeCell ref="O124:S124"/>
    <mergeCell ref="O125:S125"/>
    <mergeCell ref="O126:S126"/>
    <mergeCell ref="O127:S127"/>
    <mergeCell ref="O128:S128"/>
    <mergeCell ref="O129:S129"/>
    <mergeCell ref="O130:S130"/>
    <mergeCell ref="O140:S140"/>
    <mergeCell ref="O141:S141"/>
    <mergeCell ref="O142:S142"/>
    <mergeCell ref="O143:S143"/>
    <mergeCell ref="O144:S144"/>
    <mergeCell ref="O145:S145"/>
    <mergeCell ref="O146:S146"/>
    <mergeCell ref="O147:S147"/>
    <mergeCell ref="O131:S131"/>
    <mergeCell ref="O132:S132"/>
    <mergeCell ref="O133:S133"/>
    <mergeCell ref="O134:S134"/>
    <mergeCell ref="O135:S135"/>
    <mergeCell ref="O136:S136"/>
    <mergeCell ref="O137:S137"/>
    <mergeCell ref="O138:S138"/>
    <mergeCell ref="O139:S139"/>
    <mergeCell ref="C164:D164"/>
    <mergeCell ref="C165:D165"/>
    <mergeCell ref="C18:D18"/>
    <mergeCell ref="C19:D19"/>
    <mergeCell ref="C20:D20"/>
    <mergeCell ref="C21:D21"/>
    <mergeCell ref="C22:D22"/>
    <mergeCell ref="C23:D23"/>
    <mergeCell ref="C24:D24"/>
    <mergeCell ref="C25:D25"/>
    <mergeCell ref="C26:D26"/>
    <mergeCell ref="C27:D27"/>
    <mergeCell ref="C28:D28"/>
    <mergeCell ref="C29:D29"/>
    <mergeCell ref="C30:D30"/>
    <mergeCell ref="C160:D160"/>
    <mergeCell ref="C161:D161"/>
    <mergeCell ref="C162:D162"/>
    <mergeCell ref="C163:D163"/>
    <mergeCell ref="C39:N39"/>
    <mergeCell ref="C41:N41"/>
    <mergeCell ref="C151:N151"/>
    <mergeCell ref="C36:N36"/>
    <mergeCell ref="C40:N40"/>
  </mergeCells>
  <phoneticPr fontId="33" type="noConversion"/>
  <conditionalFormatting sqref="C30">
    <cfRule type="expression" dxfId="142" priority="16">
      <formula>OR($C$18="Select Entity",$C$18="Credera US")</formula>
    </cfRule>
  </conditionalFormatting>
  <conditionalFormatting sqref="C47:J47 AA47:AC47 AE47:AF47">
    <cfRule type="cellIs" dxfId="141" priority="162" operator="equal">
      <formula>"Onshore"</formula>
    </cfRule>
    <cfRule type="cellIs" dxfId="140" priority="163" operator="equal">
      <formula>"Onsite"</formula>
    </cfRule>
    <cfRule type="cellIs" dxfId="139" priority="164" operator="equal">
      <formula>"Onsite"</formula>
    </cfRule>
    <cfRule type="cellIs" dxfId="138" priority="165" operator="equal">
      <formula>"Onshore"</formula>
    </cfRule>
  </conditionalFormatting>
  <conditionalFormatting sqref="E30">
    <cfRule type="expression" dxfId="136" priority="18">
      <formula>OR($C$20="Select Entity",$C$20="Credera US")</formula>
    </cfRule>
  </conditionalFormatting>
  <conditionalFormatting sqref="G18:J18 G20:J26 G27:I27 G28:J29 D31">
    <cfRule type="expression" dxfId="135" priority="201">
      <formula>$AH$1="Canada"</formula>
    </cfRule>
    <cfRule type="expression" dxfId="134" priority="202">
      <formula>$AH$1="India"</formula>
    </cfRule>
    <cfRule type="expression" dxfId="133" priority="203">
      <formula>$AH$1="US"</formula>
    </cfRule>
    <cfRule type="expression" dxfId="132" priority="204">
      <formula>$AH$1="UK"</formula>
    </cfRule>
  </conditionalFormatting>
  <conditionalFormatting sqref="K291:K390">
    <cfRule type="expression" dxfId="131" priority="12">
      <formula>#REF!="Canada"</formula>
    </cfRule>
    <cfRule type="expression" dxfId="130" priority="13">
      <formula>#REF!="India"</formula>
    </cfRule>
    <cfRule type="expression" dxfId="129" priority="14">
      <formula>#REF!="US"</formula>
    </cfRule>
    <cfRule type="expression" dxfId="128" priority="15">
      <formula>#REF!="UK"</formula>
    </cfRule>
  </conditionalFormatting>
  <conditionalFormatting sqref="L3">
    <cfRule type="expression" dxfId="127" priority="23">
      <formula>$L$3="ROPE Ready for Upload"</formula>
    </cfRule>
    <cfRule type="expression" dxfId="126" priority="24">
      <formula>$L$3="ROPE Incomplete -- Will not upload"</formula>
    </cfRule>
  </conditionalFormatting>
  <conditionalFormatting sqref="L291 D291:F390 I291:I390 G292:H292">
    <cfRule type="expression" dxfId="125" priority="83">
      <formula>#REF!="Canada"</formula>
    </cfRule>
    <cfRule type="expression" dxfId="124" priority="84">
      <formula>#REF!="India"</formula>
    </cfRule>
    <cfRule type="expression" dxfId="123" priority="85">
      <formula>#REF!="US"</formula>
    </cfRule>
    <cfRule type="expression" dxfId="122" priority="86">
      <formula>#REF!="UK"</formula>
    </cfRule>
  </conditionalFormatting>
  <conditionalFormatting sqref="N48:N147">
    <cfRule type="expression" dxfId="120" priority="4">
      <formula>OR($C48="TADIndia",$C48="TADNorth America")</formula>
    </cfRule>
  </conditionalFormatting>
  <conditionalFormatting sqref="Y48:Y147">
    <cfRule type="expression" dxfId="117" priority="2">
      <formula>AND(ISNUMBER(Y48),Y48&gt;40)</formula>
    </cfRule>
  </conditionalFormatting>
  <conditionalFormatting sqref="Y43:AB45">
    <cfRule type="expression" dxfId="116" priority="3">
      <formula>$Y$43&lt;&gt;""</formula>
    </cfRule>
  </conditionalFormatting>
  <conditionalFormatting sqref="AH20:AH29">
    <cfRule type="beginsWith" dxfId="115" priority="131" operator="beginsWith" text="[">
      <formula>LEFT(AH20,LEN("["))="["</formula>
    </cfRule>
  </conditionalFormatting>
  <conditionalFormatting sqref="AI20:AI29">
    <cfRule type="expression" dxfId="114" priority="205">
      <formula>$W21="%"</formula>
    </cfRule>
  </conditionalFormatting>
  <conditionalFormatting sqref="AI30">
    <cfRule type="expression" dxfId="113" priority="208">
      <formula>$W32="%"</formula>
    </cfRule>
  </conditionalFormatting>
  <conditionalFormatting sqref="AI31">
    <cfRule type="expression" dxfId="112" priority="210">
      <formula>$W34="%"</formula>
    </cfRule>
  </conditionalFormatting>
  <conditionalFormatting sqref="AK20:AN29">
    <cfRule type="expression" dxfId="111" priority="206">
      <formula>$W21="Hrs"</formula>
    </cfRule>
  </conditionalFormatting>
  <conditionalFormatting sqref="CD160:CF161 CE170:CG170 CJ170:CK170 CE172:CF175 BP173:CA173 BP178:CA178 BP185:CA185">
    <cfRule type="expression" dxfId="110" priority="169">
      <formula>$AQ$1="UK"</formula>
    </cfRule>
    <cfRule type="expression" dxfId="109" priority="166">
      <formula>$AQ$1="Canada"</formula>
    </cfRule>
    <cfRule type="expression" dxfId="108" priority="167">
      <formula>$AQ$1="India"</formula>
    </cfRule>
    <cfRule type="expression" dxfId="107" priority="168">
      <formula>$AQ$1="US"</formula>
    </cfRule>
  </conditionalFormatting>
  <conditionalFormatting sqref="CI160:CI161">
    <cfRule type="expression" dxfId="106" priority="148">
      <formula>$AQ$1="US"</formula>
    </cfRule>
    <cfRule type="expression" dxfId="105" priority="149">
      <formula>$AQ$1="UK"</formula>
    </cfRule>
    <cfRule type="expression" dxfId="104" priority="147">
      <formula>$AQ$1="India"</formula>
    </cfRule>
    <cfRule type="expression" dxfId="103" priority="146">
      <formula>$AQ$1="Canada"</formula>
    </cfRule>
  </conditionalFormatting>
  <dataValidations count="7">
    <dataValidation type="list" allowBlank="1" showInputMessage="1" showErrorMessage="1" sqref="F48:F148" xr:uid="{FC67185B-E675-1747-A791-8ADBADBDC6E5}">
      <formula1>INDIRECT($E48)</formula1>
    </dataValidation>
    <dataValidation type="list" allowBlank="1" showInputMessage="1" showErrorMessage="1" sqref="T99:T147" xr:uid="{2F9B4635-B2F5-B34A-8B10-29B78C5FBBD7}">
      <formula1>INDIRECT($D$27)</formula1>
    </dataValidation>
    <dataValidation type="list" allowBlank="1" showInputMessage="1" showErrorMessage="1" sqref="Z48:Z147" xr:uid="{62972467-1238-BA48-A9AF-0247FB0479A2}">
      <formula1>INDIRECT($W48)</formula1>
    </dataValidation>
    <dataValidation type="list" allowBlank="1" showInputMessage="1" showErrorMessage="1" sqref="D49:D147" xr:uid="{E4B56504-1EE6-4BD9-A25B-5CEEA8D81AFF}">
      <formula1>TADIndia</formula1>
    </dataValidation>
    <dataValidation type="list" allowBlank="1" showInputMessage="1" showErrorMessage="1" sqref="I48:I147" xr:uid="{8161CF64-DCD6-48E6-B5A3-B1FD5B209ACA}">
      <formula1>INDIRECT($H48)</formula1>
    </dataValidation>
    <dataValidation type="list" allowBlank="1" showInputMessage="1" showErrorMessage="1" sqref="T48:U98" xr:uid="{942116E0-3FBE-49B1-B31D-5560A05758B9}">
      <formula1>INDIRECT($E$27)</formula1>
    </dataValidation>
    <dataValidation type="list" allowBlank="1" showInputMessage="1" showErrorMessage="1" sqref="K48:M147" xr:uid="{C3942DC6-9684-42BC-9B5F-6F1B082B1317}">
      <formula1>IF($E$20="Credera US",INDIRECT($C48),INDIRECT($G48))</formula1>
    </dataValidation>
  </dataValidations>
  <hyperlinks>
    <hyperlink ref="L3:M3" location="'5. Import Checklist'!C14" display="'5. Import Checklist'!C14" xr:uid="{EDD051A8-5620-48E6-8275-6F2D0B011FC8}"/>
    <hyperlink ref="C399" location="'1. Project Inputs'!B63" display="Options Pulled from Project Inputs" xr:uid="{7728E61B-B908-4AFD-B6CE-0BF44092B70F}"/>
  </hyperlinks>
  <pageMargins left="0.7" right="0.7" top="0.75" bottom="0.75" header="0.3" footer="0.3"/>
  <ignoredErrors>
    <ignoredError sqref="B55:C99 J55:J147 Y172:BO269 C171:C269 Z52:AB52 M291:N294 J49 M296:N346 N295 I170 Y170:BO170 J50:J53 P48:S48 Z53:AB53 Y55:AB147 B48:B54 F170:G170 J48 AA48 Z49:AA49 Z50:AB50 Z51:AB51 B101:C147 B100 F172:G269 AC171:BO171 O171:W171 T99:U147 K170:W170 I172:W269 Z54:AB54" unlockedFormula="1"/>
  </ignoredErrors>
  <legacyDrawing r:id="rId1"/>
  <extLst>
    <ext xmlns:x14="http://schemas.microsoft.com/office/spreadsheetml/2009/9/main" uri="{78C0D931-6437-407d-A8EE-F0AAD7539E65}">
      <x14:conditionalFormattings>
        <x14:conditionalFormatting xmlns:xm="http://schemas.microsoft.com/office/excel/2006/main">
          <x14:cfRule type="expression" priority="11" id="{84583594-E4B7-4643-85AE-1532C4DB39BA}">
            <xm:f>'1. Project Inputs'!$C$19="TA Digital"</xm:f>
            <x14:dxf>
              <fill>
                <patternFill>
                  <bgColor rgb="FFFEFDDF"/>
                </patternFill>
              </fill>
            </x14:dxf>
          </x14:cfRule>
          <xm:sqref>D48:F147</xm:sqref>
        </x14:conditionalFormatting>
        <x14:conditionalFormatting xmlns:xm="http://schemas.microsoft.com/office/excel/2006/main">
          <x14:cfRule type="expression" priority="1" id="{7EFCB34E-A71F-4FC1-A414-FCAFB2BF1F47}">
            <xm:f>'1. Project Inputs'!$C$19="TA Digital"</xm:f>
            <x14:dxf>
              <font>
                <color theme="0"/>
              </font>
            </x14:dxf>
          </x14:cfRule>
          <xm:sqref>N48:N147</xm:sqref>
        </x14:conditionalFormatting>
        <x14:conditionalFormatting xmlns:xm="http://schemas.microsoft.com/office/excel/2006/main">
          <x14:cfRule type="expression" priority="5" id="{E67DC7F5-1A08-45B7-88CB-66BE7964B596}">
            <xm:f>'1. Project Inputs'!$C$25&lt;&gt;"Client Custom Rates"</xm:f>
            <x14:dxf>
              <font>
                <b val="0"/>
                <i/>
              </font>
            </x14:dxf>
          </x14:cfRule>
          <xm:sqref>T47:U47</xm:sqref>
        </x14:conditionalFormatting>
        <x14:conditionalFormatting xmlns:xm="http://schemas.microsoft.com/office/excel/2006/main">
          <x14:cfRule type="expression" priority="6" id="{B0B963CF-8B93-4082-BEDF-886691D947CE}">
            <xm:f>'1. Project Inputs'!$C$25="Client Custom Rates"</xm:f>
            <x14:dxf>
              <fill>
                <patternFill>
                  <bgColor rgb="FFFEFDDF"/>
                </patternFill>
              </fill>
            </x14:dxf>
          </x14:cfRule>
          <xm:sqref>T48:U147</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xr:uid="{23E15B8D-F823-6445-9F1A-B77BBB1A599F}">
          <x14:formula1>
            <xm:f>'Rates &amp; Drop Downs INT'!#REF!</xm:f>
          </x14:formula1>
          <xm:sqref>AF101:AF147 AC101:AC147</xm:sqref>
        </x14:dataValidation>
        <x14:dataValidation type="list" allowBlank="1" showInputMessage="1" showErrorMessage="1" xr:uid="{14434F7C-F610-B942-8C07-0FC1225332A1}">
          <x14:formula1>
            <xm:f>'Rates &amp; Drop Downs INT'!$T$6:$T$8</xm:f>
          </x14:formula1>
          <xm:sqref>AF48:AF98 AE48:AE50 AC48:AC98</xm:sqref>
        </x14:dataValidation>
        <x14:dataValidation type="list" allowBlank="1" showInputMessage="1" showErrorMessage="1" xr:uid="{2F0D4908-F31F-2D44-A1A8-BE843CA76360}">
          <x14:formula1>
            <xm:f>'Rates &amp; Drop Downs INT'!$AJ$6:$AJ$10</xm:f>
          </x14:formula1>
          <xm:sqref>D399</xm:sqref>
        </x14:dataValidation>
        <x14:dataValidation type="list" allowBlank="1" showInputMessage="1" showErrorMessage="1" xr:uid="{92B05BA2-266F-4E40-B939-2DE17BF2223C}">
          <x14:formula1>
            <xm:f>'Rates &amp; Drop Downs INT'!$AN$6:$AN$36</xm:f>
          </x14:formula1>
          <xm:sqref>AB48:AB98</xm:sqref>
        </x14:dataValidation>
        <x14:dataValidation type="list" allowBlank="1" showInputMessage="1" showErrorMessage="1" xr:uid="{1EEF2DD9-7E13-8747-922E-B914B87A0175}">
          <x14:formula1>
            <xm:f>IF($D$25="Consulting",$O$21:$O$32,'Rates &amp; Drop Downs INT'!$AE$7:$AE$11)</xm:f>
          </x14:formula1>
          <xm:sqref>AF99:AF100 AC99:AC100</xm:sqref>
        </x14:dataValidation>
        <x14:dataValidation type="list" allowBlank="1" showInputMessage="1" showErrorMessage="1" xr:uid="{6CCB0934-836E-4F25-8B52-B8CFB8DCD3B2}">
          <x14:formula1>
            <xm:f>'Rates &amp; Drop Downs INT'!$A$6:$A$11</xm:f>
          </x14:formula1>
          <xm:sqref>C48:C147</xm:sqref>
        </x14:dataValidation>
        <x14:dataValidation type="list" allowBlank="1" showInputMessage="1" showErrorMessage="1" xr:uid="{31999029-8023-409C-A42E-9F078DC4E4FB}">
          <x14:formula1>
            <xm:f>'Rates &amp; Drop Downs INT'!$CG$6:$CG$708</xm:f>
          </x14:formula1>
          <xm:sqref>D48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37318-4623-4E8A-8473-CE9411384A39}">
  <sheetPr codeName="Sheet13">
    <tabColor rgb="FF92D050"/>
  </sheetPr>
  <dimension ref="A1:AZ1"/>
  <sheetViews>
    <sheetView topLeftCell="D1" workbookViewId="0">
      <selection activeCell="U1" sqref="U1"/>
    </sheetView>
  </sheetViews>
  <sheetFormatPr defaultColWidth="8.77734375" defaultRowHeight="14.4" x14ac:dyDescent="0.3"/>
  <sheetData>
    <row r="1" spans="1:52" x14ac:dyDescent="0.3">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v>24</v>
      </c>
      <c r="Y1">
        <v>25</v>
      </c>
      <c r="Z1">
        <v>26</v>
      </c>
      <c r="AA1">
        <v>27</v>
      </c>
      <c r="AB1">
        <v>28</v>
      </c>
      <c r="AC1">
        <v>29</v>
      </c>
      <c r="AD1">
        <v>30</v>
      </c>
      <c r="AE1">
        <v>31</v>
      </c>
      <c r="AF1">
        <v>32</v>
      </c>
      <c r="AG1">
        <v>33</v>
      </c>
      <c r="AH1">
        <v>34</v>
      </c>
      <c r="AI1">
        <v>35</v>
      </c>
      <c r="AJ1">
        <v>36</v>
      </c>
      <c r="AK1">
        <v>37</v>
      </c>
      <c r="AL1">
        <v>38</v>
      </c>
      <c r="AM1">
        <v>39</v>
      </c>
      <c r="AN1">
        <v>40</v>
      </c>
      <c r="AO1">
        <v>41</v>
      </c>
      <c r="AP1">
        <v>42</v>
      </c>
      <c r="AQ1">
        <v>43</v>
      </c>
      <c r="AR1">
        <v>44</v>
      </c>
      <c r="AS1">
        <v>45</v>
      </c>
      <c r="AT1">
        <v>46</v>
      </c>
      <c r="AU1">
        <v>47</v>
      </c>
      <c r="AV1">
        <v>48</v>
      </c>
      <c r="AW1">
        <v>49</v>
      </c>
      <c r="AX1">
        <v>50</v>
      </c>
      <c r="AY1">
        <v>51</v>
      </c>
      <c r="AZ1">
        <v>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DF5F2-8D01-40A2-AD08-92794857ABFE}">
  <sheetPr codeName="Sheet18">
    <tabColor rgb="FFFF0000"/>
  </sheetPr>
  <dimension ref="A1:CP74"/>
  <sheetViews>
    <sheetView tabSelected="1" zoomScale="80" zoomScaleNormal="80" workbookViewId="0">
      <selection activeCell="O5" sqref="O5"/>
    </sheetView>
  </sheetViews>
  <sheetFormatPr defaultColWidth="9.21875" defaultRowHeight="13.8" x14ac:dyDescent="0.25"/>
  <cols>
    <col min="1" max="1" width="6.44140625" style="141" customWidth="1"/>
    <col min="2" max="2" width="5" style="262" hidden="1" customWidth="1"/>
    <col min="3" max="3" width="19.44140625" style="262" hidden="1" customWidth="1"/>
    <col min="4" max="4" width="21.44140625" style="262" hidden="1" customWidth="1"/>
    <col min="5" max="5" width="10" style="262" hidden="1" customWidth="1"/>
    <col min="6" max="6" width="14.21875" style="262" hidden="1" customWidth="1"/>
    <col min="7" max="7" width="26.21875" style="140" bestFit="1" customWidth="1"/>
    <col min="8" max="8" width="21.21875" style="140" bestFit="1" customWidth="1"/>
    <col min="9" max="9" width="24.21875" style="140" bestFit="1" customWidth="1"/>
    <col min="10" max="10" width="24.44140625" style="140" bestFit="1" customWidth="1"/>
    <col min="11" max="11" width="10.44140625" style="140" customWidth="1"/>
    <col min="12" max="12" width="6.44140625" style="140" bestFit="1" customWidth="1"/>
    <col min="13" max="13" width="24.44140625" style="140" bestFit="1" customWidth="1"/>
    <col min="14" max="65" width="10.44140625" style="140" customWidth="1"/>
    <col min="66" max="66" width="11.44140625" style="140" customWidth="1"/>
    <col min="67" max="67" width="12.44140625" style="140" customWidth="1"/>
    <col min="68" max="68" width="13.21875" style="140" bestFit="1" customWidth="1"/>
    <col min="69" max="69" width="14.44140625" style="140" customWidth="1"/>
    <col min="70" max="70" width="17.33203125" style="141" bestFit="1" customWidth="1"/>
    <col min="71" max="71" width="13.44140625" style="142" customWidth="1"/>
    <col min="72" max="72" width="16.44140625" style="142" customWidth="1"/>
    <col min="73" max="73" width="13" style="142" customWidth="1"/>
    <col min="74" max="74" width="19" style="142" customWidth="1"/>
    <col min="75" max="75" width="42.44140625" style="142" customWidth="1"/>
    <col min="76" max="16384" width="9.21875" style="142"/>
  </cols>
  <sheetData>
    <row r="1" spans="1:94" s="135" customFormat="1" ht="28.2" thickBot="1" x14ac:dyDescent="0.35">
      <c r="A1" s="150"/>
      <c r="B1" s="151"/>
      <c r="C1" s="151"/>
      <c r="D1" s="151"/>
      <c r="E1" s="151"/>
      <c r="F1" s="151"/>
      <c r="G1" s="152" t="s">
        <v>99</v>
      </c>
      <c r="H1" s="152"/>
      <c r="I1" s="153" t="s">
        <v>1962</v>
      </c>
      <c r="J1" s="154"/>
      <c r="K1" s="153" t="s">
        <v>1963</v>
      </c>
      <c r="L1" s="154"/>
      <c r="N1" s="155" t="s">
        <v>13</v>
      </c>
      <c r="O1" s="155"/>
      <c r="P1" s="155"/>
      <c r="Q1" s="155"/>
      <c r="R1" s="155"/>
      <c r="S1" s="155"/>
      <c r="T1" s="155"/>
      <c r="U1" s="155"/>
      <c r="V1" s="155"/>
      <c r="W1" s="155"/>
      <c r="X1" s="155"/>
      <c r="Y1" s="155"/>
      <c r="Z1" s="155"/>
      <c r="AA1" s="155"/>
      <c r="AB1" s="155"/>
      <c r="AC1" s="155"/>
      <c r="AD1" s="155"/>
      <c r="AE1" s="155"/>
      <c r="AF1" s="155"/>
      <c r="AG1" s="155"/>
      <c r="AH1" s="155"/>
      <c r="AI1" s="155"/>
      <c r="AJ1" s="155"/>
      <c r="AK1" s="155"/>
      <c r="AL1" s="155"/>
      <c r="AM1" s="155"/>
      <c r="AN1" s="155"/>
      <c r="AO1" s="155"/>
      <c r="AP1" s="155"/>
      <c r="AQ1" s="155"/>
      <c r="AR1" s="155"/>
      <c r="AS1" s="155"/>
      <c r="AT1" s="155"/>
      <c r="AU1" s="155"/>
      <c r="AV1" s="155"/>
      <c r="AW1" s="155"/>
      <c r="AX1" s="155"/>
      <c r="AY1" s="155"/>
      <c r="AZ1" s="155"/>
      <c r="BA1" s="155"/>
      <c r="BB1" s="155"/>
      <c r="BC1" s="155"/>
      <c r="BD1" s="155"/>
      <c r="BE1" s="155"/>
      <c r="BF1" s="155"/>
      <c r="BG1" s="155"/>
      <c r="BH1" s="155"/>
      <c r="BI1" s="155"/>
      <c r="BJ1" s="155"/>
      <c r="BK1" s="155"/>
      <c r="BL1" s="155"/>
      <c r="BM1" s="155"/>
      <c r="BN1" s="156"/>
      <c r="BO1" s="156"/>
      <c r="BR1" s="136"/>
    </row>
    <row r="2" spans="1:94" s="135" customFormat="1" ht="27.6" x14ac:dyDescent="0.3">
      <c r="A2" s="157"/>
      <c r="B2" s="151"/>
      <c r="C2" s="151"/>
      <c r="D2" s="151"/>
      <c r="E2" s="151"/>
      <c r="F2" s="151"/>
      <c r="G2" s="135" t="s">
        <v>2183</v>
      </c>
      <c r="N2" s="138" t="s">
        <v>1964</v>
      </c>
      <c r="O2" s="137"/>
      <c r="P2" s="137"/>
      <c r="Q2" s="137"/>
      <c r="R2" s="137"/>
      <c r="S2" s="137"/>
      <c r="T2" s="137"/>
      <c r="U2" s="137"/>
      <c r="V2" s="137"/>
      <c r="W2" s="137"/>
      <c r="X2" s="137"/>
      <c r="Y2" s="137"/>
      <c r="Z2" s="137"/>
      <c r="AA2" s="137"/>
      <c r="AB2" s="137"/>
      <c r="AC2" s="137"/>
      <c r="AD2" s="137"/>
      <c r="AE2" s="137"/>
      <c r="AF2" s="137"/>
      <c r="AG2" s="137"/>
      <c r="AH2" s="137"/>
      <c r="AI2" s="137"/>
      <c r="AJ2" s="137"/>
      <c r="AK2" s="137"/>
      <c r="AL2" s="137"/>
      <c r="AM2" s="137"/>
      <c r="AN2" s="137"/>
      <c r="AO2" s="137"/>
      <c r="AP2" s="137"/>
      <c r="AQ2" s="137"/>
      <c r="AR2" s="137"/>
      <c r="AS2" s="137"/>
      <c r="AT2" s="137"/>
      <c r="AU2" s="137"/>
      <c r="AV2" s="137"/>
      <c r="AW2" s="137"/>
      <c r="AX2" s="137"/>
      <c r="AY2" s="137"/>
      <c r="AZ2" s="137"/>
      <c r="BA2" s="137"/>
      <c r="BB2" s="137"/>
      <c r="BC2" s="137"/>
      <c r="BD2" s="137"/>
      <c r="BE2" s="137"/>
      <c r="BF2" s="137"/>
      <c r="BG2" s="137"/>
      <c r="BH2" s="137"/>
      <c r="BI2" s="137"/>
      <c r="BJ2" s="137"/>
      <c r="BK2" s="137"/>
      <c r="BL2" s="137"/>
      <c r="BM2" s="137"/>
      <c r="BN2" s="138" t="s">
        <v>1964</v>
      </c>
      <c r="BR2" s="136"/>
    </row>
    <row r="3" spans="1:94" s="140" customFormat="1" ht="27.6" x14ac:dyDescent="0.25">
      <c r="A3" s="157"/>
      <c r="B3" s="158"/>
      <c r="C3" s="158"/>
      <c r="D3" s="158"/>
      <c r="E3" s="158"/>
      <c r="F3" s="158"/>
      <c r="G3" s="140" t="s">
        <v>2184</v>
      </c>
      <c r="H3" s="140" t="str">
        <f>'1. Project Inputs'!C23</f>
        <v>Test Digital Project</v>
      </c>
      <c r="J3" s="159"/>
      <c r="N3" s="139"/>
      <c r="O3" s="139"/>
      <c r="P3" s="139"/>
      <c r="Q3" s="139"/>
      <c r="R3" s="139"/>
      <c r="S3" s="139"/>
      <c r="T3" s="139"/>
      <c r="U3" s="139"/>
      <c r="V3" s="139"/>
      <c r="W3" s="139"/>
      <c r="X3" s="139"/>
      <c r="Y3" s="139"/>
      <c r="Z3" s="139"/>
      <c r="AA3" s="139"/>
      <c r="AB3" s="139"/>
      <c r="AC3" s="139"/>
      <c r="AD3" s="139"/>
      <c r="AE3" s="139"/>
      <c r="AF3" s="139"/>
      <c r="AG3" s="139"/>
      <c r="AH3" s="139"/>
      <c r="AI3" s="139"/>
      <c r="AJ3" s="139"/>
      <c r="AK3" s="139"/>
      <c r="AL3" s="139"/>
      <c r="AM3" s="139"/>
      <c r="AN3" s="139"/>
      <c r="AO3" s="139"/>
      <c r="AP3" s="139"/>
      <c r="AQ3" s="139"/>
      <c r="AR3" s="139"/>
      <c r="AS3" s="139"/>
      <c r="AT3" s="139"/>
      <c r="AU3" s="139"/>
      <c r="AV3" s="139"/>
      <c r="AW3" s="139"/>
      <c r="AX3" s="139"/>
      <c r="AY3" s="139"/>
      <c r="AZ3" s="139"/>
      <c r="BA3" s="139"/>
      <c r="BB3" s="139"/>
      <c r="BC3" s="139"/>
      <c r="BD3" s="139"/>
      <c r="BE3" s="139"/>
      <c r="BF3" s="139"/>
      <c r="BG3" s="139"/>
      <c r="BH3" s="139"/>
      <c r="BI3" s="139"/>
      <c r="BJ3" s="139"/>
      <c r="BK3" s="139"/>
      <c r="BL3" s="139"/>
      <c r="BM3" s="139"/>
      <c r="BR3" s="141"/>
    </row>
    <row r="4" spans="1:94" s="140" customFormat="1" ht="27.6" x14ac:dyDescent="0.25">
      <c r="A4" s="157"/>
      <c r="B4" s="158"/>
      <c r="C4" s="158"/>
      <c r="D4" s="158"/>
      <c r="E4" s="158"/>
      <c r="F4" s="158"/>
      <c r="G4" s="140" t="s">
        <v>2185</v>
      </c>
      <c r="H4" s="386">
        <f>'1. Project Inputs'!C27</f>
        <v>45916</v>
      </c>
      <c r="N4" s="139"/>
      <c r="O4" s="139"/>
      <c r="P4" s="139"/>
      <c r="Q4" s="139"/>
      <c r="R4" s="139"/>
      <c r="S4" s="139"/>
      <c r="T4" s="139"/>
      <c r="U4" s="139"/>
      <c r="V4" s="139"/>
      <c r="W4" s="139"/>
      <c r="X4" s="139"/>
      <c r="Y4" s="139"/>
      <c r="Z4" s="139"/>
      <c r="AA4" s="139"/>
      <c r="AB4" s="139"/>
      <c r="AC4" s="139"/>
      <c r="AD4" s="139"/>
      <c r="AE4" s="139"/>
      <c r="AF4" s="139"/>
      <c r="AG4" s="139"/>
      <c r="AH4" s="139"/>
      <c r="AI4" s="139"/>
      <c r="AJ4" s="139"/>
      <c r="AK4" s="139"/>
      <c r="AL4" s="139"/>
      <c r="AM4" s="139"/>
      <c r="AN4" s="139"/>
      <c r="AO4" s="139"/>
      <c r="AP4" s="139"/>
      <c r="AQ4" s="139"/>
      <c r="AR4" s="139"/>
      <c r="AS4" s="139"/>
      <c r="AT4" s="139"/>
      <c r="AU4" s="139"/>
      <c r="AV4" s="139"/>
      <c r="AW4" s="139"/>
      <c r="AX4" s="139"/>
      <c r="AY4" s="139"/>
      <c r="AZ4" s="139"/>
      <c r="BA4" s="139"/>
      <c r="BB4" s="139"/>
      <c r="BC4" s="139"/>
      <c r="BD4" s="139"/>
      <c r="BE4" s="139"/>
      <c r="BF4" s="139"/>
      <c r="BG4" s="139"/>
      <c r="BH4" s="139"/>
      <c r="BI4" s="139"/>
      <c r="BJ4" s="139"/>
      <c r="BK4" s="139"/>
      <c r="BL4" s="139"/>
      <c r="BM4" s="139"/>
      <c r="BR4" s="141"/>
    </row>
    <row r="5" spans="1:94" s="140" customFormat="1" ht="27.6" x14ac:dyDescent="0.25">
      <c r="A5" s="157"/>
      <c r="B5" s="158"/>
      <c r="C5" s="158"/>
      <c r="D5" s="158"/>
      <c r="E5" s="158"/>
      <c r="F5" s="158"/>
      <c r="G5" s="140" t="s">
        <v>2186</v>
      </c>
      <c r="H5" s="140" t="str">
        <f>IF('1. Project Inputs'!C28="Fixed Fee","Fixed Price",IF('1. Project Inputs'!C28="T&amp;M","Time and Material"))</f>
        <v>Time and Material</v>
      </c>
      <c r="J5" s="140" t="s">
        <v>3231</v>
      </c>
      <c r="N5" s="139"/>
      <c r="O5" s="139"/>
      <c r="P5" s="139"/>
      <c r="Q5" s="139"/>
      <c r="R5" s="139"/>
      <c r="S5" s="139"/>
      <c r="T5" s="139"/>
      <c r="U5" s="139"/>
      <c r="V5" s="139"/>
      <c r="W5" s="139"/>
      <c r="X5" s="139"/>
      <c r="Y5" s="139"/>
      <c r="Z5" s="139"/>
      <c r="AA5" s="139"/>
      <c r="AB5" s="139"/>
      <c r="AC5" s="139"/>
      <c r="AD5" s="139"/>
      <c r="AE5" s="139"/>
      <c r="AF5" s="139"/>
      <c r="AG5" s="139"/>
      <c r="AH5" s="139"/>
      <c r="AI5" s="139"/>
      <c r="AJ5" s="139"/>
      <c r="AK5" s="139"/>
      <c r="AL5" s="139"/>
      <c r="AM5" s="139"/>
      <c r="AN5" s="139"/>
      <c r="AO5" s="139"/>
      <c r="AP5" s="139"/>
      <c r="AQ5" s="139"/>
      <c r="AR5" s="139"/>
      <c r="AS5" s="139"/>
      <c r="AT5" s="139"/>
      <c r="AU5" s="139"/>
      <c r="AV5" s="139"/>
      <c r="AW5" s="139"/>
      <c r="AX5" s="139"/>
      <c r="AY5" s="139"/>
      <c r="AZ5" s="139"/>
      <c r="BA5" s="139"/>
      <c r="BB5" s="139"/>
      <c r="BC5" s="139"/>
      <c r="BD5" s="139"/>
      <c r="BE5" s="139"/>
      <c r="BF5" s="139"/>
      <c r="BG5" s="139"/>
      <c r="BH5" s="139"/>
      <c r="BI5" s="139"/>
      <c r="BJ5" s="139"/>
      <c r="BK5" s="139"/>
      <c r="BL5" s="139"/>
      <c r="BM5" s="139"/>
      <c r="BR5" s="141"/>
    </row>
    <row r="6" spans="1:94" s="140" customFormat="1" ht="27.6" x14ac:dyDescent="0.25">
      <c r="A6" s="157"/>
      <c r="B6" s="158"/>
      <c r="C6" s="158"/>
      <c r="D6" s="158"/>
      <c r="E6" s="158"/>
      <c r="F6" s="158"/>
      <c r="G6" s="140" t="s">
        <v>2187</v>
      </c>
      <c r="H6" s="386" t="str">
        <f>'1. Project Inputs'!C32</f>
        <v>SOW</v>
      </c>
      <c r="J6" s="140" t="s">
        <v>3232</v>
      </c>
      <c r="N6" s="139"/>
      <c r="O6" s="139"/>
      <c r="P6" s="139"/>
      <c r="Q6" s="139"/>
      <c r="R6" s="139"/>
      <c r="S6" s="139"/>
      <c r="T6" s="139"/>
      <c r="U6" s="139"/>
      <c r="V6" s="139"/>
      <c r="W6" s="139"/>
      <c r="X6" s="139"/>
      <c r="Y6" s="139"/>
      <c r="Z6" s="139"/>
      <c r="AA6" s="139"/>
      <c r="AB6" s="139"/>
      <c r="AC6" s="139"/>
      <c r="AD6" s="139"/>
      <c r="AE6" s="139"/>
      <c r="AF6" s="139"/>
      <c r="AG6" s="139"/>
      <c r="AH6" s="139"/>
      <c r="AI6" s="139"/>
      <c r="AJ6" s="139"/>
      <c r="AK6" s="139"/>
      <c r="AL6" s="139"/>
      <c r="AM6" s="139"/>
      <c r="AN6" s="139"/>
      <c r="AO6" s="139"/>
      <c r="AP6" s="139"/>
      <c r="AQ6" s="139"/>
      <c r="AR6" s="139"/>
      <c r="AS6" s="139"/>
      <c r="AT6" s="139"/>
      <c r="AU6" s="139"/>
      <c r="AV6" s="139"/>
      <c r="AW6" s="139"/>
      <c r="AX6" s="139"/>
      <c r="AY6" s="139"/>
      <c r="AZ6" s="139"/>
      <c r="BA6" s="139"/>
      <c r="BB6" s="139"/>
      <c r="BC6" s="139"/>
      <c r="BD6" s="139"/>
      <c r="BE6" s="139"/>
      <c r="BF6" s="139"/>
      <c r="BG6" s="139"/>
      <c r="BH6" s="139"/>
      <c r="BI6" s="139"/>
      <c r="BJ6" s="139"/>
      <c r="BK6" s="139"/>
      <c r="BL6" s="139"/>
      <c r="BM6" s="139"/>
      <c r="BR6" s="141"/>
    </row>
    <row r="7" spans="1:94" s="140" customFormat="1" ht="27.6" x14ac:dyDescent="0.25">
      <c r="A7" s="157"/>
      <c r="B7" s="158"/>
      <c r="C7" s="158"/>
      <c r="D7" s="158"/>
      <c r="E7" s="158"/>
      <c r="F7" s="158"/>
      <c r="G7" s="140" t="s">
        <v>2188</v>
      </c>
      <c r="H7" s="386" t="str">
        <f>'1. Project Inputs'!C31</f>
        <v>Select CR Type</v>
      </c>
      <c r="J7" s="140" t="s">
        <v>3233</v>
      </c>
      <c r="N7" s="139"/>
      <c r="O7" s="139"/>
      <c r="P7" s="139"/>
      <c r="Q7" s="139"/>
      <c r="R7" s="139"/>
      <c r="S7" s="139"/>
      <c r="T7" s="139"/>
      <c r="U7" s="139"/>
      <c r="V7" s="139"/>
      <c r="W7" s="139"/>
      <c r="X7" s="139"/>
      <c r="Y7" s="139"/>
      <c r="Z7" s="139"/>
      <c r="AA7" s="139"/>
      <c r="AB7" s="139"/>
      <c r="AC7" s="139"/>
      <c r="AD7" s="139"/>
      <c r="AE7" s="139"/>
      <c r="AF7" s="139"/>
      <c r="AG7" s="139"/>
      <c r="AH7" s="139"/>
      <c r="AI7" s="139"/>
      <c r="AJ7" s="139"/>
      <c r="AK7" s="139"/>
      <c r="AL7" s="139"/>
      <c r="AM7" s="139"/>
      <c r="AN7" s="139"/>
      <c r="AO7" s="139"/>
      <c r="AP7" s="139"/>
      <c r="AQ7" s="139"/>
      <c r="AR7" s="139"/>
      <c r="AS7" s="139"/>
      <c r="AT7" s="139"/>
      <c r="AU7" s="139"/>
      <c r="AV7" s="139"/>
      <c r="AW7" s="139"/>
      <c r="AX7" s="139"/>
      <c r="AY7" s="139"/>
      <c r="AZ7" s="139"/>
      <c r="BA7" s="139"/>
      <c r="BB7" s="139"/>
      <c r="BC7" s="139"/>
      <c r="BD7" s="139"/>
      <c r="BE7" s="139"/>
      <c r="BF7" s="139"/>
      <c r="BG7" s="139"/>
      <c r="BH7" s="139"/>
      <c r="BI7" s="139"/>
      <c r="BJ7" s="139"/>
      <c r="BK7" s="139"/>
      <c r="BL7" s="139"/>
      <c r="BM7" s="139"/>
      <c r="BR7" s="141"/>
    </row>
    <row r="8" spans="1:94" s="140" customFormat="1" ht="28.2" thickBot="1" x14ac:dyDescent="0.3">
      <c r="A8" s="157"/>
      <c r="B8" s="158"/>
      <c r="C8" s="158"/>
      <c r="D8" s="158"/>
      <c r="E8" s="158"/>
      <c r="F8" s="158"/>
      <c r="G8" s="140" t="s">
        <v>2189</v>
      </c>
      <c r="H8" s="386">
        <f>H4</f>
        <v>45916</v>
      </c>
      <c r="N8" s="139"/>
      <c r="O8" s="139"/>
      <c r="P8" s="139"/>
      <c r="Q8" s="139"/>
      <c r="R8" s="139"/>
      <c r="S8" s="139"/>
      <c r="T8" s="139"/>
      <c r="U8" s="139"/>
      <c r="V8" s="139"/>
      <c r="W8" s="139"/>
      <c r="X8" s="139"/>
      <c r="Y8" s="139"/>
      <c r="Z8" s="139"/>
      <c r="AA8" s="139"/>
      <c r="AB8" s="139"/>
      <c r="AC8" s="139"/>
      <c r="AD8" s="139"/>
      <c r="AE8" s="139"/>
      <c r="AF8" s="139"/>
      <c r="AG8" s="139"/>
      <c r="AH8" s="139"/>
      <c r="AI8" s="139"/>
      <c r="AJ8" s="139"/>
      <c r="AK8" s="139"/>
      <c r="AL8" s="139"/>
      <c r="AM8" s="139"/>
      <c r="AN8" s="139"/>
      <c r="AO8" s="139"/>
      <c r="AP8" s="139"/>
      <c r="AQ8" s="139"/>
      <c r="AR8" s="139"/>
      <c r="AS8" s="139"/>
      <c r="AT8" s="139"/>
      <c r="AU8" s="139"/>
      <c r="AV8" s="139"/>
      <c r="AW8" s="139"/>
      <c r="AX8" s="139"/>
      <c r="AY8" s="139"/>
      <c r="AZ8" s="139"/>
      <c r="BA8" s="139"/>
      <c r="BB8" s="139"/>
      <c r="BC8" s="139"/>
      <c r="BD8" s="139"/>
      <c r="BE8" s="139"/>
      <c r="BF8" s="139"/>
      <c r="BG8" s="139"/>
      <c r="BH8" s="139"/>
      <c r="BI8" s="139"/>
      <c r="BJ8" s="139"/>
      <c r="BK8" s="139"/>
      <c r="BL8" s="139"/>
      <c r="BM8" s="139"/>
      <c r="BR8" s="141"/>
    </row>
    <row r="9" spans="1:94" s="140" customFormat="1" ht="28.2" customHeight="1" x14ac:dyDescent="0.25">
      <c r="A9" s="157"/>
      <c r="B9" s="158"/>
      <c r="C9" s="158"/>
      <c r="D9" s="158"/>
      <c r="E9" s="158"/>
      <c r="F9" s="158"/>
      <c r="G9" s="1744" t="s">
        <v>2173</v>
      </c>
      <c r="H9" s="1745"/>
      <c r="I9" s="1745"/>
      <c r="J9" s="1745"/>
      <c r="K9" s="1746"/>
      <c r="N9" s="139"/>
      <c r="O9" s="139"/>
      <c r="P9" s="160"/>
      <c r="Q9" s="139"/>
      <c r="R9" s="139"/>
      <c r="S9" s="139"/>
      <c r="T9" s="139"/>
      <c r="U9" s="139"/>
      <c r="V9" s="139"/>
      <c r="W9" s="139"/>
      <c r="X9" s="139"/>
      <c r="Y9" s="139"/>
      <c r="Z9" s="139"/>
      <c r="AA9" s="139"/>
      <c r="AB9" s="139"/>
      <c r="AC9" s="139"/>
      <c r="AD9" s="139"/>
      <c r="AE9" s="139"/>
      <c r="AF9" s="139"/>
      <c r="AG9" s="139"/>
      <c r="AH9" s="139"/>
      <c r="AI9" s="139"/>
      <c r="AJ9" s="139"/>
      <c r="AK9" s="139"/>
      <c r="AL9" s="139"/>
      <c r="AM9" s="139"/>
      <c r="AN9" s="139"/>
      <c r="AO9" s="139"/>
      <c r="AP9" s="139"/>
      <c r="AQ9" s="139"/>
      <c r="AR9" s="139"/>
      <c r="AS9" s="139"/>
      <c r="AT9" s="139"/>
      <c r="AU9" s="139"/>
      <c r="AV9" s="139"/>
      <c r="AW9" s="139"/>
      <c r="AX9" s="139"/>
      <c r="AY9" s="139"/>
      <c r="AZ9" s="139"/>
      <c r="BA9" s="139"/>
      <c r="BB9" s="139"/>
      <c r="BC9" s="139"/>
      <c r="BD9" s="139"/>
      <c r="BE9" s="139"/>
      <c r="BF9" s="139"/>
      <c r="BG9" s="139"/>
      <c r="BH9" s="139"/>
      <c r="BI9" s="139"/>
      <c r="BJ9" s="139"/>
      <c r="BK9" s="139"/>
      <c r="BL9" s="139"/>
      <c r="BM9" s="139"/>
      <c r="BR9" s="141"/>
      <c r="BS9" s="140" t="s">
        <v>3230</v>
      </c>
    </row>
    <row r="10" spans="1:94" s="161" customFormat="1" ht="40.200000000000003" thickBot="1" x14ac:dyDescent="0.35">
      <c r="A10" s="157"/>
      <c r="B10" s="158"/>
      <c r="C10" s="158"/>
      <c r="D10" s="158"/>
      <c r="E10" s="158"/>
      <c r="F10" s="158"/>
      <c r="G10" s="1747"/>
      <c r="H10" s="1748"/>
      <c r="I10" s="1748"/>
      <c r="J10" s="1748"/>
      <c r="K10" s="1749"/>
      <c r="M10" s="143" t="s">
        <v>2174</v>
      </c>
      <c r="N10" s="162">
        <f>'2. Roles &amp; Pricing'!E166</f>
        <v>0</v>
      </c>
      <c r="O10" s="163">
        <f>N10+7</f>
        <v>7</v>
      </c>
      <c r="P10" s="163">
        <f t="shared" ref="P10:V10" si="0">O10+7</f>
        <v>14</v>
      </c>
      <c r="Q10" s="163">
        <f t="shared" si="0"/>
        <v>21</v>
      </c>
      <c r="R10" s="163">
        <f t="shared" si="0"/>
        <v>28</v>
      </c>
      <c r="S10" s="163">
        <f t="shared" si="0"/>
        <v>35</v>
      </c>
      <c r="T10" s="163">
        <f t="shared" si="0"/>
        <v>42</v>
      </c>
      <c r="U10" s="163">
        <f t="shared" si="0"/>
        <v>49</v>
      </c>
      <c r="V10" s="163">
        <f t="shared" si="0"/>
        <v>56</v>
      </c>
      <c r="W10" s="163">
        <f>V10+7</f>
        <v>63</v>
      </c>
      <c r="X10" s="163">
        <f t="shared" ref="X10" si="1">W10+7</f>
        <v>70</v>
      </c>
      <c r="Y10" s="163">
        <f t="shared" ref="Y10" si="2">X10+7</f>
        <v>77</v>
      </c>
      <c r="Z10" s="163">
        <f t="shared" ref="Z10" si="3">Y10+7</f>
        <v>84</v>
      </c>
      <c r="AA10" s="163">
        <f t="shared" ref="AA10" si="4">Z10+7</f>
        <v>91</v>
      </c>
      <c r="AB10" s="163">
        <f t="shared" ref="AB10" si="5">AA10+7</f>
        <v>98</v>
      </c>
      <c r="AC10" s="163">
        <f t="shared" ref="AC10" si="6">AB10+7</f>
        <v>105</v>
      </c>
      <c r="AD10" s="163">
        <f t="shared" ref="AD10" si="7">AC10+7</f>
        <v>112</v>
      </c>
      <c r="AE10" s="163">
        <f t="shared" ref="AE10" si="8">AD10+7</f>
        <v>119</v>
      </c>
      <c r="AF10" s="163">
        <f t="shared" ref="AF10" si="9">AE10+7</f>
        <v>126</v>
      </c>
      <c r="AG10" s="163">
        <f t="shared" ref="AG10" si="10">AF10+7</f>
        <v>133</v>
      </c>
      <c r="AH10" s="163">
        <f t="shared" ref="AH10" si="11">AG10+7</f>
        <v>140</v>
      </c>
      <c r="AI10" s="163">
        <f t="shared" ref="AI10" si="12">AH10+7</f>
        <v>147</v>
      </c>
      <c r="AJ10" s="163">
        <f t="shared" ref="AJ10" si="13">AI10+7</f>
        <v>154</v>
      </c>
      <c r="AK10" s="163">
        <f t="shared" ref="AK10" si="14">AJ10+7</f>
        <v>161</v>
      </c>
      <c r="AL10" s="163">
        <f t="shared" ref="AL10" si="15">AK10+7</f>
        <v>168</v>
      </c>
      <c r="AM10" s="163">
        <f t="shared" ref="AM10" si="16">AL10+7</f>
        <v>175</v>
      </c>
      <c r="AN10" s="163">
        <f t="shared" ref="AN10" si="17">AM10+7</f>
        <v>182</v>
      </c>
      <c r="AO10" s="163">
        <f t="shared" ref="AO10" si="18">AN10+7</f>
        <v>189</v>
      </c>
      <c r="AP10" s="163">
        <f t="shared" ref="AP10" si="19">AO10+7</f>
        <v>196</v>
      </c>
      <c r="AQ10" s="163">
        <f t="shared" ref="AQ10" si="20">AP10+7</f>
        <v>203</v>
      </c>
      <c r="AR10" s="163">
        <f t="shared" ref="AR10" si="21">AQ10+7</f>
        <v>210</v>
      </c>
      <c r="AS10" s="163">
        <f t="shared" ref="AS10" si="22">AR10+7</f>
        <v>217</v>
      </c>
      <c r="AT10" s="163">
        <f t="shared" ref="AT10" si="23">AS10+7</f>
        <v>224</v>
      </c>
      <c r="AU10" s="163">
        <f t="shared" ref="AU10" si="24">AT10+7</f>
        <v>231</v>
      </c>
      <c r="AV10" s="163">
        <f t="shared" ref="AV10" si="25">AU10+7</f>
        <v>238</v>
      </c>
      <c r="AW10" s="163">
        <f t="shared" ref="AW10" si="26">AV10+7</f>
        <v>245</v>
      </c>
      <c r="AX10" s="163">
        <f t="shared" ref="AX10" si="27">AW10+7</f>
        <v>252</v>
      </c>
      <c r="AY10" s="163">
        <f t="shared" ref="AY10" si="28">AX10+7</f>
        <v>259</v>
      </c>
      <c r="AZ10" s="163">
        <f t="shared" ref="AZ10" si="29">AY10+7</f>
        <v>266</v>
      </c>
      <c r="BA10" s="163">
        <f t="shared" ref="BA10" si="30">AZ10+7</f>
        <v>273</v>
      </c>
      <c r="BB10" s="163">
        <f t="shared" ref="BB10" si="31">BA10+7</f>
        <v>280</v>
      </c>
      <c r="BC10" s="163">
        <f t="shared" ref="BC10" si="32">BB10+7</f>
        <v>287</v>
      </c>
      <c r="BD10" s="163">
        <f t="shared" ref="BD10" si="33">BC10+7</f>
        <v>294</v>
      </c>
      <c r="BE10" s="163">
        <f t="shared" ref="BE10" si="34">BD10+7</f>
        <v>301</v>
      </c>
      <c r="BF10" s="163">
        <f t="shared" ref="BF10" si="35">BE10+7</f>
        <v>308</v>
      </c>
      <c r="BG10" s="163">
        <f t="shared" ref="BG10" si="36">BF10+7</f>
        <v>315</v>
      </c>
      <c r="BH10" s="163">
        <f t="shared" ref="BH10" si="37">BG10+7</f>
        <v>322</v>
      </c>
      <c r="BI10" s="163">
        <f t="shared" ref="BI10" si="38">BH10+7</f>
        <v>329</v>
      </c>
      <c r="BJ10" s="163">
        <f t="shared" ref="BJ10" si="39">BI10+7</f>
        <v>336</v>
      </c>
      <c r="BK10" s="163">
        <f t="shared" ref="BK10" si="40">BJ10+7</f>
        <v>343</v>
      </c>
      <c r="BL10" s="163">
        <f t="shared" ref="BL10" si="41">BK10+7</f>
        <v>350</v>
      </c>
      <c r="BM10" s="163">
        <f t="shared" ref="BM10" si="42">BL10+7</f>
        <v>357</v>
      </c>
      <c r="BR10" s="164"/>
    </row>
    <row r="11" spans="1:94" s="140" customFormat="1" ht="28.2" thickBot="1" x14ac:dyDescent="0.3">
      <c r="A11" s="157"/>
      <c r="B11" s="158"/>
      <c r="C11" s="158"/>
      <c r="D11" s="158"/>
      <c r="E11" s="158"/>
      <c r="F11" s="158"/>
      <c r="G11" s="1750"/>
      <c r="H11" s="1751"/>
      <c r="I11" s="1751"/>
      <c r="J11" s="1751"/>
      <c r="K11" s="1752"/>
      <c r="M11" s="143" t="s">
        <v>1965</v>
      </c>
      <c r="N11" s="165">
        <f>N10+6-WEEKDAY(N10)</f>
        <v>-1</v>
      </c>
      <c r="O11" s="165">
        <f t="shared" ref="O11:BM11" si="43">O10+6-WEEKDAY(O10)</f>
        <v>6</v>
      </c>
      <c r="P11" s="165">
        <f t="shared" si="43"/>
        <v>13</v>
      </c>
      <c r="Q11" s="165">
        <f t="shared" si="43"/>
        <v>20</v>
      </c>
      <c r="R11" s="165">
        <f t="shared" si="43"/>
        <v>27</v>
      </c>
      <c r="S11" s="165">
        <f t="shared" si="43"/>
        <v>34</v>
      </c>
      <c r="T11" s="165">
        <f t="shared" si="43"/>
        <v>41</v>
      </c>
      <c r="U11" s="165">
        <f t="shared" si="43"/>
        <v>48</v>
      </c>
      <c r="V11" s="165">
        <f t="shared" si="43"/>
        <v>55</v>
      </c>
      <c r="W11" s="165">
        <f t="shared" si="43"/>
        <v>62</v>
      </c>
      <c r="X11" s="165">
        <f t="shared" si="43"/>
        <v>69</v>
      </c>
      <c r="Y11" s="165">
        <f t="shared" si="43"/>
        <v>76</v>
      </c>
      <c r="Z11" s="165">
        <f t="shared" si="43"/>
        <v>83</v>
      </c>
      <c r="AA11" s="165">
        <f t="shared" si="43"/>
        <v>90</v>
      </c>
      <c r="AB11" s="165">
        <f t="shared" si="43"/>
        <v>97</v>
      </c>
      <c r="AC11" s="165">
        <f t="shared" si="43"/>
        <v>104</v>
      </c>
      <c r="AD11" s="165">
        <f t="shared" si="43"/>
        <v>111</v>
      </c>
      <c r="AE11" s="165">
        <f t="shared" si="43"/>
        <v>118</v>
      </c>
      <c r="AF11" s="165">
        <f t="shared" si="43"/>
        <v>125</v>
      </c>
      <c r="AG11" s="165">
        <f t="shared" si="43"/>
        <v>132</v>
      </c>
      <c r="AH11" s="165">
        <f t="shared" ref="AH11:AR11" si="44">AH10+6-WEEKDAY(AH10)</f>
        <v>139</v>
      </c>
      <c r="AI11" s="165">
        <f t="shared" si="44"/>
        <v>146</v>
      </c>
      <c r="AJ11" s="165">
        <f t="shared" si="44"/>
        <v>153</v>
      </c>
      <c r="AK11" s="165">
        <f t="shared" si="44"/>
        <v>160</v>
      </c>
      <c r="AL11" s="165">
        <f t="shared" si="44"/>
        <v>167</v>
      </c>
      <c r="AM11" s="165">
        <f t="shared" si="44"/>
        <v>174</v>
      </c>
      <c r="AN11" s="165">
        <f t="shared" si="44"/>
        <v>181</v>
      </c>
      <c r="AO11" s="165">
        <f t="shared" si="44"/>
        <v>188</v>
      </c>
      <c r="AP11" s="165">
        <f t="shared" si="44"/>
        <v>195</v>
      </c>
      <c r="AQ11" s="165">
        <f t="shared" si="44"/>
        <v>202</v>
      </c>
      <c r="AR11" s="165">
        <f t="shared" si="44"/>
        <v>209</v>
      </c>
      <c r="AS11" s="165">
        <f t="shared" si="43"/>
        <v>216</v>
      </c>
      <c r="AT11" s="165">
        <f t="shared" ref="AT11:BC11" si="45">AT10+6-WEEKDAY(AT10)</f>
        <v>223</v>
      </c>
      <c r="AU11" s="165">
        <f t="shared" si="45"/>
        <v>230</v>
      </c>
      <c r="AV11" s="165">
        <f t="shared" si="45"/>
        <v>237</v>
      </c>
      <c r="AW11" s="165">
        <f t="shared" si="45"/>
        <v>244</v>
      </c>
      <c r="AX11" s="165">
        <f t="shared" si="45"/>
        <v>251</v>
      </c>
      <c r="AY11" s="165">
        <f t="shared" si="45"/>
        <v>258</v>
      </c>
      <c r="AZ11" s="165">
        <f t="shared" si="45"/>
        <v>265</v>
      </c>
      <c r="BA11" s="165">
        <f t="shared" si="45"/>
        <v>272</v>
      </c>
      <c r="BB11" s="165">
        <f t="shared" si="45"/>
        <v>279</v>
      </c>
      <c r="BC11" s="165">
        <f t="shared" si="45"/>
        <v>286</v>
      </c>
      <c r="BD11" s="165">
        <f t="shared" si="43"/>
        <v>293</v>
      </c>
      <c r="BE11" s="165">
        <f t="shared" si="43"/>
        <v>300</v>
      </c>
      <c r="BF11" s="165">
        <f t="shared" si="43"/>
        <v>307</v>
      </c>
      <c r="BG11" s="165">
        <f t="shared" si="43"/>
        <v>314</v>
      </c>
      <c r="BH11" s="165">
        <f t="shared" si="43"/>
        <v>321</v>
      </c>
      <c r="BI11" s="165">
        <f t="shared" si="43"/>
        <v>328</v>
      </c>
      <c r="BJ11" s="165">
        <f t="shared" si="43"/>
        <v>335</v>
      </c>
      <c r="BK11" s="165">
        <f t="shared" si="43"/>
        <v>342</v>
      </c>
      <c r="BL11" s="165">
        <f t="shared" si="43"/>
        <v>349</v>
      </c>
      <c r="BM11" s="165">
        <f t="shared" si="43"/>
        <v>356</v>
      </c>
      <c r="BR11" s="1753" t="s">
        <v>1966</v>
      </c>
    </row>
    <row r="12" spans="1:94" s="161" customFormat="1" ht="28.2" thickBot="1" x14ac:dyDescent="0.35">
      <c r="A12" s="157"/>
      <c r="B12" s="158"/>
      <c r="C12" s="158"/>
      <c r="D12" s="158"/>
      <c r="E12" s="158"/>
      <c r="F12" s="158"/>
      <c r="G12" s="1755" t="s">
        <v>1967</v>
      </c>
      <c r="H12" s="1756"/>
      <c r="I12" s="1756"/>
      <c r="J12" s="1756"/>
      <c r="K12" s="1757"/>
      <c r="L12" s="1761" t="s">
        <v>1</v>
      </c>
      <c r="M12" s="1762"/>
      <c r="N12" s="166" t="s">
        <v>1968</v>
      </c>
      <c r="O12" s="1765" t="s">
        <v>1969</v>
      </c>
      <c r="P12" s="1765"/>
      <c r="Q12" s="1766"/>
      <c r="R12" s="1767" t="s">
        <v>1970</v>
      </c>
      <c r="S12" s="1766"/>
      <c r="T12" s="1767" t="s">
        <v>1971</v>
      </c>
      <c r="U12" s="1766"/>
      <c r="V12" s="1767" t="s">
        <v>1972</v>
      </c>
      <c r="W12" s="1765"/>
      <c r="X12" s="1765"/>
      <c r="Y12" s="1765"/>
      <c r="Z12" s="1765"/>
      <c r="AA12" s="1765"/>
      <c r="AB12" s="1765"/>
      <c r="AC12" s="1765"/>
      <c r="AD12" s="1765"/>
      <c r="AE12" s="1765"/>
      <c r="AF12" s="1765"/>
      <c r="AG12" s="1765"/>
      <c r="AH12" s="1765"/>
      <c r="AI12" s="1765"/>
      <c r="AJ12" s="1765"/>
      <c r="AK12" s="1765"/>
      <c r="AL12" s="1765"/>
      <c r="AM12" s="1765"/>
      <c r="AN12" s="1765"/>
      <c r="AO12" s="1765"/>
      <c r="AP12" s="1765"/>
      <c r="AQ12" s="1765"/>
      <c r="AR12" s="1765"/>
      <c r="AS12" s="1766"/>
      <c r="AT12" s="1767" t="s">
        <v>1973</v>
      </c>
      <c r="AU12" s="1766"/>
      <c r="AV12" s="1767" t="s">
        <v>1974</v>
      </c>
      <c r="AW12" s="1766"/>
      <c r="AX12" s="1767" t="s">
        <v>1975</v>
      </c>
      <c r="AY12" s="1766"/>
      <c r="AZ12" s="1767" t="s">
        <v>1976</v>
      </c>
      <c r="BA12" s="1766"/>
      <c r="BB12" s="1767" t="s">
        <v>1977</v>
      </c>
      <c r="BC12" s="1766"/>
      <c r="BD12" s="1767" t="s">
        <v>1973</v>
      </c>
      <c r="BE12" s="1766"/>
      <c r="BF12" s="1767" t="s">
        <v>1974</v>
      </c>
      <c r="BG12" s="1766"/>
      <c r="BH12" s="1767" t="s">
        <v>1975</v>
      </c>
      <c r="BI12" s="1766"/>
      <c r="BJ12" s="1767" t="s">
        <v>1976</v>
      </c>
      <c r="BK12" s="1766"/>
      <c r="BL12" s="1767" t="s">
        <v>1977</v>
      </c>
      <c r="BM12" s="1766"/>
      <c r="BN12" s="161" t="s">
        <v>2201</v>
      </c>
      <c r="BO12" s="161" t="s">
        <v>2200</v>
      </c>
      <c r="BR12" s="1754"/>
      <c r="BS12" s="1775" t="s">
        <v>2175</v>
      </c>
      <c r="BT12" s="1776"/>
      <c r="BU12" s="167"/>
    </row>
    <row r="13" spans="1:94" s="161" customFormat="1" ht="28.2" thickBot="1" x14ac:dyDescent="0.35">
      <c r="A13" s="157"/>
      <c r="B13" s="158"/>
      <c r="C13" s="158"/>
      <c r="D13" s="158"/>
      <c r="E13" s="158"/>
      <c r="F13" s="158"/>
      <c r="G13" s="1758"/>
      <c r="H13" s="1759"/>
      <c r="I13" s="1759"/>
      <c r="J13" s="1759"/>
      <c r="K13" s="1760"/>
      <c r="L13" s="1763"/>
      <c r="M13" s="1764"/>
      <c r="N13" s="168" t="s">
        <v>1978</v>
      </c>
      <c r="O13" s="1779" t="s">
        <v>1979</v>
      </c>
      <c r="P13" s="1779"/>
      <c r="Q13" s="1780"/>
      <c r="R13" s="1768" t="s">
        <v>1980</v>
      </c>
      <c r="S13" s="1769"/>
      <c r="T13" s="1768" t="s">
        <v>1980</v>
      </c>
      <c r="U13" s="1769"/>
      <c r="V13" s="1768" t="s">
        <v>1980</v>
      </c>
      <c r="W13" s="1781"/>
      <c r="X13" s="1781"/>
      <c r="Y13" s="1781"/>
      <c r="Z13" s="1781"/>
      <c r="AA13" s="1781"/>
      <c r="AB13" s="1781"/>
      <c r="AC13" s="1781"/>
      <c r="AD13" s="1781"/>
      <c r="AE13" s="1781"/>
      <c r="AF13" s="1781"/>
      <c r="AG13" s="1781"/>
      <c r="AH13" s="1781"/>
      <c r="AI13" s="1781"/>
      <c r="AJ13" s="1781"/>
      <c r="AK13" s="1781"/>
      <c r="AL13" s="1781"/>
      <c r="AM13" s="1781"/>
      <c r="AN13" s="1781"/>
      <c r="AO13" s="1781"/>
      <c r="AP13" s="1781"/>
      <c r="AQ13" s="1781"/>
      <c r="AR13" s="1781"/>
      <c r="AS13" s="1769"/>
      <c r="AT13" s="1768" t="s">
        <v>1980</v>
      </c>
      <c r="AU13" s="1769"/>
      <c r="AV13" s="1768" t="s">
        <v>1980</v>
      </c>
      <c r="AW13" s="1769"/>
      <c r="AX13" s="1768" t="s">
        <v>1980</v>
      </c>
      <c r="AY13" s="1769"/>
      <c r="AZ13" s="1770" t="s">
        <v>1981</v>
      </c>
      <c r="BA13" s="1771"/>
      <c r="BB13" s="1770" t="s">
        <v>1982</v>
      </c>
      <c r="BC13" s="1771"/>
      <c r="BD13" s="1768" t="s">
        <v>1980</v>
      </c>
      <c r="BE13" s="1769"/>
      <c r="BF13" s="1768" t="s">
        <v>1980</v>
      </c>
      <c r="BG13" s="1769"/>
      <c r="BH13" s="1768" t="s">
        <v>1980</v>
      </c>
      <c r="BI13" s="1769"/>
      <c r="BJ13" s="1770" t="s">
        <v>1981</v>
      </c>
      <c r="BK13" s="1771"/>
      <c r="BL13" s="1770" t="s">
        <v>1982</v>
      </c>
      <c r="BM13" s="1771"/>
      <c r="BN13" s="1782" t="s">
        <v>1983</v>
      </c>
      <c r="BO13" s="1783"/>
      <c r="BP13" s="1783"/>
      <c r="BQ13" s="1783"/>
      <c r="BR13" s="1784"/>
      <c r="BS13" s="1777"/>
      <c r="BT13" s="1778"/>
      <c r="BU13" s="167"/>
    </row>
    <row r="14" spans="1:94" s="191" customFormat="1" ht="40.200000000000003" thickBot="1" x14ac:dyDescent="0.35">
      <c r="A14" s="169" t="s">
        <v>1984</v>
      </c>
      <c r="B14" s="170" t="s">
        <v>1985</v>
      </c>
      <c r="C14" s="170" t="s">
        <v>1986</v>
      </c>
      <c r="D14" s="170" t="s">
        <v>1987</v>
      </c>
      <c r="E14" s="170" t="s">
        <v>1988</v>
      </c>
      <c r="F14" s="170" t="s">
        <v>1989</v>
      </c>
      <c r="G14" s="171" t="s">
        <v>245</v>
      </c>
      <c r="H14" s="172" t="s">
        <v>1990</v>
      </c>
      <c r="I14" s="173" t="s">
        <v>1162</v>
      </c>
      <c r="J14" s="173" t="s">
        <v>1991</v>
      </c>
      <c r="K14" s="174" t="s">
        <v>1963</v>
      </c>
      <c r="L14" s="175" t="s">
        <v>1992</v>
      </c>
      <c r="M14" s="176" t="s">
        <v>1993</v>
      </c>
      <c r="N14" s="177" t="s">
        <v>1994</v>
      </c>
      <c r="O14" s="178" t="s">
        <v>1995</v>
      </c>
      <c r="P14" s="179" t="s">
        <v>1996</v>
      </c>
      <c r="Q14" s="180" t="s">
        <v>1997</v>
      </c>
      <c r="R14" s="181" t="s">
        <v>1998</v>
      </c>
      <c r="S14" s="180" t="s">
        <v>1999</v>
      </c>
      <c r="T14" s="181" t="s">
        <v>2000</v>
      </c>
      <c r="U14" s="180" t="s">
        <v>2001</v>
      </c>
      <c r="V14" s="181" t="s">
        <v>2002</v>
      </c>
      <c r="W14" s="180" t="s">
        <v>2003</v>
      </c>
      <c r="X14" s="181" t="s">
        <v>2004</v>
      </c>
      <c r="Y14" s="180" t="s">
        <v>2005</v>
      </c>
      <c r="Z14" s="181" t="s">
        <v>2006</v>
      </c>
      <c r="AA14" s="180" t="s">
        <v>2007</v>
      </c>
      <c r="AB14" s="181" t="s">
        <v>2008</v>
      </c>
      <c r="AC14" s="180" t="s">
        <v>2009</v>
      </c>
      <c r="AD14" s="181" t="s">
        <v>2010</v>
      </c>
      <c r="AE14" s="180" t="s">
        <v>2011</v>
      </c>
      <c r="AF14" s="181" t="s">
        <v>2012</v>
      </c>
      <c r="AG14" s="180" t="s">
        <v>2013</v>
      </c>
      <c r="AH14" s="181" t="s">
        <v>2203</v>
      </c>
      <c r="AI14" s="180" t="s">
        <v>2204</v>
      </c>
      <c r="AJ14" s="181" t="s">
        <v>2205</v>
      </c>
      <c r="AK14" s="180" t="s">
        <v>2206</v>
      </c>
      <c r="AL14" s="181" t="s">
        <v>2207</v>
      </c>
      <c r="AM14" s="180" t="s">
        <v>2208</v>
      </c>
      <c r="AN14" s="181" t="s">
        <v>2209</v>
      </c>
      <c r="AO14" s="180" t="s">
        <v>2210</v>
      </c>
      <c r="AP14" s="181" t="s">
        <v>2211</v>
      </c>
      <c r="AQ14" s="180" t="s">
        <v>2212</v>
      </c>
      <c r="AR14" s="181" t="s">
        <v>2213</v>
      </c>
      <c r="AS14" s="180" t="s">
        <v>2214</v>
      </c>
      <c r="AT14" s="181" t="s">
        <v>2215</v>
      </c>
      <c r="AU14" s="180" t="s">
        <v>2216</v>
      </c>
      <c r="AV14" s="181" t="s">
        <v>2217</v>
      </c>
      <c r="AW14" s="180" t="s">
        <v>2218</v>
      </c>
      <c r="AX14" s="181" t="s">
        <v>2219</v>
      </c>
      <c r="AY14" s="180" t="s">
        <v>2220</v>
      </c>
      <c r="AZ14" s="181" t="s">
        <v>2221</v>
      </c>
      <c r="BA14" s="180" t="s">
        <v>2222</v>
      </c>
      <c r="BB14" s="181" t="s">
        <v>2223</v>
      </c>
      <c r="BC14" s="180" t="s">
        <v>2224</v>
      </c>
      <c r="BD14" s="181" t="s">
        <v>2225</v>
      </c>
      <c r="BE14" s="180" t="s">
        <v>2226</v>
      </c>
      <c r="BF14" s="181" t="s">
        <v>2227</v>
      </c>
      <c r="BG14" s="180" t="s">
        <v>2228</v>
      </c>
      <c r="BH14" s="181" t="s">
        <v>2229</v>
      </c>
      <c r="BI14" s="180" t="s">
        <v>2230</v>
      </c>
      <c r="BJ14" s="181" t="s">
        <v>2231</v>
      </c>
      <c r="BK14" s="180" t="s">
        <v>2232</v>
      </c>
      <c r="BL14" s="181" t="s">
        <v>2233</v>
      </c>
      <c r="BM14" s="180" t="s">
        <v>2234</v>
      </c>
      <c r="BN14" s="182" t="s">
        <v>2014</v>
      </c>
      <c r="BO14" s="183" t="s">
        <v>2015</v>
      </c>
      <c r="BP14" s="184" t="s">
        <v>2016</v>
      </c>
      <c r="BQ14" s="184" t="s">
        <v>1989</v>
      </c>
      <c r="BR14" s="185" t="s">
        <v>174</v>
      </c>
      <c r="BS14" s="186" t="s">
        <v>2176</v>
      </c>
      <c r="BT14" s="187" t="s">
        <v>2017</v>
      </c>
      <c r="BU14" s="188" t="s">
        <v>2018</v>
      </c>
      <c r="BV14" s="189" t="s">
        <v>2177</v>
      </c>
      <c r="BW14" s="190" t="s">
        <v>2019</v>
      </c>
    </row>
    <row r="15" spans="1:94" s="204" customFormat="1" ht="21" thickBot="1" x14ac:dyDescent="0.35">
      <c r="A15" s="192">
        <v>1</v>
      </c>
      <c r="B15" s="193">
        <v>3</v>
      </c>
      <c r="C15" s="193" t="str">
        <f t="shared" ref="C15:C32" si="46">G15&amp;"__"&amp;H15</f>
        <v>Acquia__Acquia</v>
      </c>
      <c r="D15" s="193" t="str">
        <f t="shared" ref="D15:D32" si="47">G15&amp;"__"&amp;H15&amp;"__"&amp;I15</f>
        <v>Acquia__Acquia__Acquia CDP</v>
      </c>
      <c r="E15" s="193">
        <v>21</v>
      </c>
      <c r="F15" s="193">
        <v>8</v>
      </c>
      <c r="G15" s="194" t="str">
        <f>'2. Roles &amp; Pricing'!D48</f>
        <v>Acquia</v>
      </c>
      <c r="H15" s="194" t="str">
        <f>'2. Roles &amp; Pricing'!E48</f>
        <v>Acquia</v>
      </c>
      <c r="I15" s="194" t="str">
        <f>'2. Roles &amp; Pricing'!F48</f>
        <v>Acquia CDP</v>
      </c>
      <c r="J15" s="196" t="str">
        <f>'2. Roles &amp; Pricing'!K48</f>
        <v>Data Analyst</v>
      </c>
      <c r="K15" s="197" t="str">
        <f>'2. Roles &amp; Pricing'!W48</f>
        <v>Onshore</v>
      </c>
      <c r="L15" s="195"/>
      <c r="M15" s="196"/>
      <c r="N15" s="707">
        <f>IFERROR('2. Roles &amp; Pricing'!F170/40,"")</f>
        <v>1</v>
      </c>
      <c r="O15" s="707">
        <f>IFERROR('2. Roles &amp; Pricing'!I170/40,"")</f>
        <v>1</v>
      </c>
      <c r="P15" s="707">
        <f>IFERROR('2. Roles &amp; Pricing'!K170/40,"")</f>
        <v>1</v>
      </c>
      <c r="Q15" s="707">
        <f>IFERROR('2. Roles &amp; Pricing'!L170/40,"")</f>
        <v>1</v>
      </c>
      <c r="R15" s="707">
        <f>IFERROR('2. Roles &amp; Pricing'!M170/40,"")</f>
        <v>1</v>
      </c>
      <c r="S15" s="1620">
        <f>IFERROR('2. Roles &amp; Pricing'!N170/40,"")</f>
        <v>1</v>
      </c>
      <c r="T15" s="707">
        <f>IFERROR('2. Roles &amp; Pricing'!O170/40,"")</f>
        <v>1</v>
      </c>
      <c r="U15" s="709">
        <f>IFERROR('2. Roles &amp; Pricing'!P170/40,"")</f>
        <v>1</v>
      </c>
      <c r="V15" s="709">
        <f>IFERROR('2. Roles &amp; Pricing'!Q170/40,"")</f>
        <v>1</v>
      </c>
      <c r="W15" s="709">
        <f>IFERROR('2. Roles &amp; Pricing'!R170/40,"")</f>
        <v>1</v>
      </c>
      <c r="X15" s="708">
        <f>IFERROR('2. Roles &amp; Pricing'!S170/40,"")</f>
        <v>1</v>
      </c>
      <c r="Y15" s="708">
        <f>IFERROR('2. Roles &amp; Pricing'!T170/40,"")</f>
        <v>1</v>
      </c>
      <c r="Z15" s="708">
        <f>IFERROR('2. Roles &amp; Pricing'!U170/40,"")</f>
        <v>1</v>
      </c>
      <c r="AA15" s="708">
        <f>IFERROR('2. Roles &amp; Pricing'!Y170/40,"")</f>
        <v>1</v>
      </c>
      <c r="AB15" s="708">
        <f>IFERROR('2. Roles &amp; Pricing'!Z170/40,"")</f>
        <v>1</v>
      </c>
      <c r="AC15" s="708">
        <f>IFERROR('2. Roles &amp; Pricing'!AA170/40,"")</f>
        <v>1</v>
      </c>
      <c r="AD15" s="708">
        <f>IFERROR('2. Roles &amp; Pricing'!AB170/40,"")</f>
        <v>1</v>
      </c>
      <c r="AE15" s="708">
        <f>IFERROR('2. Roles &amp; Pricing'!AG170/40,"")</f>
        <v>1</v>
      </c>
      <c r="AF15" s="708">
        <f>IFERROR('2. Roles &amp; Pricing'!AH170/40,"")</f>
        <v>1</v>
      </c>
      <c r="AG15" s="708">
        <f>IFERROR('2. Roles &amp; Pricing'!AI170/40,"")</f>
        <v>1</v>
      </c>
      <c r="AH15" s="708">
        <f>IFERROR('2. Roles &amp; Pricing'!AJ170/40,"")</f>
        <v>1</v>
      </c>
      <c r="AI15" s="708">
        <f>IFERROR('2. Roles &amp; Pricing'!AK170/40,"")</f>
        <v>1</v>
      </c>
      <c r="AJ15" s="708">
        <f>IFERROR('2. Roles &amp; Pricing'!AL170/40,"")</f>
        <v>1</v>
      </c>
      <c r="AK15" s="708">
        <f>IFERROR('2. Roles &amp; Pricing'!AM170/40,"")</f>
        <v>1</v>
      </c>
      <c r="AL15" s="708">
        <f>IFERROR('2. Roles &amp; Pricing'!AN170/40,"")</f>
        <v>1</v>
      </c>
      <c r="AM15" s="708">
        <f>IFERROR('2. Roles &amp; Pricing'!AO170/40,"")</f>
        <v>1</v>
      </c>
      <c r="AN15" s="708">
        <f>IFERROR('2. Roles &amp; Pricing'!AP170/40,"")</f>
        <v>1</v>
      </c>
      <c r="AO15" s="708">
        <f>IFERROR('2. Roles &amp; Pricing'!AQ170/40,"")</f>
        <v>1</v>
      </c>
      <c r="AP15" s="708">
        <f>IFERROR('2. Roles &amp; Pricing'!AR170/40,"")</f>
        <v>1</v>
      </c>
      <c r="AQ15" s="708">
        <f>IFERROR('2. Roles &amp; Pricing'!AS170/40,"")</f>
        <v>1</v>
      </c>
      <c r="AR15" s="708" t="str">
        <f>IFERROR('2. Roles &amp; Pricing'!AT170/40,"")</f>
        <v/>
      </c>
      <c r="AS15" s="708" t="str">
        <f>IFERROR('2. Roles &amp; Pricing'!AU170/40,"")</f>
        <v/>
      </c>
      <c r="AT15" s="708" t="str">
        <f>IFERROR('2. Roles &amp; Pricing'!AV170/40,"")</f>
        <v/>
      </c>
      <c r="AU15" s="708" t="str">
        <f>IFERROR('2. Roles &amp; Pricing'!AW170/40,"")</f>
        <v/>
      </c>
      <c r="AV15" s="708" t="str">
        <f>IFERROR('2. Roles &amp; Pricing'!AX170/40,"")</f>
        <v/>
      </c>
      <c r="AW15" s="708" t="str">
        <f>IFERROR('2. Roles &amp; Pricing'!AY170/40,"")</f>
        <v/>
      </c>
      <c r="AX15" s="708" t="str">
        <f>IFERROR('2. Roles &amp; Pricing'!AZ170/40,"")</f>
        <v/>
      </c>
      <c r="AY15" s="708" t="str">
        <f>IFERROR('2. Roles &amp; Pricing'!BA170/40,"")</f>
        <v/>
      </c>
      <c r="AZ15" s="708" t="str">
        <f>IFERROR('2. Roles &amp; Pricing'!BB170/40,"")</f>
        <v/>
      </c>
      <c r="BA15" s="708" t="str">
        <f>IFERROR('2. Roles &amp; Pricing'!BC170/40,"")</f>
        <v/>
      </c>
      <c r="BB15" s="708" t="str">
        <f>IFERROR('2. Roles &amp; Pricing'!BD170/40,"")</f>
        <v/>
      </c>
      <c r="BC15" s="708" t="str">
        <f>IFERROR('2. Roles &amp; Pricing'!BE170/40,"")</f>
        <v/>
      </c>
      <c r="BD15" s="708" t="str">
        <f>IFERROR('2. Roles &amp; Pricing'!BF170/40,"")</f>
        <v/>
      </c>
      <c r="BE15" s="708" t="str">
        <f>IFERROR('2. Roles &amp; Pricing'!BG170/40,"")</f>
        <v/>
      </c>
      <c r="BF15" s="708" t="str">
        <f>IFERROR('2. Roles &amp; Pricing'!BH170/40,"")</f>
        <v/>
      </c>
      <c r="BG15" s="708" t="str">
        <f>IFERROR('2. Roles &amp; Pricing'!BI170/40,"")</f>
        <v/>
      </c>
      <c r="BH15" s="708" t="str">
        <f>IFERROR('2. Roles &amp; Pricing'!BJ170/40,"")</f>
        <v/>
      </c>
      <c r="BI15" s="708" t="str">
        <f>IFERROR('2. Roles &amp; Pricing'!BK170/40,"")</f>
        <v/>
      </c>
      <c r="BJ15" s="708" t="str">
        <f>IFERROR('2. Roles &amp; Pricing'!BL170/40,"")</f>
        <v/>
      </c>
      <c r="BK15" s="708" t="str">
        <f>IFERROR('2. Roles &amp; Pricing'!BM170/40,"")</f>
        <v/>
      </c>
      <c r="BL15" s="708" t="str">
        <f>IFERROR('2. Roles &amp; Pricing'!BN170/40,"")</f>
        <v/>
      </c>
      <c r="BM15" s="708" t="str">
        <f>IFERROR('2. Roles &amp; Pricing'!BO170/40,"")</f>
        <v/>
      </c>
      <c r="BN15" s="626">
        <f>SUM(N15:BM15)</f>
        <v>30</v>
      </c>
      <c r="BO15" s="198">
        <f>+BN15*5</f>
        <v>150</v>
      </c>
      <c r="BP15" s="199">
        <f>'2. Roles &amp; Pricing'!D291</f>
        <v>192000</v>
      </c>
      <c r="BQ15" s="199">
        <f>'2. Roles &amp; Pricing'!F291</f>
        <v>102000</v>
      </c>
      <c r="BR15" s="623">
        <f>'2. Roles &amp; Pricing'!F291</f>
        <v>102000</v>
      </c>
      <c r="BS15" s="200">
        <f>'2. Roles &amp; Pricing'!I291</f>
        <v>160</v>
      </c>
      <c r="BT15" s="201">
        <f>BP15</f>
        <v>192000</v>
      </c>
      <c r="BU15" s="202">
        <f t="shared" ref="BU15:BU32" si="48">BO15*8</f>
        <v>1200</v>
      </c>
      <c r="BV15" s="203"/>
      <c r="BW15" s="197"/>
      <c r="BX15" s="144"/>
      <c r="BY15" s="144"/>
      <c r="BZ15" s="144"/>
      <c r="CA15" s="144"/>
      <c r="CB15" s="144"/>
      <c r="CC15" s="144"/>
      <c r="CD15" s="144"/>
      <c r="CE15" s="144"/>
      <c r="CF15" s="144"/>
      <c r="CG15" s="144"/>
      <c r="CH15" s="144"/>
      <c r="CI15" s="144"/>
      <c r="CJ15" s="144"/>
      <c r="CK15" s="144"/>
      <c r="CL15" s="144"/>
      <c r="CM15" s="144"/>
      <c r="CN15" s="144"/>
      <c r="CO15" s="144"/>
      <c r="CP15" s="144"/>
    </row>
    <row r="16" spans="1:94" s="204" customFormat="1" ht="21" thickBot="1" x14ac:dyDescent="0.35">
      <c r="A16" s="205">
        <v>2</v>
      </c>
      <c r="B16" s="206">
        <v>3</v>
      </c>
      <c r="C16" s="207" t="str">
        <f t="shared" si="46"/>
        <v>Acquia__Acquia</v>
      </c>
      <c r="D16" s="207" t="str">
        <f t="shared" si="47"/>
        <v>Acquia__Acquia__Acquia CDP</v>
      </c>
      <c r="E16" s="207">
        <v>21</v>
      </c>
      <c r="F16" s="207">
        <v>8</v>
      </c>
      <c r="G16" s="208" t="str">
        <f>'2. Roles &amp; Pricing'!D49</f>
        <v>Acquia</v>
      </c>
      <c r="H16" s="209" t="str">
        <f>'2. Roles &amp; Pricing'!E49</f>
        <v>Acquia</v>
      </c>
      <c r="I16" s="210" t="str">
        <f>'2. Roles &amp; Pricing'!F49</f>
        <v>Acquia CDP</v>
      </c>
      <c r="J16" s="210" t="str">
        <f>'2. Roles &amp; Pricing'!K49</f>
        <v>Data Analyst</v>
      </c>
      <c r="K16" s="197" t="str">
        <f>'2. Roles &amp; Pricing'!W49</f>
        <v>Offshore</v>
      </c>
      <c r="L16" s="209"/>
      <c r="M16" s="210"/>
      <c r="N16" s="707">
        <f>IFERROR('2. Roles &amp; Pricing'!F171/40,"")</f>
        <v>0</v>
      </c>
      <c r="O16" s="707">
        <f>IFERROR('2. Roles &amp; Pricing'!I171/40,"")</f>
        <v>0</v>
      </c>
      <c r="P16" s="707">
        <f>IFERROR('2. Roles &amp; Pricing'!K171/40,"")</f>
        <v>0</v>
      </c>
      <c r="Q16" s="707">
        <f>IFERROR('2. Roles &amp; Pricing'!L171/40,"")</f>
        <v>0</v>
      </c>
      <c r="R16" s="707">
        <f>IFERROR('2. Roles &amp; Pricing'!M171/40,"")</f>
        <v>1</v>
      </c>
      <c r="S16" s="707">
        <f>IFERROR('2. Roles &amp; Pricing'!N171/40,"")</f>
        <v>1</v>
      </c>
      <c r="T16" s="707">
        <f>IFERROR('2. Roles &amp; Pricing'!O171/40,"")</f>
        <v>1</v>
      </c>
      <c r="U16" s="709">
        <f>IFERROR('2. Roles &amp; Pricing'!P171/40,"")</f>
        <v>1</v>
      </c>
      <c r="V16" s="709">
        <f>IFERROR('2. Roles &amp; Pricing'!Q171/40,"")</f>
        <v>1</v>
      </c>
      <c r="W16" s="709">
        <f>IFERROR('2. Roles &amp; Pricing'!R171/40,"")</f>
        <v>1</v>
      </c>
      <c r="X16" s="708">
        <f>IFERROR('2. Roles &amp; Pricing'!S171/40,"")</f>
        <v>1</v>
      </c>
      <c r="Y16" s="708">
        <f>IFERROR('2. Roles &amp; Pricing'!T171/40,"")</f>
        <v>1</v>
      </c>
      <c r="Z16" s="708">
        <f>IFERROR('2. Roles &amp; Pricing'!U171/40,"")</f>
        <v>1</v>
      </c>
      <c r="AA16" s="708">
        <f>IFERROR('2. Roles &amp; Pricing'!Y171/40,"")</f>
        <v>0</v>
      </c>
      <c r="AB16" s="708">
        <f>IFERROR('2. Roles &amp; Pricing'!Z171/40,"")</f>
        <v>0</v>
      </c>
      <c r="AC16" s="708">
        <f>IFERROR('2. Roles &amp; Pricing'!AA171/40,"")</f>
        <v>0</v>
      </c>
      <c r="AD16" s="708">
        <f>IFERROR('2. Roles &amp; Pricing'!AB171/40,"")</f>
        <v>0</v>
      </c>
      <c r="AE16" s="708">
        <f>IFERROR('2. Roles &amp; Pricing'!AG171/40,"")</f>
        <v>1</v>
      </c>
      <c r="AF16" s="708">
        <f>IFERROR('2. Roles &amp; Pricing'!AH171/40,"")</f>
        <v>1</v>
      </c>
      <c r="AG16" s="708">
        <f>IFERROR('2. Roles &amp; Pricing'!AI171/40,"")</f>
        <v>1</v>
      </c>
      <c r="AH16" s="708">
        <f>IFERROR('2. Roles &amp; Pricing'!AJ171/40,"")</f>
        <v>1</v>
      </c>
      <c r="AI16" s="708">
        <f>IFERROR('2. Roles &amp; Pricing'!AK171/40,"")</f>
        <v>1</v>
      </c>
      <c r="AJ16" s="708">
        <f>IFERROR('2. Roles &amp; Pricing'!AL171/40,"")</f>
        <v>1</v>
      </c>
      <c r="AK16" s="708">
        <f>IFERROR('2. Roles &amp; Pricing'!AM171/40,"")</f>
        <v>1</v>
      </c>
      <c r="AL16" s="708">
        <f>IFERROR('2. Roles &amp; Pricing'!AN171/40,"")</f>
        <v>1</v>
      </c>
      <c r="AM16" s="708">
        <f>IFERROR('2. Roles &amp; Pricing'!AO171/40,"")</f>
        <v>1</v>
      </c>
      <c r="AN16" s="708">
        <f>IFERROR('2. Roles &amp; Pricing'!AP171/40,"")</f>
        <v>1</v>
      </c>
      <c r="AO16" s="708">
        <f>IFERROR('2. Roles &amp; Pricing'!AQ171/40,"")</f>
        <v>1</v>
      </c>
      <c r="AP16" s="708">
        <f>IFERROR('2. Roles &amp; Pricing'!AR171/40,"")</f>
        <v>1</v>
      </c>
      <c r="AQ16" s="708">
        <f>IFERROR('2. Roles &amp; Pricing'!AS171/40,"")</f>
        <v>1</v>
      </c>
      <c r="AR16" s="708" t="str">
        <f>IFERROR('2. Roles &amp; Pricing'!AT171/40,"")</f>
        <v/>
      </c>
      <c r="AS16" s="708" t="str">
        <f>IFERROR('2. Roles &amp; Pricing'!AU171/40,"")</f>
        <v/>
      </c>
      <c r="AT16" s="708" t="str">
        <f>IFERROR('2. Roles &amp; Pricing'!AV171/40,"")</f>
        <v/>
      </c>
      <c r="AU16" s="708" t="str">
        <f>IFERROR('2. Roles &amp; Pricing'!AW171/40,"")</f>
        <v/>
      </c>
      <c r="AV16" s="708" t="str">
        <f>IFERROR('2. Roles &amp; Pricing'!AX171/40,"")</f>
        <v/>
      </c>
      <c r="AW16" s="708" t="str">
        <f>IFERROR('2. Roles &amp; Pricing'!AY171/40,"")</f>
        <v/>
      </c>
      <c r="AX16" s="708" t="str">
        <f>IFERROR('2. Roles &amp; Pricing'!AZ171/40,"")</f>
        <v/>
      </c>
      <c r="AY16" s="708" t="str">
        <f>IFERROR('2. Roles &amp; Pricing'!BA171/40,"")</f>
        <v/>
      </c>
      <c r="AZ16" s="708" t="str">
        <f>IFERROR('2. Roles &amp; Pricing'!BB171/40,"")</f>
        <v/>
      </c>
      <c r="BA16" s="708" t="str">
        <f>IFERROR('2. Roles &amp; Pricing'!BC171/40,"")</f>
        <v/>
      </c>
      <c r="BB16" s="708" t="str">
        <f>IFERROR('2. Roles &amp; Pricing'!BD171/40,"")</f>
        <v/>
      </c>
      <c r="BC16" s="708" t="str">
        <f>IFERROR('2. Roles &amp; Pricing'!BE171/40,"")</f>
        <v/>
      </c>
      <c r="BD16" s="708" t="str">
        <f>IFERROR('2. Roles &amp; Pricing'!BF171/40,"")</f>
        <v/>
      </c>
      <c r="BE16" s="708" t="str">
        <f>IFERROR('2. Roles &amp; Pricing'!BG171/40,"")</f>
        <v/>
      </c>
      <c r="BF16" s="708" t="str">
        <f>IFERROR('2. Roles &amp; Pricing'!BH171/40,"")</f>
        <v/>
      </c>
      <c r="BG16" s="708" t="str">
        <f>IFERROR('2. Roles &amp; Pricing'!BI171/40,"")</f>
        <v/>
      </c>
      <c r="BH16" s="708" t="str">
        <f>IFERROR('2. Roles &amp; Pricing'!BJ171/40,"")</f>
        <v/>
      </c>
      <c r="BI16" s="708" t="str">
        <f>IFERROR('2. Roles &amp; Pricing'!BK171/40,"")</f>
        <v/>
      </c>
      <c r="BJ16" s="708" t="str">
        <f>IFERROR('2. Roles &amp; Pricing'!BL171/40,"")</f>
        <v/>
      </c>
      <c r="BK16" s="708" t="str">
        <f>IFERROR('2. Roles &amp; Pricing'!BM171/40,"")</f>
        <v/>
      </c>
      <c r="BL16" s="708" t="str">
        <f>IFERROR('2. Roles &amp; Pricing'!BN171/40,"")</f>
        <v/>
      </c>
      <c r="BM16" s="708" t="str">
        <f>IFERROR('2. Roles &amp; Pricing'!BO171/40,"")</f>
        <v/>
      </c>
      <c r="BN16" s="212">
        <f t="shared" ref="BN16:BN32" si="49">SUM(N16:BM16)</f>
        <v>22</v>
      </c>
      <c r="BO16" s="213">
        <f t="shared" ref="BO16:BO32" si="50">+BN16*5</f>
        <v>110</v>
      </c>
      <c r="BP16" s="199">
        <f>'2. Roles &amp; Pricing'!D292</f>
        <v>48400</v>
      </c>
      <c r="BQ16" s="199">
        <f>'2. Roles &amp; Pricing'!F292</f>
        <v>15840</v>
      </c>
      <c r="BR16" s="623">
        <f>'2. Roles &amp; Pricing'!F292</f>
        <v>15840</v>
      </c>
      <c r="BS16" s="200">
        <f>'2. Roles &amp; Pricing'!I292</f>
        <v>55</v>
      </c>
      <c r="BT16" s="201">
        <f t="shared" ref="BT16:BT32" si="51">BP16</f>
        <v>48400</v>
      </c>
      <c r="BU16" s="214">
        <f t="shared" si="48"/>
        <v>880</v>
      </c>
      <c r="BV16" s="215"/>
      <c r="BW16" s="211"/>
      <c r="BX16" s="144"/>
      <c r="BY16" s="144"/>
      <c r="BZ16" s="144"/>
      <c r="CA16" s="144"/>
      <c r="CB16" s="144"/>
      <c r="CC16" s="144"/>
      <c r="CD16" s="144"/>
      <c r="CE16" s="144"/>
      <c r="CF16" s="144"/>
      <c r="CG16" s="144"/>
      <c r="CH16" s="144"/>
      <c r="CI16" s="144"/>
      <c r="CJ16" s="144"/>
      <c r="CK16" s="144"/>
      <c r="CL16" s="144"/>
      <c r="CM16" s="144"/>
      <c r="CN16" s="144"/>
      <c r="CO16" s="144"/>
      <c r="CP16" s="144"/>
    </row>
    <row r="17" spans="1:94" s="204" customFormat="1" ht="31.2" thickBot="1" x14ac:dyDescent="0.35">
      <c r="A17" s="205">
        <v>3</v>
      </c>
      <c r="B17" s="206">
        <v>3</v>
      </c>
      <c r="C17" s="207" t="str">
        <f t="shared" si="46"/>
        <v>Experience Design__Experience_Design</v>
      </c>
      <c r="D17" s="207" t="str">
        <f t="shared" si="47"/>
        <v>Experience Design__Experience_Design__Design</v>
      </c>
      <c r="E17" s="207">
        <v>20</v>
      </c>
      <c r="F17" s="207">
        <v>10</v>
      </c>
      <c r="G17" s="208" t="str">
        <f>'2. Roles &amp; Pricing'!D50</f>
        <v>Experience Design</v>
      </c>
      <c r="H17" s="209" t="str">
        <f>'2. Roles &amp; Pricing'!E50</f>
        <v>Experience_Design</v>
      </c>
      <c r="I17" s="210" t="str">
        <f>'2. Roles &amp; Pricing'!F50</f>
        <v>Design</v>
      </c>
      <c r="J17" s="210" t="str">
        <f>'2. Roles &amp; Pricing'!K50</f>
        <v>UX Designer</v>
      </c>
      <c r="K17" s="197" t="str">
        <f>'2. Roles &amp; Pricing'!W50</f>
        <v>Onshore</v>
      </c>
      <c r="L17" s="209"/>
      <c r="M17" s="210"/>
      <c r="N17" s="707">
        <f>IFERROR('2. Roles &amp; Pricing'!F172/40,"")</f>
        <v>1</v>
      </c>
      <c r="O17" s="707">
        <f>IFERROR('2. Roles &amp; Pricing'!I172/40,"")</f>
        <v>1</v>
      </c>
      <c r="P17" s="707">
        <f>IFERROR('2. Roles &amp; Pricing'!K172/40,"")</f>
        <v>1</v>
      </c>
      <c r="Q17" s="707">
        <f>IFERROR('2. Roles &amp; Pricing'!L172/40,"")</f>
        <v>1</v>
      </c>
      <c r="R17" s="707">
        <f>IFERROR('2. Roles &amp; Pricing'!M172/40,"")</f>
        <v>1</v>
      </c>
      <c r="S17" s="707">
        <f>IFERROR('2. Roles &amp; Pricing'!N172/40,"")</f>
        <v>1</v>
      </c>
      <c r="T17" s="707">
        <f>IFERROR('2. Roles &amp; Pricing'!O172/40,"")</f>
        <v>1</v>
      </c>
      <c r="U17" s="709">
        <f>IFERROR('2. Roles &amp; Pricing'!P172/40,"")</f>
        <v>1</v>
      </c>
      <c r="V17" s="709">
        <f>IFERROR('2. Roles &amp; Pricing'!Q172/40,"")</f>
        <v>1</v>
      </c>
      <c r="W17" s="709">
        <f>IFERROR('2. Roles &amp; Pricing'!R172/40,"")</f>
        <v>1</v>
      </c>
      <c r="X17" s="708">
        <f>IFERROR('2. Roles &amp; Pricing'!S172/40,"")</f>
        <v>1</v>
      </c>
      <c r="Y17" s="708">
        <f>IFERROR('2. Roles &amp; Pricing'!T172/40,"")</f>
        <v>1</v>
      </c>
      <c r="Z17" s="708">
        <f>IFERROR('2. Roles &amp; Pricing'!U172/40,"")</f>
        <v>1</v>
      </c>
      <c r="AA17" s="708">
        <f>IFERROR('2. Roles &amp; Pricing'!Y172/40,"")</f>
        <v>1</v>
      </c>
      <c r="AB17" s="708">
        <f>IFERROR('2. Roles &amp; Pricing'!Z172/40,"")</f>
        <v>1</v>
      </c>
      <c r="AC17" s="708">
        <f>IFERROR('2. Roles &amp; Pricing'!AA172/40,"")</f>
        <v>1</v>
      </c>
      <c r="AD17" s="708">
        <f>IFERROR('2. Roles &amp; Pricing'!AB172/40,"")</f>
        <v>1</v>
      </c>
      <c r="AE17" s="708">
        <f>IFERROR('2. Roles &amp; Pricing'!AG172/40,"")</f>
        <v>1</v>
      </c>
      <c r="AF17" s="708">
        <f>IFERROR('2. Roles &amp; Pricing'!AH172/40,"")</f>
        <v>1</v>
      </c>
      <c r="AG17" s="708">
        <f>IFERROR('2. Roles &amp; Pricing'!AI172/40,"")</f>
        <v>1</v>
      </c>
      <c r="AH17" s="708">
        <f>IFERROR('2. Roles &amp; Pricing'!AJ172/40,"")</f>
        <v>1</v>
      </c>
      <c r="AI17" s="708">
        <f>IFERROR('2. Roles &amp; Pricing'!AK172/40,"")</f>
        <v>1</v>
      </c>
      <c r="AJ17" s="708">
        <f>IFERROR('2. Roles &amp; Pricing'!AL172/40,"")</f>
        <v>1</v>
      </c>
      <c r="AK17" s="708">
        <f>IFERROR('2. Roles &amp; Pricing'!AM172/40,"")</f>
        <v>1</v>
      </c>
      <c r="AL17" s="708">
        <f>IFERROR('2. Roles &amp; Pricing'!AN172/40,"")</f>
        <v>1</v>
      </c>
      <c r="AM17" s="708">
        <f>IFERROR('2. Roles &amp; Pricing'!AO172/40,"")</f>
        <v>1</v>
      </c>
      <c r="AN17" s="708">
        <f>IFERROR('2. Roles &amp; Pricing'!AP172/40,"")</f>
        <v>1</v>
      </c>
      <c r="AO17" s="708">
        <f>IFERROR('2. Roles &amp; Pricing'!AQ172/40,"")</f>
        <v>1</v>
      </c>
      <c r="AP17" s="708">
        <f>IFERROR('2. Roles &amp; Pricing'!AR172/40,"")</f>
        <v>1</v>
      </c>
      <c r="AQ17" s="708">
        <f>IFERROR('2. Roles &amp; Pricing'!AS172/40,"")</f>
        <v>1</v>
      </c>
      <c r="AR17" s="708" t="str">
        <f>IFERROR('2. Roles &amp; Pricing'!AT172/40,"")</f>
        <v/>
      </c>
      <c r="AS17" s="708" t="str">
        <f>IFERROR('2. Roles &amp; Pricing'!AU172/40,"")</f>
        <v/>
      </c>
      <c r="AT17" s="708" t="str">
        <f>IFERROR('2. Roles &amp; Pricing'!AV172/40,"")</f>
        <v/>
      </c>
      <c r="AU17" s="708" t="str">
        <f>IFERROR('2. Roles &amp; Pricing'!AW172/40,"")</f>
        <v/>
      </c>
      <c r="AV17" s="708" t="str">
        <f>IFERROR('2. Roles &amp; Pricing'!AX172/40,"")</f>
        <v/>
      </c>
      <c r="AW17" s="708" t="str">
        <f>IFERROR('2. Roles &amp; Pricing'!AY172/40,"")</f>
        <v/>
      </c>
      <c r="AX17" s="708" t="str">
        <f>IFERROR('2. Roles &amp; Pricing'!AZ172/40,"")</f>
        <v/>
      </c>
      <c r="AY17" s="708" t="str">
        <f>IFERROR('2. Roles &amp; Pricing'!BA172/40,"")</f>
        <v/>
      </c>
      <c r="AZ17" s="708" t="str">
        <f>IFERROR('2. Roles &amp; Pricing'!BB172/40,"")</f>
        <v/>
      </c>
      <c r="BA17" s="708" t="str">
        <f>IFERROR('2. Roles &amp; Pricing'!BC172/40,"")</f>
        <v/>
      </c>
      <c r="BB17" s="708" t="str">
        <f>IFERROR('2. Roles &amp; Pricing'!BD172/40,"")</f>
        <v/>
      </c>
      <c r="BC17" s="708" t="str">
        <f>IFERROR('2. Roles &amp; Pricing'!BE172/40,"")</f>
        <v/>
      </c>
      <c r="BD17" s="708" t="str">
        <f>IFERROR('2. Roles &amp; Pricing'!BF172/40,"")</f>
        <v/>
      </c>
      <c r="BE17" s="708" t="str">
        <f>IFERROR('2. Roles &amp; Pricing'!BG172/40,"")</f>
        <v/>
      </c>
      <c r="BF17" s="708" t="str">
        <f>IFERROR('2. Roles &amp; Pricing'!BH172/40,"")</f>
        <v/>
      </c>
      <c r="BG17" s="708" t="str">
        <f>IFERROR('2. Roles &amp; Pricing'!BI172/40,"")</f>
        <v/>
      </c>
      <c r="BH17" s="708" t="str">
        <f>IFERROR('2. Roles &amp; Pricing'!BJ172/40,"")</f>
        <v/>
      </c>
      <c r="BI17" s="708" t="str">
        <f>IFERROR('2. Roles &amp; Pricing'!BK172/40,"")</f>
        <v/>
      </c>
      <c r="BJ17" s="708" t="str">
        <f>IFERROR('2. Roles &amp; Pricing'!BL172/40,"")</f>
        <v/>
      </c>
      <c r="BK17" s="708" t="str">
        <f>IFERROR('2. Roles &amp; Pricing'!BM172/40,"")</f>
        <v/>
      </c>
      <c r="BL17" s="708" t="str">
        <f>IFERROR('2. Roles &amp; Pricing'!BN172/40,"")</f>
        <v/>
      </c>
      <c r="BM17" s="708" t="str">
        <f>IFERROR('2. Roles &amp; Pricing'!BO172/40,"")</f>
        <v/>
      </c>
      <c r="BN17" s="212">
        <f t="shared" si="49"/>
        <v>30</v>
      </c>
      <c r="BO17" s="213">
        <f t="shared" si="50"/>
        <v>150</v>
      </c>
      <c r="BP17" s="199">
        <f>'2. Roles &amp; Pricing'!D293</f>
        <v>204000</v>
      </c>
      <c r="BQ17" s="199">
        <f>'2. Roles &amp; Pricing'!F293</f>
        <v>84000</v>
      </c>
      <c r="BR17" s="623">
        <f>'2. Roles &amp; Pricing'!F293</f>
        <v>84000</v>
      </c>
      <c r="BS17" s="200">
        <f>'2. Roles &amp; Pricing'!I293</f>
        <v>170</v>
      </c>
      <c r="BT17" s="201">
        <f t="shared" si="51"/>
        <v>204000</v>
      </c>
      <c r="BU17" s="214">
        <f t="shared" si="48"/>
        <v>1200</v>
      </c>
      <c r="BV17" s="215"/>
      <c r="BW17" s="211"/>
      <c r="BX17" s="144"/>
      <c r="BY17" s="144"/>
      <c r="BZ17" s="144"/>
      <c r="CA17" s="144"/>
      <c r="CB17" s="144"/>
      <c r="CC17" s="144"/>
      <c r="CD17" s="144"/>
      <c r="CE17" s="144"/>
      <c r="CF17" s="144"/>
      <c r="CG17" s="144"/>
      <c r="CH17" s="144"/>
      <c r="CI17" s="144"/>
      <c r="CJ17" s="144"/>
      <c r="CK17" s="144"/>
      <c r="CL17" s="144"/>
      <c r="CM17" s="144"/>
      <c r="CN17" s="144"/>
      <c r="CO17" s="144"/>
      <c r="CP17" s="144"/>
    </row>
    <row r="18" spans="1:94" s="204" customFormat="1" ht="31.2" thickBot="1" x14ac:dyDescent="0.35">
      <c r="A18" s="205">
        <v>4</v>
      </c>
      <c r="B18" s="206">
        <v>3</v>
      </c>
      <c r="C18" s="207" t="str">
        <f t="shared" si="46"/>
        <v>Experience Design__Experience_Design</v>
      </c>
      <c r="D18" s="207" t="str">
        <f t="shared" si="47"/>
        <v>Experience Design__Experience_Design__Design</v>
      </c>
      <c r="E18" s="207">
        <v>21</v>
      </c>
      <c r="F18" s="207">
        <v>8</v>
      </c>
      <c r="G18" s="208" t="str">
        <f>'2. Roles &amp; Pricing'!D51</f>
        <v>Experience Design</v>
      </c>
      <c r="H18" s="209" t="str">
        <f>'2. Roles &amp; Pricing'!E51</f>
        <v>Experience_Design</v>
      </c>
      <c r="I18" s="210" t="str">
        <f>'2. Roles &amp; Pricing'!F51</f>
        <v>Design</v>
      </c>
      <c r="J18" s="210" t="str">
        <f>'2. Roles &amp; Pricing'!K51</f>
        <v>UX Designer</v>
      </c>
      <c r="K18" s="197" t="str">
        <f>'2. Roles &amp; Pricing'!W51</f>
        <v>Offshore</v>
      </c>
      <c r="L18" s="209"/>
      <c r="M18" s="210"/>
      <c r="N18" s="707">
        <f>IFERROR('2. Roles &amp; Pricing'!F173/40,"")</f>
        <v>1</v>
      </c>
      <c r="O18" s="707">
        <f>IFERROR('2. Roles &amp; Pricing'!I173/40,"")</f>
        <v>1</v>
      </c>
      <c r="P18" s="707">
        <f>IFERROR('2. Roles &amp; Pricing'!K173/40,"")</f>
        <v>1</v>
      </c>
      <c r="Q18" s="707">
        <f>IFERROR('2. Roles &amp; Pricing'!L173/40,"")</f>
        <v>1</v>
      </c>
      <c r="R18" s="707">
        <f>IFERROR('2. Roles &amp; Pricing'!M173/40,"")</f>
        <v>1</v>
      </c>
      <c r="S18" s="707">
        <f>IFERROR('2. Roles &amp; Pricing'!N173/40,"")</f>
        <v>1</v>
      </c>
      <c r="T18" s="707">
        <f>IFERROR('2. Roles &amp; Pricing'!O173/40,"")</f>
        <v>1</v>
      </c>
      <c r="U18" s="709">
        <f>IFERROR('2. Roles &amp; Pricing'!P173/40,"")</f>
        <v>1</v>
      </c>
      <c r="V18" s="709">
        <f>IFERROR('2. Roles &amp; Pricing'!Q173/40,"")</f>
        <v>1</v>
      </c>
      <c r="W18" s="709">
        <f>IFERROR('2. Roles &amp; Pricing'!R173/40,"")</f>
        <v>1</v>
      </c>
      <c r="X18" s="708">
        <f>IFERROR('2. Roles &amp; Pricing'!S173/40,"")</f>
        <v>1</v>
      </c>
      <c r="Y18" s="708">
        <f>IFERROR('2. Roles &amp; Pricing'!T173/40,"")</f>
        <v>1</v>
      </c>
      <c r="Z18" s="708">
        <f>IFERROR('2. Roles &amp; Pricing'!U173/40,"")</f>
        <v>1</v>
      </c>
      <c r="AA18" s="708">
        <f>IFERROR('2. Roles &amp; Pricing'!Y173/40,"")</f>
        <v>1</v>
      </c>
      <c r="AB18" s="708">
        <f>IFERROR('2. Roles &amp; Pricing'!Z173/40,"")</f>
        <v>1</v>
      </c>
      <c r="AC18" s="708">
        <f>IFERROR('2. Roles &amp; Pricing'!AA173/40,"")</f>
        <v>1</v>
      </c>
      <c r="AD18" s="708">
        <f>IFERROR('2. Roles &amp; Pricing'!AB173/40,"")</f>
        <v>1</v>
      </c>
      <c r="AE18" s="708">
        <f>IFERROR('2. Roles &amp; Pricing'!AG173/40,"")</f>
        <v>1</v>
      </c>
      <c r="AF18" s="708">
        <f>IFERROR('2. Roles &amp; Pricing'!AH173/40,"")</f>
        <v>1</v>
      </c>
      <c r="AG18" s="708">
        <f>IFERROR('2. Roles &amp; Pricing'!AI173/40,"")</f>
        <v>1</v>
      </c>
      <c r="AH18" s="708">
        <f>IFERROR('2. Roles &amp; Pricing'!AJ173/40,"")</f>
        <v>1</v>
      </c>
      <c r="AI18" s="708">
        <f>IFERROR('2. Roles &amp; Pricing'!AK173/40,"")</f>
        <v>1</v>
      </c>
      <c r="AJ18" s="708">
        <f>IFERROR('2. Roles &amp; Pricing'!AL173/40,"")</f>
        <v>1</v>
      </c>
      <c r="AK18" s="708">
        <f>IFERROR('2. Roles &amp; Pricing'!AM173/40,"")</f>
        <v>1</v>
      </c>
      <c r="AL18" s="708">
        <f>IFERROR('2. Roles &amp; Pricing'!AN173/40,"")</f>
        <v>1</v>
      </c>
      <c r="AM18" s="708">
        <f>IFERROR('2. Roles &amp; Pricing'!AO173/40,"")</f>
        <v>1</v>
      </c>
      <c r="AN18" s="708">
        <f>IFERROR('2. Roles &amp; Pricing'!AP173/40,"")</f>
        <v>1</v>
      </c>
      <c r="AO18" s="708">
        <f>IFERROR('2. Roles &amp; Pricing'!AQ173/40,"")</f>
        <v>1</v>
      </c>
      <c r="AP18" s="708">
        <f>IFERROR('2. Roles &amp; Pricing'!AR173/40,"")</f>
        <v>1</v>
      </c>
      <c r="AQ18" s="708">
        <f>IFERROR('2. Roles &amp; Pricing'!AS173/40,"")</f>
        <v>1</v>
      </c>
      <c r="AR18" s="708" t="str">
        <f>IFERROR('2. Roles &amp; Pricing'!AT173/40,"")</f>
        <v/>
      </c>
      <c r="AS18" s="708" t="str">
        <f>IFERROR('2. Roles &amp; Pricing'!AU173/40,"")</f>
        <v/>
      </c>
      <c r="AT18" s="708" t="str">
        <f>IFERROR('2. Roles &amp; Pricing'!AV173/40,"")</f>
        <v/>
      </c>
      <c r="AU18" s="708" t="str">
        <f>IFERROR('2. Roles &amp; Pricing'!AW173/40,"")</f>
        <v/>
      </c>
      <c r="AV18" s="708" t="str">
        <f>IFERROR('2. Roles &amp; Pricing'!AX173/40,"")</f>
        <v/>
      </c>
      <c r="AW18" s="708" t="str">
        <f>IFERROR('2. Roles &amp; Pricing'!AY173/40,"")</f>
        <v/>
      </c>
      <c r="AX18" s="708" t="str">
        <f>IFERROR('2. Roles &amp; Pricing'!AZ173/40,"")</f>
        <v/>
      </c>
      <c r="AY18" s="708" t="str">
        <f>IFERROR('2. Roles &amp; Pricing'!BA173/40,"")</f>
        <v/>
      </c>
      <c r="AZ18" s="708" t="str">
        <f>IFERROR('2. Roles &amp; Pricing'!BB173/40,"")</f>
        <v/>
      </c>
      <c r="BA18" s="708" t="str">
        <f>IFERROR('2. Roles &amp; Pricing'!BC173/40,"")</f>
        <v/>
      </c>
      <c r="BB18" s="708" t="str">
        <f>IFERROR('2. Roles &amp; Pricing'!BD173/40,"")</f>
        <v/>
      </c>
      <c r="BC18" s="708" t="str">
        <f>IFERROR('2. Roles &amp; Pricing'!BE173/40,"")</f>
        <v/>
      </c>
      <c r="BD18" s="708" t="str">
        <f>IFERROR('2. Roles &amp; Pricing'!BF173/40,"")</f>
        <v/>
      </c>
      <c r="BE18" s="708" t="str">
        <f>IFERROR('2. Roles &amp; Pricing'!BG173/40,"")</f>
        <v/>
      </c>
      <c r="BF18" s="708" t="str">
        <f>IFERROR('2. Roles &amp; Pricing'!BH173/40,"")</f>
        <v/>
      </c>
      <c r="BG18" s="708" t="str">
        <f>IFERROR('2. Roles &amp; Pricing'!BI173/40,"")</f>
        <v/>
      </c>
      <c r="BH18" s="708" t="str">
        <f>IFERROR('2. Roles &amp; Pricing'!BJ173/40,"")</f>
        <v/>
      </c>
      <c r="BI18" s="708" t="str">
        <f>IFERROR('2. Roles &amp; Pricing'!BK173/40,"")</f>
        <v/>
      </c>
      <c r="BJ18" s="708" t="str">
        <f>IFERROR('2. Roles &amp; Pricing'!BL173/40,"")</f>
        <v/>
      </c>
      <c r="BK18" s="708" t="str">
        <f>IFERROR('2. Roles &amp; Pricing'!BM173/40,"")</f>
        <v/>
      </c>
      <c r="BL18" s="708" t="str">
        <f>IFERROR('2. Roles &amp; Pricing'!BN173/40,"")</f>
        <v/>
      </c>
      <c r="BM18" s="708" t="str">
        <f>IFERROR('2. Roles &amp; Pricing'!BO173/40,"")</f>
        <v/>
      </c>
      <c r="BN18" s="212">
        <f t="shared" si="49"/>
        <v>30</v>
      </c>
      <c r="BO18" s="213">
        <f t="shared" si="50"/>
        <v>150</v>
      </c>
      <c r="BP18" s="199">
        <f>'2. Roles &amp; Pricing'!D294</f>
        <v>66000</v>
      </c>
      <c r="BQ18" s="199">
        <f>'2. Roles &amp; Pricing'!F294</f>
        <v>21600</v>
      </c>
      <c r="BR18" s="623">
        <f>'2. Roles &amp; Pricing'!F294</f>
        <v>21600</v>
      </c>
      <c r="BS18" s="200">
        <f>'2. Roles &amp; Pricing'!I294</f>
        <v>55</v>
      </c>
      <c r="BT18" s="201">
        <f t="shared" si="51"/>
        <v>66000</v>
      </c>
      <c r="BU18" s="214">
        <f t="shared" si="48"/>
        <v>1200</v>
      </c>
      <c r="BV18" s="215"/>
      <c r="BW18" s="211"/>
      <c r="BX18" s="144"/>
      <c r="BY18" s="144"/>
      <c r="BZ18" s="144"/>
      <c r="CA18" s="144"/>
      <c r="CB18" s="144"/>
      <c r="CC18" s="144"/>
      <c r="CD18" s="144"/>
      <c r="CE18" s="144"/>
      <c r="CF18" s="144"/>
      <c r="CG18" s="144"/>
      <c r="CH18" s="144"/>
      <c r="CI18" s="144"/>
      <c r="CJ18" s="144"/>
      <c r="CK18" s="144"/>
      <c r="CL18" s="144"/>
      <c r="CM18" s="144"/>
      <c r="CN18" s="144"/>
      <c r="CO18" s="144"/>
      <c r="CP18" s="144"/>
    </row>
    <row r="19" spans="1:94" s="204" customFormat="1" ht="14.4" thickBot="1" x14ac:dyDescent="0.35">
      <c r="A19" s="205">
        <v>5</v>
      </c>
      <c r="B19" s="206">
        <v>3</v>
      </c>
      <c r="C19" s="207" t="str">
        <f t="shared" si="46"/>
        <v>Adobe__Adobe</v>
      </c>
      <c r="D19" s="207" t="str">
        <f t="shared" si="47"/>
        <v>Adobe__Adobe__Adobe UI</v>
      </c>
      <c r="E19" s="207">
        <v>21</v>
      </c>
      <c r="F19" s="207">
        <v>8</v>
      </c>
      <c r="G19" s="208" t="str">
        <f>'2. Roles &amp; Pricing'!D52</f>
        <v>Adobe</v>
      </c>
      <c r="H19" s="209" t="str">
        <f>'2. Roles &amp; Pricing'!E52</f>
        <v>Adobe</v>
      </c>
      <c r="I19" s="210" t="str">
        <f>'2. Roles &amp; Pricing'!F52</f>
        <v>Adobe UI</v>
      </c>
      <c r="J19" s="210" t="str">
        <f>'2. Roles &amp; Pricing'!K52</f>
        <v>Technical Lead</v>
      </c>
      <c r="K19" s="197" t="str">
        <f>'2. Roles &amp; Pricing'!W52</f>
        <v>Onshore</v>
      </c>
      <c r="L19" s="209"/>
      <c r="M19" s="210"/>
      <c r="N19" s="707">
        <f>IFERROR('2. Roles &amp; Pricing'!F174/40,"")</f>
        <v>1</v>
      </c>
      <c r="O19" s="707">
        <f>IFERROR('2. Roles &amp; Pricing'!I174/40,"")</f>
        <v>1</v>
      </c>
      <c r="P19" s="707">
        <f>IFERROR('2. Roles &amp; Pricing'!K174/40,"")</f>
        <v>1</v>
      </c>
      <c r="Q19" s="707">
        <f>IFERROR('2. Roles &amp; Pricing'!L174/40,"")</f>
        <v>1</v>
      </c>
      <c r="R19" s="707">
        <f>IFERROR('2. Roles &amp; Pricing'!M174/40,"")</f>
        <v>1</v>
      </c>
      <c r="S19" s="707">
        <f>IFERROR('2. Roles &amp; Pricing'!N174/40,"")</f>
        <v>1</v>
      </c>
      <c r="T19" s="707">
        <f>IFERROR('2. Roles &amp; Pricing'!O174/40,"")</f>
        <v>1</v>
      </c>
      <c r="U19" s="709">
        <f>IFERROR('2. Roles &amp; Pricing'!P174/40,"")</f>
        <v>1</v>
      </c>
      <c r="V19" s="709">
        <f>IFERROR('2. Roles &amp; Pricing'!Q174/40,"")</f>
        <v>1</v>
      </c>
      <c r="W19" s="709">
        <f>IFERROR('2. Roles &amp; Pricing'!R174/40,"")</f>
        <v>1</v>
      </c>
      <c r="X19" s="708">
        <f>IFERROR('2. Roles &amp; Pricing'!S174/40,"")</f>
        <v>1</v>
      </c>
      <c r="Y19" s="708">
        <f>IFERROR('2. Roles &amp; Pricing'!T174/40,"")</f>
        <v>1</v>
      </c>
      <c r="Z19" s="708">
        <f>IFERROR('2. Roles &amp; Pricing'!U174/40,"")</f>
        <v>1</v>
      </c>
      <c r="AA19" s="708">
        <f>IFERROR('2. Roles &amp; Pricing'!Y174/40,"")</f>
        <v>1</v>
      </c>
      <c r="AB19" s="708">
        <f>IFERROR('2. Roles &amp; Pricing'!Z174/40,"")</f>
        <v>1</v>
      </c>
      <c r="AC19" s="708">
        <f>IFERROR('2. Roles &amp; Pricing'!AA174/40,"")</f>
        <v>1</v>
      </c>
      <c r="AD19" s="708">
        <f>IFERROR('2. Roles &amp; Pricing'!AB174/40,"")</f>
        <v>1</v>
      </c>
      <c r="AE19" s="708">
        <f>IFERROR('2. Roles &amp; Pricing'!AG174/40,"")</f>
        <v>1</v>
      </c>
      <c r="AF19" s="708">
        <f>IFERROR('2. Roles &amp; Pricing'!AH174/40,"")</f>
        <v>1</v>
      </c>
      <c r="AG19" s="708">
        <f>IFERROR('2. Roles &amp; Pricing'!AI174/40,"")</f>
        <v>1</v>
      </c>
      <c r="AH19" s="708">
        <f>IFERROR('2. Roles &amp; Pricing'!AJ174/40,"")</f>
        <v>1</v>
      </c>
      <c r="AI19" s="708">
        <f>IFERROR('2. Roles &amp; Pricing'!AK174/40,"")</f>
        <v>1</v>
      </c>
      <c r="AJ19" s="708">
        <f>IFERROR('2. Roles &amp; Pricing'!AL174/40,"")</f>
        <v>1</v>
      </c>
      <c r="AK19" s="708">
        <f>IFERROR('2. Roles &amp; Pricing'!AM174/40,"")</f>
        <v>1</v>
      </c>
      <c r="AL19" s="708">
        <f>IFERROR('2. Roles &amp; Pricing'!AN174/40,"")</f>
        <v>1</v>
      </c>
      <c r="AM19" s="708">
        <f>IFERROR('2. Roles &amp; Pricing'!AO174/40,"")</f>
        <v>1</v>
      </c>
      <c r="AN19" s="708">
        <f>IFERROR('2. Roles &amp; Pricing'!AP174/40,"")</f>
        <v>1</v>
      </c>
      <c r="AO19" s="708">
        <f>IFERROR('2. Roles &amp; Pricing'!AQ174/40,"")</f>
        <v>1</v>
      </c>
      <c r="AP19" s="708">
        <f>IFERROR('2. Roles &amp; Pricing'!AR174/40,"")</f>
        <v>1</v>
      </c>
      <c r="AQ19" s="708">
        <f>IFERROR('2. Roles &amp; Pricing'!AS174/40,"")</f>
        <v>1</v>
      </c>
      <c r="AR19" s="708" t="str">
        <f>IFERROR('2. Roles &amp; Pricing'!AT174/40,"")</f>
        <v/>
      </c>
      <c r="AS19" s="708" t="str">
        <f>IFERROR('2. Roles &amp; Pricing'!AU174/40,"")</f>
        <v/>
      </c>
      <c r="AT19" s="708" t="str">
        <f>IFERROR('2. Roles &amp; Pricing'!AV174/40,"")</f>
        <v/>
      </c>
      <c r="AU19" s="708" t="str">
        <f>IFERROR('2. Roles &amp; Pricing'!AW174/40,"")</f>
        <v/>
      </c>
      <c r="AV19" s="708" t="str">
        <f>IFERROR('2. Roles &amp; Pricing'!AX174/40,"")</f>
        <v/>
      </c>
      <c r="AW19" s="708" t="str">
        <f>IFERROR('2. Roles &amp; Pricing'!AY174/40,"")</f>
        <v/>
      </c>
      <c r="AX19" s="708" t="str">
        <f>IFERROR('2. Roles &amp; Pricing'!AZ174/40,"")</f>
        <v/>
      </c>
      <c r="AY19" s="708" t="str">
        <f>IFERROR('2. Roles &amp; Pricing'!BA174/40,"")</f>
        <v/>
      </c>
      <c r="AZ19" s="708" t="str">
        <f>IFERROR('2. Roles &amp; Pricing'!BB174/40,"")</f>
        <v/>
      </c>
      <c r="BA19" s="708" t="str">
        <f>IFERROR('2. Roles &amp; Pricing'!BC174/40,"")</f>
        <v/>
      </c>
      <c r="BB19" s="708" t="str">
        <f>IFERROR('2. Roles &amp; Pricing'!BD174/40,"")</f>
        <v/>
      </c>
      <c r="BC19" s="708" t="str">
        <f>IFERROR('2. Roles &amp; Pricing'!BE174/40,"")</f>
        <v/>
      </c>
      <c r="BD19" s="708" t="str">
        <f>IFERROR('2. Roles &amp; Pricing'!BF174/40,"")</f>
        <v/>
      </c>
      <c r="BE19" s="708" t="str">
        <f>IFERROR('2. Roles &amp; Pricing'!BG174/40,"")</f>
        <v/>
      </c>
      <c r="BF19" s="708" t="str">
        <f>IFERROR('2. Roles &amp; Pricing'!BH174/40,"")</f>
        <v/>
      </c>
      <c r="BG19" s="708" t="str">
        <f>IFERROR('2. Roles &amp; Pricing'!BI174/40,"")</f>
        <v/>
      </c>
      <c r="BH19" s="708" t="str">
        <f>IFERROR('2. Roles &amp; Pricing'!BJ174/40,"")</f>
        <v/>
      </c>
      <c r="BI19" s="708" t="str">
        <f>IFERROR('2. Roles &amp; Pricing'!BK174/40,"")</f>
        <v/>
      </c>
      <c r="BJ19" s="708" t="str">
        <f>IFERROR('2. Roles &amp; Pricing'!BL174/40,"")</f>
        <v/>
      </c>
      <c r="BK19" s="708" t="str">
        <f>IFERROR('2. Roles &amp; Pricing'!BM174/40,"")</f>
        <v/>
      </c>
      <c r="BL19" s="708" t="str">
        <f>IFERROR('2. Roles &amp; Pricing'!BN174/40,"")</f>
        <v/>
      </c>
      <c r="BM19" s="708" t="str">
        <f>IFERROR('2. Roles &amp; Pricing'!BO174/40,"")</f>
        <v/>
      </c>
      <c r="BN19" s="212">
        <f t="shared" si="49"/>
        <v>30</v>
      </c>
      <c r="BO19" s="213">
        <f t="shared" si="50"/>
        <v>150</v>
      </c>
      <c r="BP19" s="199">
        <f>'2. Roles &amp; Pricing'!D295</f>
        <v>222000</v>
      </c>
      <c r="BQ19" s="199">
        <f>'2. Roles &amp; Pricing'!F295</f>
        <v>108000</v>
      </c>
      <c r="BR19" s="623">
        <f>'2. Roles &amp; Pricing'!F295</f>
        <v>108000</v>
      </c>
      <c r="BS19" s="200">
        <f>'2. Roles &amp; Pricing'!I295</f>
        <v>185</v>
      </c>
      <c r="BT19" s="201">
        <f t="shared" si="51"/>
        <v>222000</v>
      </c>
      <c r="BU19" s="214">
        <f t="shared" si="48"/>
        <v>1200</v>
      </c>
      <c r="BV19" s="215"/>
      <c r="BW19" s="211"/>
      <c r="BX19" s="144"/>
      <c r="BY19" s="144"/>
      <c r="BZ19" s="144"/>
      <c r="CA19" s="144"/>
      <c r="CB19" s="144"/>
      <c r="CC19" s="144"/>
      <c r="CD19" s="144"/>
      <c r="CE19" s="144"/>
      <c r="CF19" s="144"/>
      <c r="CG19" s="144"/>
      <c r="CH19" s="144"/>
      <c r="CI19" s="144"/>
      <c r="CJ19" s="144"/>
      <c r="CK19" s="144"/>
      <c r="CL19" s="144"/>
      <c r="CM19" s="144"/>
      <c r="CN19" s="144"/>
      <c r="CO19" s="144"/>
      <c r="CP19" s="144"/>
    </row>
    <row r="20" spans="1:94" s="204" customFormat="1" ht="28.2" thickBot="1" x14ac:dyDescent="0.35">
      <c r="A20" s="205">
        <v>6</v>
      </c>
      <c r="B20" s="206">
        <v>3</v>
      </c>
      <c r="C20" s="207" t="str">
        <f t="shared" si="46"/>
        <v>MACH__MACH</v>
      </c>
      <c r="D20" s="207" t="str">
        <f t="shared" si="47"/>
        <v>MACH__MACH__MACH DevOps</v>
      </c>
      <c r="E20" s="207">
        <v>21</v>
      </c>
      <c r="F20" s="207">
        <v>8</v>
      </c>
      <c r="G20" s="208" t="str">
        <f>'2. Roles &amp; Pricing'!D53</f>
        <v>MACH</v>
      </c>
      <c r="H20" s="209" t="str">
        <f>'2. Roles &amp; Pricing'!E53</f>
        <v>MACH</v>
      </c>
      <c r="I20" s="210" t="str">
        <f>'2. Roles &amp; Pricing'!F53</f>
        <v>MACH DevOps</v>
      </c>
      <c r="J20" s="210" t="str">
        <f>'2. Roles &amp; Pricing'!K53</f>
        <v>Associate DevOps Engineer</v>
      </c>
      <c r="K20" s="197" t="str">
        <f>'2. Roles &amp; Pricing'!W53</f>
        <v>Offshore</v>
      </c>
      <c r="L20" s="209"/>
      <c r="M20" s="210"/>
      <c r="N20" s="707">
        <f>IFERROR('2. Roles &amp; Pricing'!F175/40,"")</f>
        <v>0.8</v>
      </c>
      <c r="O20" s="707">
        <f>IFERROR('2. Roles &amp; Pricing'!I175/40,"")</f>
        <v>0.8</v>
      </c>
      <c r="P20" s="707">
        <f>IFERROR('2. Roles &amp; Pricing'!K175/40,"")</f>
        <v>0.8</v>
      </c>
      <c r="Q20" s="707">
        <f>IFERROR('2. Roles &amp; Pricing'!L175/40,"")</f>
        <v>0.8</v>
      </c>
      <c r="R20" s="707">
        <f>IFERROR('2. Roles &amp; Pricing'!M175/40,"")</f>
        <v>0.8</v>
      </c>
      <c r="S20" s="707">
        <f>IFERROR('2. Roles &amp; Pricing'!N175/40,"")</f>
        <v>0.8</v>
      </c>
      <c r="T20" s="707">
        <f>IFERROR('2. Roles &amp; Pricing'!O175/40,"")</f>
        <v>0.8</v>
      </c>
      <c r="U20" s="709">
        <f>IFERROR('2. Roles &amp; Pricing'!P175/40,"")</f>
        <v>0.8</v>
      </c>
      <c r="V20" s="709">
        <f>IFERROR('2. Roles &amp; Pricing'!Q175/40,"")</f>
        <v>0.8</v>
      </c>
      <c r="W20" s="709">
        <f>IFERROR('2. Roles &amp; Pricing'!R175/40,"")</f>
        <v>0.8</v>
      </c>
      <c r="X20" s="708">
        <f>IFERROR('2. Roles &amp; Pricing'!S175/40,"")</f>
        <v>0.8</v>
      </c>
      <c r="Y20" s="708">
        <f>IFERROR('2. Roles &amp; Pricing'!T175/40,"")</f>
        <v>0.8</v>
      </c>
      <c r="Z20" s="708">
        <f>IFERROR('2. Roles &amp; Pricing'!U175/40,"")</f>
        <v>0.8</v>
      </c>
      <c r="AA20" s="708">
        <f>IFERROR('2. Roles &amp; Pricing'!Y175/40,"")</f>
        <v>0.8</v>
      </c>
      <c r="AB20" s="708">
        <f>IFERROR('2. Roles &amp; Pricing'!Z175/40,"")</f>
        <v>0.8</v>
      </c>
      <c r="AC20" s="708">
        <f>IFERROR('2. Roles &amp; Pricing'!AA175/40,"")</f>
        <v>0.8</v>
      </c>
      <c r="AD20" s="708">
        <f>IFERROR('2. Roles &amp; Pricing'!AB175/40,"")</f>
        <v>0.8</v>
      </c>
      <c r="AE20" s="708">
        <f>IFERROR('2. Roles &amp; Pricing'!AG175/40,"")</f>
        <v>0.8</v>
      </c>
      <c r="AF20" s="708">
        <f>IFERROR('2. Roles &amp; Pricing'!AH175/40,"")</f>
        <v>0.8</v>
      </c>
      <c r="AG20" s="708">
        <f>IFERROR('2. Roles &amp; Pricing'!AI175/40,"")</f>
        <v>0.8</v>
      </c>
      <c r="AH20" s="708">
        <f>IFERROR('2. Roles &amp; Pricing'!AJ175/40,"")</f>
        <v>0.8</v>
      </c>
      <c r="AI20" s="708">
        <f>IFERROR('2. Roles &amp; Pricing'!AK175/40,"")</f>
        <v>0.8</v>
      </c>
      <c r="AJ20" s="708">
        <f>IFERROR('2. Roles &amp; Pricing'!AL175/40,"")</f>
        <v>0.8</v>
      </c>
      <c r="AK20" s="708">
        <f>IFERROR('2. Roles &amp; Pricing'!AM175/40,"")</f>
        <v>0.8</v>
      </c>
      <c r="AL20" s="708">
        <f>IFERROR('2. Roles &amp; Pricing'!AN175/40,"")</f>
        <v>0.8</v>
      </c>
      <c r="AM20" s="708">
        <f>IFERROR('2. Roles &amp; Pricing'!AO175/40,"")</f>
        <v>0.8</v>
      </c>
      <c r="AN20" s="708">
        <f>IFERROR('2. Roles &amp; Pricing'!AP175/40,"")</f>
        <v>0.8</v>
      </c>
      <c r="AO20" s="708">
        <f>IFERROR('2. Roles &amp; Pricing'!AQ175/40,"")</f>
        <v>0.8</v>
      </c>
      <c r="AP20" s="708">
        <f>IFERROR('2. Roles &amp; Pricing'!AR175/40,"")</f>
        <v>0.8</v>
      </c>
      <c r="AQ20" s="708">
        <f>IFERROR('2. Roles &amp; Pricing'!AS175/40,"")</f>
        <v>0.8</v>
      </c>
      <c r="AR20" s="708" t="str">
        <f>IFERROR('2. Roles &amp; Pricing'!AT175/40,"")</f>
        <v/>
      </c>
      <c r="AS20" s="708" t="str">
        <f>IFERROR('2. Roles &amp; Pricing'!AU175/40,"")</f>
        <v/>
      </c>
      <c r="AT20" s="708" t="str">
        <f>IFERROR('2. Roles &amp; Pricing'!AV175/40,"")</f>
        <v/>
      </c>
      <c r="AU20" s="708" t="str">
        <f>IFERROR('2. Roles &amp; Pricing'!AW175/40,"")</f>
        <v/>
      </c>
      <c r="AV20" s="708" t="str">
        <f>IFERROR('2. Roles &amp; Pricing'!AX175/40,"")</f>
        <v/>
      </c>
      <c r="AW20" s="708" t="str">
        <f>IFERROR('2. Roles &amp; Pricing'!AY175/40,"")</f>
        <v/>
      </c>
      <c r="AX20" s="708" t="str">
        <f>IFERROR('2. Roles &amp; Pricing'!AZ175/40,"")</f>
        <v/>
      </c>
      <c r="AY20" s="708" t="str">
        <f>IFERROR('2. Roles &amp; Pricing'!BA175/40,"")</f>
        <v/>
      </c>
      <c r="AZ20" s="708" t="str">
        <f>IFERROR('2. Roles &amp; Pricing'!BB175/40,"")</f>
        <v/>
      </c>
      <c r="BA20" s="708" t="str">
        <f>IFERROR('2. Roles &amp; Pricing'!BC175/40,"")</f>
        <v/>
      </c>
      <c r="BB20" s="708" t="str">
        <f>IFERROR('2. Roles &amp; Pricing'!BD175/40,"")</f>
        <v/>
      </c>
      <c r="BC20" s="708" t="str">
        <f>IFERROR('2. Roles &amp; Pricing'!BE175/40,"")</f>
        <v/>
      </c>
      <c r="BD20" s="708" t="str">
        <f>IFERROR('2. Roles &amp; Pricing'!BF175/40,"")</f>
        <v/>
      </c>
      <c r="BE20" s="708" t="str">
        <f>IFERROR('2. Roles &amp; Pricing'!BG175/40,"")</f>
        <v/>
      </c>
      <c r="BF20" s="708" t="str">
        <f>IFERROR('2. Roles &amp; Pricing'!BH175/40,"")</f>
        <v/>
      </c>
      <c r="BG20" s="708" t="str">
        <f>IFERROR('2. Roles &amp; Pricing'!BI175/40,"")</f>
        <v/>
      </c>
      <c r="BH20" s="708" t="str">
        <f>IFERROR('2. Roles &amp; Pricing'!BJ175/40,"")</f>
        <v/>
      </c>
      <c r="BI20" s="708" t="str">
        <f>IFERROR('2. Roles &amp; Pricing'!BK175/40,"")</f>
        <v/>
      </c>
      <c r="BJ20" s="708" t="str">
        <f>IFERROR('2. Roles &amp; Pricing'!BL175/40,"")</f>
        <v/>
      </c>
      <c r="BK20" s="708" t="str">
        <f>IFERROR('2. Roles &amp; Pricing'!BM175/40,"")</f>
        <v/>
      </c>
      <c r="BL20" s="708" t="str">
        <f>IFERROR('2. Roles &amp; Pricing'!BN175/40,"")</f>
        <v/>
      </c>
      <c r="BM20" s="708" t="str">
        <f>IFERROR('2. Roles &amp; Pricing'!BO175/40,"")</f>
        <v/>
      </c>
      <c r="BN20" s="212">
        <f t="shared" si="49"/>
        <v>24.000000000000011</v>
      </c>
      <c r="BO20" s="213">
        <f t="shared" si="50"/>
        <v>120.00000000000006</v>
      </c>
      <c r="BP20" s="199">
        <f>'2. Roles &amp; Pricing'!D296</f>
        <v>33600</v>
      </c>
      <c r="BQ20" s="199">
        <f>'2. Roles &amp; Pricing'!F296</f>
        <v>12480</v>
      </c>
      <c r="BR20" s="623">
        <f>'2. Roles &amp; Pricing'!F296</f>
        <v>12480</v>
      </c>
      <c r="BS20" s="200">
        <f>'2. Roles &amp; Pricing'!I296</f>
        <v>35</v>
      </c>
      <c r="BT20" s="201">
        <f t="shared" si="51"/>
        <v>33600</v>
      </c>
      <c r="BU20" s="214">
        <f t="shared" si="48"/>
        <v>960.00000000000045</v>
      </c>
      <c r="BV20" s="215"/>
      <c r="BW20" s="211"/>
      <c r="BX20" s="144"/>
      <c r="BY20" s="144"/>
      <c r="BZ20" s="144"/>
      <c r="CA20" s="144"/>
      <c r="CB20" s="144"/>
      <c r="CC20" s="144"/>
      <c r="CD20" s="144"/>
      <c r="CE20" s="144"/>
      <c r="CF20" s="144"/>
      <c r="CG20" s="144"/>
      <c r="CH20" s="144"/>
      <c r="CI20" s="144"/>
      <c r="CJ20" s="144"/>
      <c r="CK20" s="144"/>
      <c r="CL20" s="144"/>
      <c r="CM20" s="144"/>
      <c r="CN20" s="144"/>
      <c r="CO20" s="144"/>
      <c r="CP20" s="144"/>
    </row>
    <row r="21" spans="1:94" s="204" customFormat="1" ht="14.4" thickBot="1" x14ac:dyDescent="0.35">
      <c r="A21" s="205">
        <v>7</v>
      </c>
      <c r="B21" s="206">
        <v>3</v>
      </c>
      <c r="C21" s="207" t="str">
        <f t="shared" si="46"/>
        <v>0__</v>
      </c>
      <c r="D21" s="207" t="str">
        <f t="shared" si="47"/>
        <v>0____0</v>
      </c>
      <c r="E21" s="207">
        <v>21</v>
      </c>
      <c r="F21" s="207">
        <v>8</v>
      </c>
      <c r="G21" s="208">
        <f>'2. Roles &amp; Pricing'!D54</f>
        <v>0</v>
      </c>
      <c r="H21" s="209" t="str">
        <f>'2. Roles &amp; Pricing'!E54</f>
        <v/>
      </c>
      <c r="I21" s="210">
        <f>'2. Roles &amp; Pricing'!F54</f>
        <v>0</v>
      </c>
      <c r="J21" s="210">
        <f>'2. Roles &amp; Pricing'!K54</f>
        <v>0</v>
      </c>
      <c r="K21" s="197" t="str">
        <f>'2. Roles &amp; Pricing'!W54</f>
        <v xml:space="preserve"> </v>
      </c>
      <c r="L21" s="209"/>
      <c r="M21" s="210"/>
      <c r="N21" s="707">
        <f>IFERROR('2. Roles &amp; Pricing'!F176/40,"")</f>
        <v>0.25</v>
      </c>
      <c r="O21" s="707">
        <f>IFERROR('2. Roles &amp; Pricing'!I176/40,"")</f>
        <v>0.25</v>
      </c>
      <c r="P21" s="707">
        <f>IFERROR('2. Roles &amp; Pricing'!K176/40,"")</f>
        <v>0.25</v>
      </c>
      <c r="Q21" s="707">
        <f>IFERROR('2. Roles &amp; Pricing'!L176/40,"")</f>
        <v>0.25</v>
      </c>
      <c r="R21" s="707">
        <f>IFERROR('2. Roles &amp; Pricing'!M176/40,"")</f>
        <v>0.25</v>
      </c>
      <c r="S21" s="707">
        <f>IFERROR('2. Roles &amp; Pricing'!N176/40,"")</f>
        <v>0.25</v>
      </c>
      <c r="T21" s="707">
        <f>IFERROR('2. Roles &amp; Pricing'!O176/40,"")</f>
        <v>0.25</v>
      </c>
      <c r="U21" s="709">
        <f>IFERROR('2. Roles &amp; Pricing'!P176/40,"")</f>
        <v>0.25</v>
      </c>
      <c r="V21" s="709">
        <f>IFERROR('2. Roles &amp; Pricing'!Q176/40,"")</f>
        <v>0.25</v>
      </c>
      <c r="W21" s="709">
        <f>IFERROR('2. Roles &amp; Pricing'!R176/40,"")</f>
        <v>0.25</v>
      </c>
      <c r="X21" s="708">
        <f>IFERROR('2. Roles &amp; Pricing'!S176/40,"")</f>
        <v>0.25</v>
      </c>
      <c r="Y21" s="708">
        <f>IFERROR('2. Roles &amp; Pricing'!T176/40,"")</f>
        <v>0.25</v>
      </c>
      <c r="Z21" s="708">
        <f>IFERROR('2. Roles &amp; Pricing'!U176/40,"")</f>
        <v>0.25</v>
      </c>
      <c r="AA21" s="708">
        <f>IFERROR('2. Roles &amp; Pricing'!Y176/40,"")</f>
        <v>0.25</v>
      </c>
      <c r="AB21" s="708">
        <f>IFERROR('2. Roles &amp; Pricing'!Z176/40,"")</f>
        <v>0.25</v>
      </c>
      <c r="AC21" s="708">
        <f>IFERROR('2. Roles &amp; Pricing'!AA176/40,"")</f>
        <v>0.25</v>
      </c>
      <c r="AD21" s="708">
        <f>IFERROR('2. Roles &amp; Pricing'!AB176/40,"")</f>
        <v>0.25</v>
      </c>
      <c r="AE21" s="708">
        <f>IFERROR('2. Roles &amp; Pricing'!AG176/40,"")</f>
        <v>0.25</v>
      </c>
      <c r="AF21" s="708">
        <f>IFERROR('2. Roles &amp; Pricing'!AH176/40,"")</f>
        <v>0.25</v>
      </c>
      <c r="AG21" s="708">
        <f>IFERROR('2. Roles &amp; Pricing'!AI176/40,"")</f>
        <v>0.25</v>
      </c>
      <c r="AH21" s="708">
        <f>IFERROR('2. Roles &amp; Pricing'!AJ176/40,"")</f>
        <v>0.25</v>
      </c>
      <c r="AI21" s="708">
        <f>IFERROR('2. Roles &amp; Pricing'!AK176/40,"")</f>
        <v>0.25</v>
      </c>
      <c r="AJ21" s="708">
        <f>IFERROR('2. Roles &amp; Pricing'!AL176/40,"")</f>
        <v>0.25</v>
      </c>
      <c r="AK21" s="708">
        <f>IFERROR('2. Roles &amp; Pricing'!AM176/40,"")</f>
        <v>0.25</v>
      </c>
      <c r="AL21" s="708">
        <f>IFERROR('2. Roles &amp; Pricing'!AN176/40,"")</f>
        <v>0.25</v>
      </c>
      <c r="AM21" s="708">
        <f>IFERROR('2. Roles &amp; Pricing'!AO176/40,"")</f>
        <v>0.25</v>
      </c>
      <c r="AN21" s="708">
        <f>IFERROR('2. Roles &amp; Pricing'!AP176/40,"")</f>
        <v>0.25</v>
      </c>
      <c r="AO21" s="708">
        <f>IFERROR('2. Roles &amp; Pricing'!AQ176/40,"")</f>
        <v>0.25</v>
      </c>
      <c r="AP21" s="708">
        <f>IFERROR('2. Roles &amp; Pricing'!AR176/40,"")</f>
        <v>0.25</v>
      </c>
      <c r="AQ21" s="708">
        <f>IFERROR('2. Roles &amp; Pricing'!AS176/40,"")</f>
        <v>0.25</v>
      </c>
      <c r="AR21" s="708" t="str">
        <f>IFERROR('2. Roles &amp; Pricing'!AT176/40,"")</f>
        <v/>
      </c>
      <c r="AS21" s="708" t="str">
        <f>IFERROR('2. Roles &amp; Pricing'!AU176/40,"")</f>
        <v/>
      </c>
      <c r="AT21" s="708" t="str">
        <f>IFERROR('2. Roles &amp; Pricing'!AV176/40,"")</f>
        <v/>
      </c>
      <c r="AU21" s="708" t="str">
        <f>IFERROR('2. Roles &amp; Pricing'!AW176/40,"")</f>
        <v/>
      </c>
      <c r="AV21" s="708" t="str">
        <f>IFERROR('2. Roles &amp; Pricing'!AX176/40,"")</f>
        <v/>
      </c>
      <c r="AW21" s="708" t="str">
        <f>IFERROR('2. Roles &amp; Pricing'!AY176/40,"")</f>
        <v/>
      </c>
      <c r="AX21" s="708" t="str">
        <f>IFERROR('2. Roles &amp; Pricing'!AZ176/40,"")</f>
        <v/>
      </c>
      <c r="AY21" s="708" t="str">
        <f>IFERROR('2. Roles &amp; Pricing'!BA176/40,"")</f>
        <v/>
      </c>
      <c r="AZ21" s="708" t="str">
        <f>IFERROR('2. Roles &amp; Pricing'!BB176/40,"")</f>
        <v/>
      </c>
      <c r="BA21" s="708" t="str">
        <f>IFERROR('2. Roles &amp; Pricing'!BC176/40,"")</f>
        <v/>
      </c>
      <c r="BB21" s="708" t="str">
        <f>IFERROR('2. Roles &amp; Pricing'!BD176/40,"")</f>
        <v/>
      </c>
      <c r="BC21" s="708" t="str">
        <f>IFERROR('2. Roles &amp; Pricing'!BE176/40,"")</f>
        <v/>
      </c>
      <c r="BD21" s="708" t="str">
        <f>IFERROR('2. Roles &amp; Pricing'!BF176/40,"")</f>
        <v/>
      </c>
      <c r="BE21" s="708" t="str">
        <f>IFERROR('2. Roles &amp; Pricing'!BG176/40,"")</f>
        <v/>
      </c>
      <c r="BF21" s="708" t="str">
        <f>IFERROR('2. Roles &amp; Pricing'!BH176/40,"")</f>
        <v/>
      </c>
      <c r="BG21" s="708" t="str">
        <f>IFERROR('2. Roles &amp; Pricing'!BI176/40,"")</f>
        <v/>
      </c>
      <c r="BH21" s="708" t="str">
        <f>IFERROR('2. Roles &amp; Pricing'!BJ176/40,"")</f>
        <v/>
      </c>
      <c r="BI21" s="708" t="str">
        <f>IFERROR('2. Roles &amp; Pricing'!BK176/40,"")</f>
        <v/>
      </c>
      <c r="BJ21" s="708" t="str">
        <f>IFERROR('2. Roles &amp; Pricing'!BL176/40,"")</f>
        <v/>
      </c>
      <c r="BK21" s="708" t="str">
        <f>IFERROR('2. Roles &amp; Pricing'!BM176/40,"")</f>
        <v/>
      </c>
      <c r="BL21" s="708" t="str">
        <f>IFERROR('2. Roles &amp; Pricing'!BN176/40,"")</f>
        <v/>
      </c>
      <c r="BM21" s="708" t="str">
        <f>IFERROR('2. Roles &amp; Pricing'!BO176/40,"")</f>
        <v/>
      </c>
      <c r="BN21" s="212">
        <f t="shared" si="49"/>
        <v>7.5</v>
      </c>
      <c r="BO21" s="213">
        <f t="shared" si="50"/>
        <v>37.5</v>
      </c>
      <c r="BP21" s="199">
        <f>'2. Roles &amp; Pricing'!D297</f>
        <v>0</v>
      </c>
      <c r="BQ21" s="199">
        <f>'2. Roles &amp; Pricing'!F297</f>
        <v>0</v>
      </c>
      <c r="BR21" s="623">
        <f>'2. Roles &amp; Pricing'!F297</f>
        <v>0</v>
      </c>
      <c r="BS21" s="200">
        <f>'2. Roles &amp; Pricing'!I297</f>
        <v>0</v>
      </c>
      <c r="BT21" s="201">
        <f t="shared" si="51"/>
        <v>0</v>
      </c>
      <c r="BU21" s="214">
        <f t="shared" si="48"/>
        <v>300</v>
      </c>
      <c r="BV21" s="215"/>
      <c r="BW21" s="211"/>
      <c r="BX21" s="144"/>
      <c r="BY21" s="144"/>
      <c r="BZ21" s="144"/>
      <c r="CA21" s="144"/>
      <c r="CB21" s="144"/>
      <c r="CC21" s="144"/>
      <c r="CD21" s="144"/>
      <c r="CE21" s="144"/>
      <c r="CF21" s="144"/>
      <c r="CG21" s="144"/>
      <c r="CH21" s="144"/>
      <c r="CI21" s="144"/>
      <c r="CJ21" s="144"/>
      <c r="CK21" s="144"/>
      <c r="CL21" s="144"/>
      <c r="CM21" s="144"/>
      <c r="CN21" s="144"/>
      <c r="CO21" s="144"/>
      <c r="CP21" s="144"/>
    </row>
    <row r="22" spans="1:94" s="204" customFormat="1" ht="14.4" thickBot="1" x14ac:dyDescent="0.35">
      <c r="A22" s="205">
        <v>8</v>
      </c>
      <c r="B22" s="206">
        <v>3</v>
      </c>
      <c r="C22" s="207" t="str">
        <f t="shared" si="46"/>
        <v>0__</v>
      </c>
      <c r="D22" s="207" t="str">
        <f t="shared" si="47"/>
        <v>0____0</v>
      </c>
      <c r="E22" s="207">
        <v>20</v>
      </c>
      <c r="F22" s="207">
        <v>10</v>
      </c>
      <c r="G22" s="208">
        <f>'2. Roles &amp; Pricing'!D55</f>
        <v>0</v>
      </c>
      <c r="H22" s="209" t="str">
        <f>'2. Roles &amp; Pricing'!E55</f>
        <v/>
      </c>
      <c r="I22" s="210">
        <f>'2. Roles &amp; Pricing'!F55</f>
        <v>0</v>
      </c>
      <c r="J22" s="210">
        <f>'2. Roles &amp; Pricing'!K55</f>
        <v>0</v>
      </c>
      <c r="K22" s="197" t="str">
        <f>'2. Roles &amp; Pricing'!W55</f>
        <v xml:space="preserve"> </v>
      </c>
      <c r="L22" s="209"/>
      <c r="M22" s="210"/>
      <c r="N22" s="707" t="str">
        <f>IFERROR('2. Roles &amp; Pricing'!F177/40,"")</f>
        <v/>
      </c>
      <c r="O22" s="707" t="str">
        <f>IFERROR('2. Roles &amp; Pricing'!I177/40,"")</f>
        <v/>
      </c>
      <c r="P22" s="707" t="str">
        <f>IFERROR('2. Roles &amp; Pricing'!K177/40,"")</f>
        <v/>
      </c>
      <c r="Q22" s="707" t="str">
        <f>IFERROR('2. Roles &amp; Pricing'!L177/40,"")</f>
        <v/>
      </c>
      <c r="R22" s="707" t="str">
        <f>IFERROR('2. Roles &amp; Pricing'!M177/40,"")</f>
        <v/>
      </c>
      <c r="S22" s="707" t="str">
        <f>IFERROR('2. Roles &amp; Pricing'!N177/40,"")</f>
        <v/>
      </c>
      <c r="T22" s="707" t="str">
        <f>IFERROR('2. Roles &amp; Pricing'!O177/40,"")</f>
        <v/>
      </c>
      <c r="U22" s="709" t="str">
        <f>IFERROR('2. Roles &amp; Pricing'!P177/40,"")</f>
        <v/>
      </c>
      <c r="V22" s="709" t="str">
        <f>IFERROR('2. Roles &amp; Pricing'!Q177/40,"")</f>
        <v/>
      </c>
      <c r="W22" s="709" t="str">
        <f>IFERROR('2. Roles &amp; Pricing'!R177/40,"")</f>
        <v/>
      </c>
      <c r="X22" s="708" t="str">
        <f>IFERROR('2. Roles &amp; Pricing'!S177/40,"")</f>
        <v/>
      </c>
      <c r="Y22" s="708" t="str">
        <f>IFERROR('2. Roles &amp; Pricing'!T177/40,"")</f>
        <v/>
      </c>
      <c r="Z22" s="708" t="str">
        <f>IFERROR('2. Roles &amp; Pricing'!U177/40,"")</f>
        <v/>
      </c>
      <c r="AA22" s="708" t="str">
        <f>IFERROR('2. Roles &amp; Pricing'!Y177/40,"")</f>
        <v/>
      </c>
      <c r="AB22" s="708" t="str">
        <f>IFERROR('2. Roles &amp; Pricing'!Z177/40,"")</f>
        <v/>
      </c>
      <c r="AC22" s="708" t="str">
        <f>IFERROR('2. Roles &amp; Pricing'!AA177/40,"")</f>
        <v/>
      </c>
      <c r="AD22" s="708" t="str">
        <f>IFERROR('2. Roles &amp; Pricing'!AB177/40,"")</f>
        <v/>
      </c>
      <c r="AE22" s="708" t="str">
        <f>IFERROR('2. Roles &amp; Pricing'!AG177/40,"")</f>
        <v/>
      </c>
      <c r="AF22" s="708" t="str">
        <f>IFERROR('2. Roles &amp; Pricing'!AH177/40,"")</f>
        <v/>
      </c>
      <c r="AG22" s="708" t="str">
        <f>IFERROR('2. Roles &amp; Pricing'!AI177/40,"")</f>
        <v/>
      </c>
      <c r="AH22" s="708" t="str">
        <f>IFERROR('2. Roles &amp; Pricing'!AJ177/40,"")</f>
        <v/>
      </c>
      <c r="AI22" s="708" t="str">
        <f>IFERROR('2. Roles &amp; Pricing'!AK177/40,"")</f>
        <v/>
      </c>
      <c r="AJ22" s="708" t="str">
        <f>IFERROR('2. Roles &amp; Pricing'!AL177/40,"")</f>
        <v/>
      </c>
      <c r="AK22" s="708" t="str">
        <f>IFERROR('2. Roles &amp; Pricing'!AM177/40,"")</f>
        <v/>
      </c>
      <c r="AL22" s="708" t="str">
        <f>IFERROR('2. Roles &amp; Pricing'!AN177/40,"")</f>
        <v/>
      </c>
      <c r="AM22" s="708" t="str">
        <f>IFERROR('2. Roles &amp; Pricing'!AO177/40,"")</f>
        <v/>
      </c>
      <c r="AN22" s="708" t="str">
        <f>IFERROR('2. Roles &amp; Pricing'!AP177/40,"")</f>
        <v/>
      </c>
      <c r="AO22" s="708" t="str">
        <f>IFERROR('2. Roles &amp; Pricing'!AQ177/40,"")</f>
        <v/>
      </c>
      <c r="AP22" s="708" t="str">
        <f>IFERROR('2. Roles &amp; Pricing'!AR177/40,"")</f>
        <v/>
      </c>
      <c r="AQ22" s="708" t="str">
        <f>IFERROR('2. Roles &amp; Pricing'!AS177/40,"")</f>
        <v/>
      </c>
      <c r="AR22" s="708" t="str">
        <f>IFERROR('2. Roles &amp; Pricing'!AT177/40,"")</f>
        <v/>
      </c>
      <c r="AS22" s="708" t="str">
        <f>IFERROR('2. Roles &amp; Pricing'!AU177/40,"")</f>
        <v/>
      </c>
      <c r="AT22" s="708" t="str">
        <f>IFERROR('2. Roles &amp; Pricing'!AV177/40,"")</f>
        <v/>
      </c>
      <c r="AU22" s="708" t="str">
        <f>IFERROR('2. Roles &amp; Pricing'!AW177/40,"")</f>
        <v/>
      </c>
      <c r="AV22" s="708" t="str">
        <f>IFERROR('2. Roles &amp; Pricing'!AX177/40,"")</f>
        <v/>
      </c>
      <c r="AW22" s="708" t="str">
        <f>IFERROR('2. Roles &amp; Pricing'!AY177/40,"")</f>
        <v/>
      </c>
      <c r="AX22" s="708" t="str">
        <f>IFERROR('2. Roles &amp; Pricing'!AZ177/40,"")</f>
        <v/>
      </c>
      <c r="AY22" s="708" t="str">
        <f>IFERROR('2. Roles &amp; Pricing'!BA177/40,"")</f>
        <v/>
      </c>
      <c r="AZ22" s="708" t="str">
        <f>IFERROR('2. Roles &amp; Pricing'!BB177/40,"")</f>
        <v/>
      </c>
      <c r="BA22" s="708" t="str">
        <f>IFERROR('2. Roles &amp; Pricing'!BC177/40,"")</f>
        <v/>
      </c>
      <c r="BB22" s="708" t="str">
        <f>IFERROR('2. Roles &amp; Pricing'!BD177/40,"")</f>
        <v/>
      </c>
      <c r="BC22" s="708" t="str">
        <f>IFERROR('2. Roles &amp; Pricing'!BE177/40,"")</f>
        <v/>
      </c>
      <c r="BD22" s="708" t="str">
        <f>IFERROR('2. Roles &amp; Pricing'!BF177/40,"")</f>
        <v/>
      </c>
      <c r="BE22" s="708" t="str">
        <f>IFERROR('2. Roles &amp; Pricing'!BG177/40,"")</f>
        <v/>
      </c>
      <c r="BF22" s="708" t="str">
        <f>IFERROR('2. Roles &amp; Pricing'!BH177/40,"")</f>
        <v/>
      </c>
      <c r="BG22" s="708" t="str">
        <f>IFERROR('2. Roles &amp; Pricing'!BI177/40,"")</f>
        <v/>
      </c>
      <c r="BH22" s="708" t="str">
        <f>IFERROR('2. Roles &amp; Pricing'!BJ177/40,"")</f>
        <v/>
      </c>
      <c r="BI22" s="708" t="str">
        <f>IFERROR('2. Roles &amp; Pricing'!BK177/40,"")</f>
        <v/>
      </c>
      <c r="BJ22" s="708" t="str">
        <f>IFERROR('2. Roles &amp; Pricing'!BL177/40,"")</f>
        <v/>
      </c>
      <c r="BK22" s="708" t="str">
        <f>IFERROR('2. Roles &amp; Pricing'!BM177/40,"")</f>
        <v/>
      </c>
      <c r="BL22" s="708" t="str">
        <f>IFERROR('2. Roles &amp; Pricing'!BN177/40,"")</f>
        <v/>
      </c>
      <c r="BM22" s="708" t="str">
        <f>IFERROR('2. Roles &amp; Pricing'!BO177/40,"")</f>
        <v/>
      </c>
      <c r="BN22" s="212">
        <f t="shared" si="49"/>
        <v>0</v>
      </c>
      <c r="BO22" s="213">
        <f t="shared" si="50"/>
        <v>0</v>
      </c>
      <c r="BP22" s="199" t="str">
        <f>'2. Roles &amp; Pricing'!D298</f>
        <v/>
      </c>
      <c r="BQ22" s="199">
        <f>'2. Roles &amp; Pricing'!F298</f>
        <v>0</v>
      </c>
      <c r="BR22" s="623">
        <f>'2. Roles &amp; Pricing'!F298</f>
        <v>0</v>
      </c>
      <c r="BS22" s="200">
        <f>'2. Roles &amp; Pricing'!I298</f>
        <v>0</v>
      </c>
      <c r="BT22" s="201" t="str">
        <f t="shared" si="51"/>
        <v/>
      </c>
      <c r="BU22" s="214">
        <f t="shared" si="48"/>
        <v>0</v>
      </c>
      <c r="BV22" s="215"/>
      <c r="BW22" s="211"/>
      <c r="BX22" s="144"/>
      <c r="BY22" s="144"/>
      <c r="BZ22" s="144"/>
      <c r="CA22" s="144"/>
      <c r="CB22" s="144"/>
      <c r="CC22" s="144"/>
      <c r="CD22" s="144"/>
      <c r="CE22" s="144"/>
      <c r="CF22" s="144"/>
      <c r="CG22" s="144"/>
      <c r="CH22" s="144"/>
      <c r="CI22" s="144"/>
      <c r="CJ22" s="144"/>
      <c r="CK22" s="144"/>
      <c r="CL22" s="144"/>
      <c r="CM22" s="144"/>
      <c r="CN22" s="144"/>
      <c r="CO22" s="144"/>
      <c r="CP22" s="144"/>
    </row>
    <row r="23" spans="1:94" s="204" customFormat="1" ht="14.4" thickBot="1" x14ac:dyDescent="0.35">
      <c r="A23" s="205">
        <v>9</v>
      </c>
      <c r="B23" s="206">
        <v>3</v>
      </c>
      <c r="C23" s="207" t="str">
        <f t="shared" si="46"/>
        <v>0__</v>
      </c>
      <c r="D23" s="207" t="str">
        <f t="shared" si="47"/>
        <v>0____0</v>
      </c>
      <c r="E23" s="207">
        <v>21</v>
      </c>
      <c r="F23" s="207">
        <v>8</v>
      </c>
      <c r="G23" s="208">
        <f>'2. Roles &amp; Pricing'!D56</f>
        <v>0</v>
      </c>
      <c r="H23" s="209" t="str">
        <f>'2. Roles &amp; Pricing'!E56</f>
        <v/>
      </c>
      <c r="I23" s="210">
        <f>'2. Roles &amp; Pricing'!F56</f>
        <v>0</v>
      </c>
      <c r="J23" s="210">
        <f>'2. Roles &amp; Pricing'!K56</f>
        <v>0</v>
      </c>
      <c r="K23" s="197" t="str">
        <f>'2. Roles &amp; Pricing'!W56</f>
        <v xml:space="preserve"> </v>
      </c>
      <c r="L23" s="209"/>
      <c r="M23" s="210"/>
      <c r="N23" s="707" t="str">
        <f>IFERROR('2. Roles &amp; Pricing'!F178/40,"")</f>
        <v/>
      </c>
      <c r="O23" s="707" t="str">
        <f>IFERROR('2. Roles &amp; Pricing'!I178/40,"")</f>
        <v/>
      </c>
      <c r="P23" s="707" t="str">
        <f>IFERROR('2. Roles &amp; Pricing'!K178/40,"")</f>
        <v/>
      </c>
      <c r="Q23" s="707" t="str">
        <f>IFERROR('2. Roles &amp; Pricing'!L178/40,"")</f>
        <v/>
      </c>
      <c r="R23" s="707" t="str">
        <f>IFERROR('2. Roles &amp; Pricing'!M178/40,"")</f>
        <v/>
      </c>
      <c r="S23" s="707" t="str">
        <f>IFERROR('2. Roles &amp; Pricing'!N178/40,"")</f>
        <v/>
      </c>
      <c r="T23" s="707" t="str">
        <f>IFERROR('2. Roles &amp; Pricing'!O178/40,"")</f>
        <v/>
      </c>
      <c r="U23" s="709" t="str">
        <f>IFERROR('2. Roles &amp; Pricing'!P178/40,"")</f>
        <v/>
      </c>
      <c r="V23" s="709" t="str">
        <f>IFERROR('2. Roles &amp; Pricing'!Q178/40,"")</f>
        <v/>
      </c>
      <c r="W23" s="709" t="str">
        <f>IFERROR('2. Roles &amp; Pricing'!R178/40,"")</f>
        <v/>
      </c>
      <c r="X23" s="708" t="str">
        <f>IFERROR('2. Roles &amp; Pricing'!S178/40,"")</f>
        <v/>
      </c>
      <c r="Y23" s="708" t="str">
        <f>IFERROR('2. Roles &amp; Pricing'!T178/40,"")</f>
        <v/>
      </c>
      <c r="Z23" s="708" t="str">
        <f>IFERROR('2. Roles &amp; Pricing'!U178/40,"")</f>
        <v/>
      </c>
      <c r="AA23" s="708" t="str">
        <f>IFERROR('2. Roles &amp; Pricing'!Y178/40,"")</f>
        <v/>
      </c>
      <c r="AB23" s="708" t="str">
        <f>IFERROR('2. Roles &amp; Pricing'!Z178/40,"")</f>
        <v/>
      </c>
      <c r="AC23" s="708" t="str">
        <f>IFERROR('2. Roles &amp; Pricing'!AA178/40,"")</f>
        <v/>
      </c>
      <c r="AD23" s="708" t="str">
        <f>IFERROR('2. Roles &amp; Pricing'!AB178/40,"")</f>
        <v/>
      </c>
      <c r="AE23" s="708" t="str">
        <f>IFERROR('2. Roles &amp; Pricing'!AG178/40,"")</f>
        <v/>
      </c>
      <c r="AF23" s="708" t="str">
        <f>IFERROR('2. Roles &amp; Pricing'!AH178/40,"")</f>
        <v/>
      </c>
      <c r="AG23" s="708" t="str">
        <f>IFERROR('2. Roles &amp; Pricing'!AI178/40,"")</f>
        <v/>
      </c>
      <c r="AH23" s="708" t="str">
        <f>IFERROR('2. Roles &amp; Pricing'!AJ178/40,"")</f>
        <v/>
      </c>
      <c r="AI23" s="708" t="str">
        <f>IFERROR('2. Roles &amp; Pricing'!AK178/40,"")</f>
        <v/>
      </c>
      <c r="AJ23" s="708" t="str">
        <f>IFERROR('2. Roles &amp; Pricing'!AL178/40,"")</f>
        <v/>
      </c>
      <c r="AK23" s="708" t="str">
        <f>IFERROR('2. Roles &amp; Pricing'!AM178/40,"")</f>
        <v/>
      </c>
      <c r="AL23" s="708" t="str">
        <f>IFERROR('2. Roles &amp; Pricing'!AN178/40,"")</f>
        <v/>
      </c>
      <c r="AM23" s="708" t="str">
        <f>IFERROR('2. Roles &amp; Pricing'!AO178/40,"")</f>
        <v/>
      </c>
      <c r="AN23" s="708" t="str">
        <f>IFERROR('2. Roles &amp; Pricing'!AP178/40,"")</f>
        <v/>
      </c>
      <c r="AO23" s="708" t="str">
        <f>IFERROR('2. Roles &amp; Pricing'!AQ178/40,"")</f>
        <v/>
      </c>
      <c r="AP23" s="708" t="str">
        <f>IFERROR('2. Roles &amp; Pricing'!AR178/40,"")</f>
        <v/>
      </c>
      <c r="AQ23" s="708" t="str">
        <f>IFERROR('2. Roles &amp; Pricing'!AS178/40,"")</f>
        <v/>
      </c>
      <c r="AR23" s="708" t="str">
        <f>IFERROR('2. Roles &amp; Pricing'!AT178/40,"")</f>
        <v/>
      </c>
      <c r="AS23" s="708" t="str">
        <f>IFERROR('2. Roles &amp; Pricing'!AU178/40,"")</f>
        <v/>
      </c>
      <c r="AT23" s="708" t="str">
        <f>IFERROR('2. Roles &amp; Pricing'!AV178/40,"")</f>
        <v/>
      </c>
      <c r="AU23" s="708" t="str">
        <f>IFERROR('2. Roles &amp; Pricing'!AW178/40,"")</f>
        <v/>
      </c>
      <c r="AV23" s="708" t="str">
        <f>IFERROR('2. Roles &amp; Pricing'!AX178/40,"")</f>
        <v/>
      </c>
      <c r="AW23" s="708" t="str">
        <f>IFERROR('2. Roles &amp; Pricing'!AY178/40,"")</f>
        <v/>
      </c>
      <c r="AX23" s="708" t="str">
        <f>IFERROR('2. Roles &amp; Pricing'!AZ178/40,"")</f>
        <v/>
      </c>
      <c r="AY23" s="708" t="str">
        <f>IFERROR('2. Roles &amp; Pricing'!BA178/40,"")</f>
        <v/>
      </c>
      <c r="AZ23" s="708" t="str">
        <f>IFERROR('2. Roles &amp; Pricing'!BB178/40,"")</f>
        <v/>
      </c>
      <c r="BA23" s="708" t="str">
        <f>IFERROR('2. Roles &amp; Pricing'!BC178/40,"")</f>
        <v/>
      </c>
      <c r="BB23" s="708" t="str">
        <f>IFERROR('2. Roles &amp; Pricing'!BD178/40,"")</f>
        <v/>
      </c>
      <c r="BC23" s="708" t="str">
        <f>IFERROR('2. Roles &amp; Pricing'!BE178/40,"")</f>
        <v/>
      </c>
      <c r="BD23" s="708" t="str">
        <f>IFERROR('2. Roles &amp; Pricing'!BF178/40,"")</f>
        <v/>
      </c>
      <c r="BE23" s="708" t="str">
        <f>IFERROR('2. Roles &amp; Pricing'!BG178/40,"")</f>
        <v/>
      </c>
      <c r="BF23" s="708" t="str">
        <f>IFERROR('2. Roles &amp; Pricing'!BH178/40,"")</f>
        <v/>
      </c>
      <c r="BG23" s="708" t="str">
        <f>IFERROR('2. Roles &amp; Pricing'!BI178/40,"")</f>
        <v/>
      </c>
      <c r="BH23" s="708" t="str">
        <f>IFERROR('2. Roles &amp; Pricing'!BJ178/40,"")</f>
        <v/>
      </c>
      <c r="BI23" s="708" t="str">
        <f>IFERROR('2. Roles &amp; Pricing'!BK178/40,"")</f>
        <v/>
      </c>
      <c r="BJ23" s="708" t="str">
        <f>IFERROR('2. Roles &amp; Pricing'!BL178/40,"")</f>
        <v/>
      </c>
      <c r="BK23" s="708" t="str">
        <f>IFERROR('2. Roles &amp; Pricing'!BM178/40,"")</f>
        <v/>
      </c>
      <c r="BL23" s="708" t="str">
        <f>IFERROR('2. Roles &amp; Pricing'!BN178/40,"")</f>
        <v/>
      </c>
      <c r="BM23" s="708" t="str">
        <f>IFERROR('2. Roles &amp; Pricing'!BO178/40,"")</f>
        <v/>
      </c>
      <c r="BN23" s="212">
        <f t="shared" si="49"/>
        <v>0</v>
      </c>
      <c r="BO23" s="213">
        <f t="shared" si="50"/>
        <v>0</v>
      </c>
      <c r="BP23" s="199" t="str">
        <f>'2. Roles &amp; Pricing'!D299</f>
        <v/>
      </c>
      <c r="BQ23" s="199">
        <f>'2. Roles &amp; Pricing'!F299</f>
        <v>0</v>
      </c>
      <c r="BR23" s="623">
        <f>'2. Roles &amp; Pricing'!F299</f>
        <v>0</v>
      </c>
      <c r="BS23" s="200">
        <f>'2. Roles &amp; Pricing'!I299</f>
        <v>0</v>
      </c>
      <c r="BT23" s="201" t="str">
        <f t="shared" si="51"/>
        <v/>
      </c>
      <c r="BU23" s="214">
        <f t="shared" si="48"/>
        <v>0</v>
      </c>
      <c r="BV23" s="215"/>
      <c r="BW23" s="211"/>
      <c r="BX23" s="144"/>
      <c r="BY23" s="144"/>
      <c r="BZ23" s="144"/>
      <c r="CA23" s="144"/>
      <c r="CB23" s="144"/>
      <c r="CC23" s="144"/>
      <c r="CD23" s="144"/>
      <c r="CE23" s="144"/>
      <c r="CF23" s="144"/>
      <c r="CG23" s="144"/>
      <c r="CH23" s="144"/>
      <c r="CI23" s="144"/>
      <c r="CJ23" s="144"/>
      <c r="CK23" s="144"/>
      <c r="CL23" s="144"/>
      <c r="CM23" s="144"/>
      <c r="CN23" s="144"/>
      <c r="CO23" s="144"/>
      <c r="CP23" s="144"/>
    </row>
    <row r="24" spans="1:94" s="204" customFormat="1" ht="14.4" thickBot="1" x14ac:dyDescent="0.35">
      <c r="A24" s="205">
        <v>10</v>
      </c>
      <c r="B24" s="206">
        <v>3</v>
      </c>
      <c r="C24" s="207" t="str">
        <f t="shared" si="46"/>
        <v>0__</v>
      </c>
      <c r="D24" s="207" t="str">
        <f t="shared" si="47"/>
        <v>0____0</v>
      </c>
      <c r="E24" s="207">
        <v>20</v>
      </c>
      <c r="F24" s="207">
        <v>10</v>
      </c>
      <c r="G24" s="208">
        <f>'2. Roles &amp; Pricing'!D57</f>
        <v>0</v>
      </c>
      <c r="H24" s="209" t="str">
        <f>'2. Roles &amp; Pricing'!E57</f>
        <v/>
      </c>
      <c r="I24" s="210">
        <f>'2. Roles &amp; Pricing'!F57</f>
        <v>0</v>
      </c>
      <c r="J24" s="210">
        <f>'2. Roles &amp; Pricing'!K57</f>
        <v>0</v>
      </c>
      <c r="K24" s="197" t="str">
        <f>'2. Roles &amp; Pricing'!W57</f>
        <v xml:space="preserve"> </v>
      </c>
      <c r="L24" s="209"/>
      <c r="M24" s="210"/>
      <c r="N24" s="707" t="str">
        <f>IFERROR('2. Roles &amp; Pricing'!F179/40,"")</f>
        <v/>
      </c>
      <c r="O24" s="707" t="str">
        <f>IFERROR('2. Roles &amp; Pricing'!I179/40,"")</f>
        <v/>
      </c>
      <c r="P24" s="707" t="str">
        <f>IFERROR('2. Roles &amp; Pricing'!K179/40,"")</f>
        <v/>
      </c>
      <c r="Q24" s="707" t="str">
        <f>IFERROR('2. Roles &amp; Pricing'!L179/40,"")</f>
        <v/>
      </c>
      <c r="R24" s="707" t="str">
        <f>IFERROR('2. Roles &amp; Pricing'!M179/40,"")</f>
        <v/>
      </c>
      <c r="S24" s="707" t="str">
        <f>IFERROR('2. Roles &amp; Pricing'!N179/40,"")</f>
        <v/>
      </c>
      <c r="T24" s="707" t="str">
        <f>IFERROR('2. Roles &amp; Pricing'!O179/40,"")</f>
        <v/>
      </c>
      <c r="U24" s="709" t="str">
        <f>IFERROR('2. Roles &amp; Pricing'!P179/40,"")</f>
        <v/>
      </c>
      <c r="V24" s="709" t="str">
        <f>IFERROR('2. Roles &amp; Pricing'!Q179/40,"")</f>
        <v/>
      </c>
      <c r="W24" s="709" t="str">
        <f>IFERROR('2. Roles &amp; Pricing'!R179/40,"")</f>
        <v/>
      </c>
      <c r="X24" s="708" t="str">
        <f>IFERROR('2. Roles &amp; Pricing'!S179/40,"")</f>
        <v/>
      </c>
      <c r="Y24" s="708" t="str">
        <f>IFERROR('2. Roles &amp; Pricing'!T179/40,"")</f>
        <v/>
      </c>
      <c r="Z24" s="708" t="str">
        <f>IFERROR('2. Roles &amp; Pricing'!U179/40,"")</f>
        <v/>
      </c>
      <c r="AA24" s="708" t="str">
        <f>IFERROR('2. Roles &amp; Pricing'!Y179/40,"")</f>
        <v/>
      </c>
      <c r="AB24" s="708" t="str">
        <f>IFERROR('2. Roles &amp; Pricing'!Z179/40,"")</f>
        <v/>
      </c>
      <c r="AC24" s="708" t="str">
        <f>IFERROR('2. Roles &amp; Pricing'!AA179/40,"")</f>
        <v/>
      </c>
      <c r="AD24" s="708" t="str">
        <f>IFERROR('2. Roles &amp; Pricing'!AB179/40,"")</f>
        <v/>
      </c>
      <c r="AE24" s="708" t="str">
        <f>IFERROR('2. Roles &amp; Pricing'!AG179/40,"")</f>
        <v/>
      </c>
      <c r="AF24" s="708" t="str">
        <f>IFERROR('2. Roles &amp; Pricing'!AH179/40,"")</f>
        <v/>
      </c>
      <c r="AG24" s="708" t="str">
        <f>IFERROR('2. Roles &amp; Pricing'!AI179/40,"")</f>
        <v/>
      </c>
      <c r="AH24" s="708" t="str">
        <f>IFERROR('2. Roles &amp; Pricing'!AJ179/40,"")</f>
        <v/>
      </c>
      <c r="AI24" s="708" t="str">
        <f>IFERROR('2. Roles &amp; Pricing'!AK179/40,"")</f>
        <v/>
      </c>
      <c r="AJ24" s="708" t="str">
        <f>IFERROR('2. Roles &amp; Pricing'!AL179/40,"")</f>
        <v/>
      </c>
      <c r="AK24" s="708" t="str">
        <f>IFERROR('2. Roles &amp; Pricing'!AM179/40,"")</f>
        <v/>
      </c>
      <c r="AL24" s="708" t="str">
        <f>IFERROR('2. Roles &amp; Pricing'!AN179/40,"")</f>
        <v/>
      </c>
      <c r="AM24" s="708" t="str">
        <f>IFERROR('2. Roles &amp; Pricing'!AO179/40,"")</f>
        <v/>
      </c>
      <c r="AN24" s="708" t="str">
        <f>IFERROR('2. Roles &amp; Pricing'!AP179/40,"")</f>
        <v/>
      </c>
      <c r="AO24" s="708" t="str">
        <f>IFERROR('2. Roles &amp; Pricing'!AQ179/40,"")</f>
        <v/>
      </c>
      <c r="AP24" s="708" t="str">
        <f>IFERROR('2. Roles &amp; Pricing'!AR179/40,"")</f>
        <v/>
      </c>
      <c r="AQ24" s="708" t="str">
        <f>IFERROR('2. Roles &amp; Pricing'!AS179/40,"")</f>
        <v/>
      </c>
      <c r="AR24" s="708" t="str">
        <f>IFERROR('2. Roles &amp; Pricing'!AT179/40,"")</f>
        <v/>
      </c>
      <c r="AS24" s="708" t="str">
        <f>IFERROR('2. Roles &amp; Pricing'!AU179/40,"")</f>
        <v/>
      </c>
      <c r="AT24" s="708" t="str">
        <f>IFERROR('2. Roles &amp; Pricing'!AV179/40,"")</f>
        <v/>
      </c>
      <c r="AU24" s="708" t="str">
        <f>IFERROR('2. Roles &amp; Pricing'!AW179/40,"")</f>
        <v/>
      </c>
      <c r="AV24" s="708" t="str">
        <f>IFERROR('2. Roles &amp; Pricing'!AX179/40,"")</f>
        <v/>
      </c>
      <c r="AW24" s="708" t="str">
        <f>IFERROR('2. Roles &amp; Pricing'!AY179/40,"")</f>
        <v/>
      </c>
      <c r="AX24" s="708" t="str">
        <f>IFERROR('2. Roles &amp; Pricing'!AZ179/40,"")</f>
        <v/>
      </c>
      <c r="AY24" s="708" t="str">
        <f>IFERROR('2. Roles &amp; Pricing'!BA179/40,"")</f>
        <v/>
      </c>
      <c r="AZ24" s="708" t="str">
        <f>IFERROR('2. Roles &amp; Pricing'!BB179/40,"")</f>
        <v/>
      </c>
      <c r="BA24" s="708" t="str">
        <f>IFERROR('2. Roles &amp; Pricing'!BC179/40,"")</f>
        <v/>
      </c>
      <c r="BB24" s="708" t="str">
        <f>IFERROR('2. Roles &amp; Pricing'!BD179/40,"")</f>
        <v/>
      </c>
      <c r="BC24" s="708" t="str">
        <f>IFERROR('2. Roles &amp; Pricing'!BE179/40,"")</f>
        <v/>
      </c>
      <c r="BD24" s="708" t="str">
        <f>IFERROR('2. Roles &amp; Pricing'!BF179/40,"")</f>
        <v/>
      </c>
      <c r="BE24" s="708" t="str">
        <f>IFERROR('2. Roles &amp; Pricing'!BG179/40,"")</f>
        <v/>
      </c>
      <c r="BF24" s="708" t="str">
        <f>IFERROR('2. Roles &amp; Pricing'!BH179/40,"")</f>
        <v/>
      </c>
      <c r="BG24" s="708" t="str">
        <f>IFERROR('2. Roles &amp; Pricing'!BI179/40,"")</f>
        <v/>
      </c>
      <c r="BH24" s="708" t="str">
        <f>IFERROR('2. Roles &amp; Pricing'!BJ179/40,"")</f>
        <v/>
      </c>
      <c r="BI24" s="708" t="str">
        <f>IFERROR('2. Roles &amp; Pricing'!BK179/40,"")</f>
        <v/>
      </c>
      <c r="BJ24" s="708" t="str">
        <f>IFERROR('2. Roles &amp; Pricing'!BL179/40,"")</f>
        <v/>
      </c>
      <c r="BK24" s="708" t="str">
        <f>IFERROR('2. Roles &amp; Pricing'!BM179/40,"")</f>
        <v/>
      </c>
      <c r="BL24" s="708" t="str">
        <f>IFERROR('2. Roles &amp; Pricing'!BN179/40,"")</f>
        <v/>
      </c>
      <c r="BM24" s="708" t="str">
        <f>IFERROR('2. Roles &amp; Pricing'!BO179/40,"")</f>
        <v/>
      </c>
      <c r="BN24" s="212">
        <f t="shared" si="49"/>
        <v>0</v>
      </c>
      <c r="BO24" s="213">
        <f t="shared" si="50"/>
        <v>0</v>
      </c>
      <c r="BP24" s="199" t="str">
        <f>'2. Roles &amp; Pricing'!D300</f>
        <v/>
      </c>
      <c r="BQ24" s="199">
        <f>'2. Roles &amp; Pricing'!F300</f>
        <v>0</v>
      </c>
      <c r="BR24" s="623">
        <f>'2. Roles &amp; Pricing'!F300</f>
        <v>0</v>
      </c>
      <c r="BS24" s="200">
        <f>'2. Roles &amp; Pricing'!I300</f>
        <v>0</v>
      </c>
      <c r="BT24" s="201" t="str">
        <f t="shared" si="51"/>
        <v/>
      </c>
      <c r="BU24" s="214">
        <f t="shared" si="48"/>
        <v>0</v>
      </c>
      <c r="BV24" s="215"/>
      <c r="BW24" s="211"/>
      <c r="BX24" s="144"/>
      <c r="BY24" s="144"/>
      <c r="BZ24" s="144"/>
      <c r="CA24" s="144"/>
      <c r="CB24" s="144"/>
      <c r="CC24" s="144"/>
      <c r="CD24" s="144"/>
      <c r="CE24" s="144"/>
      <c r="CF24" s="144"/>
      <c r="CG24" s="144"/>
      <c r="CH24" s="144"/>
      <c r="CI24" s="144"/>
      <c r="CJ24" s="144"/>
      <c r="CK24" s="144"/>
      <c r="CL24" s="144"/>
      <c r="CM24" s="144"/>
      <c r="CN24" s="144"/>
      <c r="CO24" s="144"/>
      <c r="CP24" s="144"/>
    </row>
    <row r="25" spans="1:94" s="204" customFormat="1" ht="14.4" thickBot="1" x14ac:dyDescent="0.35">
      <c r="A25" s="205">
        <v>11</v>
      </c>
      <c r="B25" s="206">
        <v>3</v>
      </c>
      <c r="C25" s="207" t="str">
        <f t="shared" si="46"/>
        <v>0__</v>
      </c>
      <c r="D25" s="207" t="str">
        <f t="shared" si="47"/>
        <v>0____0</v>
      </c>
      <c r="E25" s="207">
        <v>20</v>
      </c>
      <c r="F25" s="207">
        <v>10</v>
      </c>
      <c r="G25" s="208">
        <f>'2. Roles &amp; Pricing'!D58</f>
        <v>0</v>
      </c>
      <c r="H25" s="209" t="str">
        <f>'2. Roles &amp; Pricing'!E58</f>
        <v/>
      </c>
      <c r="I25" s="210">
        <f>'2. Roles &amp; Pricing'!F58</f>
        <v>0</v>
      </c>
      <c r="J25" s="210">
        <f>'2. Roles &amp; Pricing'!K58</f>
        <v>0</v>
      </c>
      <c r="K25" s="197" t="str">
        <f>'2. Roles &amp; Pricing'!W58</f>
        <v xml:space="preserve"> </v>
      </c>
      <c r="L25" s="209"/>
      <c r="M25" s="210"/>
      <c r="N25" s="707" t="str">
        <f>IFERROR('2. Roles &amp; Pricing'!F180/40,"")</f>
        <v/>
      </c>
      <c r="O25" s="707" t="str">
        <f>IFERROR('2. Roles &amp; Pricing'!I180/40,"")</f>
        <v/>
      </c>
      <c r="P25" s="707" t="str">
        <f>IFERROR('2. Roles &amp; Pricing'!K180/40,"")</f>
        <v/>
      </c>
      <c r="Q25" s="707" t="str">
        <f>IFERROR('2. Roles &amp; Pricing'!L180/40,"")</f>
        <v/>
      </c>
      <c r="R25" s="707" t="str">
        <f>IFERROR('2. Roles &amp; Pricing'!M180/40,"")</f>
        <v/>
      </c>
      <c r="S25" s="707" t="str">
        <f>IFERROR('2. Roles &amp; Pricing'!N180/40,"")</f>
        <v/>
      </c>
      <c r="T25" s="707" t="str">
        <f>IFERROR('2. Roles &amp; Pricing'!O180/40,"")</f>
        <v/>
      </c>
      <c r="U25" s="709" t="str">
        <f>IFERROR('2. Roles &amp; Pricing'!P180/40,"")</f>
        <v/>
      </c>
      <c r="V25" s="709" t="str">
        <f>IFERROR('2. Roles &amp; Pricing'!Q180/40,"")</f>
        <v/>
      </c>
      <c r="W25" s="709" t="str">
        <f>IFERROR('2. Roles &amp; Pricing'!R180/40,"")</f>
        <v/>
      </c>
      <c r="X25" s="708" t="str">
        <f>IFERROR('2. Roles &amp; Pricing'!S180/40,"")</f>
        <v/>
      </c>
      <c r="Y25" s="708" t="str">
        <f>IFERROR('2. Roles &amp; Pricing'!T180/40,"")</f>
        <v/>
      </c>
      <c r="Z25" s="708" t="str">
        <f>IFERROR('2. Roles &amp; Pricing'!U180/40,"")</f>
        <v/>
      </c>
      <c r="AA25" s="708" t="str">
        <f>IFERROR('2. Roles &amp; Pricing'!Y180/40,"")</f>
        <v/>
      </c>
      <c r="AB25" s="708" t="str">
        <f>IFERROR('2. Roles &amp; Pricing'!Z180/40,"")</f>
        <v/>
      </c>
      <c r="AC25" s="708" t="str">
        <f>IFERROR('2. Roles &amp; Pricing'!AA180/40,"")</f>
        <v/>
      </c>
      <c r="AD25" s="708" t="str">
        <f>IFERROR('2. Roles &amp; Pricing'!AB180/40,"")</f>
        <v/>
      </c>
      <c r="AE25" s="708" t="str">
        <f>IFERROR('2. Roles &amp; Pricing'!AG180/40,"")</f>
        <v/>
      </c>
      <c r="AF25" s="708" t="str">
        <f>IFERROR('2. Roles &amp; Pricing'!AH180/40,"")</f>
        <v/>
      </c>
      <c r="AG25" s="708" t="str">
        <f>IFERROR('2. Roles &amp; Pricing'!AI180/40,"")</f>
        <v/>
      </c>
      <c r="AH25" s="708" t="str">
        <f>IFERROR('2. Roles &amp; Pricing'!AJ180/40,"")</f>
        <v/>
      </c>
      <c r="AI25" s="708" t="str">
        <f>IFERROR('2. Roles &amp; Pricing'!AK180/40,"")</f>
        <v/>
      </c>
      <c r="AJ25" s="708" t="str">
        <f>IFERROR('2. Roles &amp; Pricing'!AL180/40,"")</f>
        <v/>
      </c>
      <c r="AK25" s="708" t="str">
        <f>IFERROR('2. Roles &amp; Pricing'!AM180/40,"")</f>
        <v/>
      </c>
      <c r="AL25" s="708" t="str">
        <f>IFERROR('2. Roles &amp; Pricing'!AN180/40,"")</f>
        <v/>
      </c>
      <c r="AM25" s="708" t="str">
        <f>IFERROR('2. Roles &amp; Pricing'!AO180/40,"")</f>
        <v/>
      </c>
      <c r="AN25" s="708" t="str">
        <f>IFERROR('2. Roles &amp; Pricing'!AP180/40,"")</f>
        <v/>
      </c>
      <c r="AO25" s="708" t="str">
        <f>IFERROR('2. Roles &amp; Pricing'!AQ180/40,"")</f>
        <v/>
      </c>
      <c r="AP25" s="708" t="str">
        <f>IFERROR('2. Roles &amp; Pricing'!AR180/40,"")</f>
        <v/>
      </c>
      <c r="AQ25" s="708" t="str">
        <f>IFERROR('2. Roles &amp; Pricing'!AS180/40,"")</f>
        <v/>
      </c>
      <c r="AR25" s="708" t="str">
        <f>IFERROR('2. Roles &amp; Pricing'!AT180/40,"")</f>
        <v/>
      </c>
      <c r="AS25" s="708" t="str">
        <f>IFERROR('2. Roles &amp; Pricing'!AU180/40,"")</f>
        <v/>
      </c>
      <c r="AT25" s="708" t="str">
        <f>IFERROR('2. Roles &amp; Pricing'!AV180/40,"")</f>
        <v/>
      </c>
      <c r="AU25" s="708" t="str">
        <f>IFERROR('2. Roles &amp; Pricing'!AW180/40,"")</f>
        <v/>
      </c>
      <c r="AV25" s="708" t="str">
        <f>IFERROR('2. Roles &amp; Pricing'!AX180/40,"")</f>
        <v/>
      </c>
      <c r="AW25" s="708" t="str">
        <f>IFERROR('2. Roles &amp; Pricing'!AY180/40,"")</f>
        <v/>
      </c>
      <c r="AX25" s="708" t="str">
        <f>IFERROR('2. Roles &amp; Pricing'!AZ180/40,"")</f>
        <v/>
      </c>
      <c r="AY25" s="708" t="str">
        <f>IFERROR('2. Roles &amp; Pricing'!BA180/40,"")</f>
        <v/>
      </c>
      <c r="AZ25" s="708" t="str">
        <f>IFERROR('2. Roles &amp; Pricing'!BB180/40,"")</f>
        <v/>
      </c>
      <c r="BA25" s="708" t="str">
        <f>IFERROR('2. Roles &amp; Pricing'!BC180/40,"")</f>
        <v/>
      </c>
      <c r="BB25" s="708" t="str">
        <f>IFERROR('2. Roles &amp; Pricing'!BD180/40,"")</f>
        <v/>
      </c>
      <c r="BC25" s="708" t="str">
        <f>IFERROR('2. Roles &amp; Pricing'!BE180/40,"")</f>
        <v/>
      </c>
      <c r="BD25" s="708" t="str">
        <f>IFERROR('2. Roles &amp; Pricing'!BF180/40,"")</f>
        <v/>
      </c>
      <c r="BE25" s="708" t="str">
        <f>IFERROR('2. Roles &amp; Pricing'!BG180/40,"")</f>
        <v/>
      </c>
      <c r="BF25" s="708" t="str">
        <f>IFERROR('2. Roles &amp; Pricing'!BH180/40,"")</f>
        <v/>
      </c>
      <c r="BG25" s="708" t="str">
        <f>IFERROR('2. Roles &amp; Pricing'!BI180/40,"")</f>
        <v/>
      </c>
      <c r="BH25" s="708" t="str">
        <f>IFERROR('2. Roles &amp; Pricing'!BJ180/40,"")</f>
        <v/>
      </c>
      <c r="BI25" s="708" t="str">
        <f>IFERROR('2. Roles &amp; Pricing'!BK180/40,"")</f>
        <v/>
      </c>
      <c r="BJ25" s="708" t="str">
        <f>IFERROR('2. Roles &amp; Pricing'!BL180/40,"")</f>
        <v/>
      </c>
      <c r="BK25" s="708" t="str">
        <f>IFERROR('2. Roles &amp; Pricing'!BM180/40,"")</f>
        <v/>
      </c>
      <c r="BL25" s="708" t="str">
        <f>IFERROR('2. Roles &amp; Pricing'!BN180/40,"")</f>
        <v/>
      </c>
      <c r="BM25" s="708" t="str">
        <f>IFERROR('2. Roles &amp; Pricing'!BO180/40,"")</f>
        <v/>
      </c>
      <c r="BN25" s="212">
        <f t="shared" si="49"/>
        <v>0</v>
      </c>
      <c r="BO25" s="213">
        <f t="shared" si="50"/>
        <v>0</v>
      </c>
      <c r="BP25" s="199" t="str">
        <f>'2. Roles &amp; Pricing'!D301</f>
        <v/>
      </c>
      <c r="BQ25" s="199">
        <f>'2. Roles &amp; Pricing'!F301</f>
        <v>0</v>
      </c>
      <c r="BR25" s="623">
        <f>'2. Roles &amp; Pricing'!F301</f>
        <v>0</v>
      </c>
      <c r="BS25" s="200">
        <f>'2. Roles &amp; Pricing'!I301</f>
        <v>0</v>
      </c>
      <c r="BT25" s="201" t="str">
        <f t="shared" si="51"/>
        <v/>
      </c>
      <c r="BU25" s="214">
        <f t="shared" si="48"/>
        <v>0</v>
      </c>
      <c r="BV25" s="215"/>
      <c r="BW25" s="211"/>
      <c r="BX25" s="144"/>
      <c r="BY25" s="144"/>
      <c r="BZ25" s="144"/>
      <c r="CA25" s="144"/>
      <c r="CB25" s="144"/>
      <c r="CC25" s="144"/>
      <c r="CD25" s="144"/>
      <c r="CE25" s="144"/>
      <c r="CF25" s="144"/>
      <c r="CG25" s="144"/>
      <c r="CH25" s="144"/>
      <c r="CI25" s="144"/>
      <c r="CJ25" s="144"/>
      <c r="CK25" s="144"/>
      <c r="CL25" s="144"/>
      <c r="CM25" s="144"/>
      <c r="CN25" s="144"/>
      <c r="CO25" s="144"/>
      <c r="CP25" s="144"/>
    </row>
    <row r="26" spans="1:94" s="204" customFormat="1" ht="14.4" thickBot="1" x14ac:dyDescent="0.35">
      <c r="A26" s="205">
        <v>12</v>
      </c>
      <c r="B26" s="206">
        <v>3</v>
      </c>
      <c r="C26" s="207" t="str">
        <f t="shared" si="46"/>
        <v>0__</v>
      </c>
      <c r="D26" s="207" t="str">
        <f t="shared" si="47"/>
        <v>0____0</v>
      </c>
      <c r="E26" s="207">
        <v>20</v>
      </c>
      <c r="F26" s="207">
        <v>10</v>
      </c>
      <c r="G26" s="208">
        <f>'2. Roles &amp; Pricing'!D59</f>
        <v>0</v>
      </c>
      <c r="H26" s="209" t="str">
        <f>'2. Roles &amp; Pricing'!E59</f>
        <v/>
      </c>
      <c r="I26" s="210">
        <f>'2. Roles &amp; Pricing'!F59</f>
        <v>0</v>
      </c>
      <c r="J26" s="210">
        <f>'2. Roles &amp; Pricing'!K59</f>
        <v>0</v>
      </c>
      <c r="K26" s="197" t="str">
        <f>'2. Roles &amp; Pricing'!W59</f>
        <v xml:space="preserve"> </v>
      </c>
      <c r="L26" s="209"/>
      <c r="M26" s="210"/>
      <c r="N26" s="707" t="str">
        <f>IFERROR('2. Roles &amp; Pricing'!F181/40,"")</f>
        <v/>
      </c>
      <c r="O26" s="707" t="str">
        <f>IFERROR('2. Roles &amp; Pricing'!I181/40,"")</f>
        <v/>
      </c>
      <c r="P26" s="707" t="str">
        <f>IFERROR('2. Roles &amp; Pricing'!K181/40,"")</f>
        <v/>
      </c>
      <c r="Q26" s="707" t="str">
        <f>IFERROR('2. Roles &amp; Pricing'!L181/40,"")</f>
        <v/>
      </c>
      <c r="R26" s="707" t="str">
        <f>IFERROR('2. Roles &amp; Pricing'!M181/40,"")</f>
        <v/>
      </c>
      <c r="S26" s="707" t="str">
        <f>IFERROR('2. Roles &amp; Pricing'!N181/40,"")</f>
        <v/>
      </c>
      <c r="T26" s="707" t="str">
        <f>IFERROR('2. Roles &amp; Pricing'!O181/40,"")</f>
        <v/>
      </c>
      <c r="U26" s="709" t="str">
        <f>IFERROR('2. Roles &amp; Pricing'!P181/40,"")</f>
        <v/>
      </c>
      <c r="V26" s="709" t="str">
        <f>IFERROR('2. Roles &amp; Pricing'!Q181/40,"")</f>
        <v/>
      </c>
      <c r="W26" s="709" t="str">
        <f>IFERROR('2. Roles &amp; Pricing'!R181/40,"")</f>
        <v/>
      </c>
      <c r="X26" s="708" t="str">
        <f>IFERROR('2. Roles &amp; Pricing'!S181/40,"")</f>
        <v/>
      </c>
      <c r="Y26" s="708" t="str">
        <f>IFERROR('2. Roles &amp; Pricing'!T181/40,"")</f>
        <v/>
      </c>
      <c r="Z26" s="708" t="str">
        <f>IFERROR('2. Roles &amp; Pricing'!U181/40,"")</f>
        <v/>
      </c>
      <c r="AA26" s="708" t="str">
        <f>IFERROR('2. Roles &amp; Pricing'!Y181/40,"")</f>
        <v/>
      </c>
      <c r="AB26" s="708" t="str">
        <f>IFERROR('2. Roles &amp; Pricing'!Z181/40,"")</f>
        <v/>
      </c>
      <c r="AC26" s="708" t="str">
        <f>IFERROR('2. Roles &amp; Pricing'!AA181/40,"")</f>
        <v/>
      </c>
      <c r="AD26" s="708" t="str">
        <f>IFERROR('2. Roles &amp; Pricing'!AB181/40,"")</f>
        <v/>
      </c>
      <c r="AE26" s="708" t="str">
        <f>IFERROR('2. Roles &amp; Pricing'!AG181/40,"")</f>
        <v/>
      </c>
      <c r="AF26" s="708" t="str">
        <f>IFERROR('2. Roles &amp; Pricing'!AH181/40,"")</f>
        <v/>
      </c>
      <c r="AG26" s="708" t="str">
        <f>IFERROR('2. Roles &amp; Pricing'!AI181/40,"")</f>
        <v/>
      </c>
      <c r="AH26" s="708" t="str">
        <f>IFERROR('2. Roles &amp; Pricing'!AJ181/40,"")</f>
        <v/>
      </c>
      <c r="AI26" s="708" t="str">
        <f>IFERROR('2. Roles &amp; Pricing'!AK181/40,"")</f>
        <v/>
      </c>
      <c r="AJ26" s="708" t="str">
        <f>IFERROR('2. Roles &amp; Pricing'!AL181/40,"")</f>
        <v/>
      </c>
      <c r="AK26" s="708" t="str">
        <f>IFERROR('2. Roles &amp; Pricing'!AM181/40,"")</f>
        <v/>
      </c>
      <c r="AL26" s="708" t="str">
        <f>IFERROR('2. Roles &amp; Pricing'!AN181/40,"")</f>
        <v/>
      </c>
      <c r="AM26" s="708" t="str">
        <f>IFERROR('2. Roles &amp; Pricing'!AO181/40,"")</f>
        <v/>
      </c>
      <c r="AN26" s="708" t="str">
        <f>IFERROR('2. Roles &amp; Pricing'!AP181/40,"")</f>
        <v/>
      </c>
      <c r="AO26" s="708" t="str">
        <f>IFERROR('2. Roles &amp; Pricing'!AQ181/40,"")</f>
        <v/>
      </c>
      <c r="AP26" s="708" t="str">
        <f>IFERROR('2. Roles &amp; Pricing'!AR181/40,"")</f>
        <v/>
      </c>
      <c r="AQ26" s="708" t="str">
        <f>IFERROR('2. Roles &amp; Pricing'!AS181/40,"")</f>
        <v/>
      </c>
      <c r="AR26" s="708" t="str">
        <f>IFERROR('2. Roles &amp; Pricing'!AT181/40,"")</f>
        <v/>
      </c>
      <c r="AS26" s="708" t="str">
        <f>IFERROR('2. Roles &amp; Pricing'!AU181/40,"")</f>
        <v/>
      </c>
      <c r="AT26" s="708" t="str">
        <f>IFERROR('2. Roles &amp; Pricing'!AV181/40,"")</f>
        <v/>
      </c>
      <c r="AU26" s="708" t="str">
        <f>IFERROR('2. Roles &amp; Pricing'!AW181/40,"")</f>
        <v/>
      </c>
      <c r="AV26" s="708" t="str">
        <f>IFERROR('2. Roles &amp; Pricing'!AX181/40,"")</f>
        <v/>
      </c>
      <c r="AW26" s="708" t="str">
        <f>IFERROR('2. Roles &amp; Pricing'!AY181/40,"")</f>
        <v/>
      </c>
      <c r="AX26" s="708" t="str">
        <f>IFERROR('2. Roles &amp; Pricing'!AZ181/40,"")</f>
        <v/>
      </c>
      <c r="AY26" s="708" t="str">
        <f>IFERROR('2. Roles &amp; Pricing'!BA181/40,"")</f>
        <v/>
      </c>
      <c r="AZ26" s="708" t="str">
        <f>IFERROR('2. Roles &amp; Pricing'!BB181/40,"")</f>
        <v/>
      </c>
      <c r="BA26" s="708" t="str">
        <f>IFERROR('2. Roles &amp; Pricing'!BC181/40,"")</f>
        <v/>
      </c>
      <c r="BB26" s="708" t="str">
        <f>IFERROR('2. Roles &amp; Pricing'!BD181/40,"")</f>
        <v/>
      </c>
      <c r="BC26" s="708" t="str">
        <f>IFERROR('2. Roles &amp; Pricing'!BE181/40,"")</f>
        <v/>
      </c>
      <c r="BD26" s="708" t="str">
        <f>IFERROR('2. Roles &amp; Pricing'!BF181/40,"")</f>
        <v/>
      </c>
      <c r="BE26" s="708" t="str">
        <f>IFERROR('2. Roles &amp; Pricing'!BG181/40,"")</f>
        <v/>
      </c>
      <c r="BF26" s="708" t="str">
        <f>IFERROR('2. Roles &amp; Pricing'!BH181/40,"")</f>
        <v/>
      </c>
      <c r="BG26" s="708" t="str">
        <f>IFERROR('2. Roles &amp; Pricing'!BI181/40,"")</f>
        <v/>
      </c>
      <c r="BH26" s="708" t="str">
        <f>IFERROR('2. Roles &amp; Pricing'!BJ181/40,"")</f>
        <v/>
      </c>
      <c r="BI26" s="708" t="str">
        <f>IFERROR('2. Roles &amp; Pricing'!BK181/40,"")</f>
        <v/>
      </c>
      <c r="BJ26" s="708" t="str">
        <f>IFERROR('2. Roles &amp; Pricing'!BL181/40,"")</f>
        <v/>
      </c>
      <c r="BK26" s="708" t="str">
        <f>IFERROR('2. Roles &amp; Pricing'!BM181/40,"")</f>
        <v/>
      </c>
      <c r="BL26" s="708" t="str">
        <f>IFERROR('2. Roles &amp; Pricing'!BN181/40,"")</f>
        <v/>
      </c>
      <c r="BM26" s="708" t="str">
        <f>IFERROR('2. Roles &amp; Pricing'!BO181/40,"")</f>
        <v/>
      </c>
      <c r="BN26" s="212">
        <f t="shared" si="49"/>
        <v>0</v>
      </c>
      <c r="BO26" s="213">
        <f t="shared" si="50"/>
        <v>0</v>
      </c>
      <c r="BP26" s="199" t="str">
        <f>'2. Roles &amp; Pricing'!D302</f>
        <v/>
      </c>
      <c r="BQ26" s="199">
        <f>'2. Roles &amp; Pricing'!F302</f>
        <v>0</v>
      </c>
      <c r="BR26" s="623">
        <f>'2. Roles &amp; Pricing'!F302</f>
        <v>0</v>
      </c>
      <c r="BS26" s="200">
        <f>'2. Roles &amp; Pricing'!I302</f>
        <v>0</v>
      </c>
      <c r="BT26" s="201" t="str">
        <f t="shared" si="51"/>
        <v/>
      </c>
      <c r="BU26" s="214">
        <f t="shared" si="48"/>
        <v>0</v>
      </c>
      <c r="BV26" s="215"/>
      <c r="BW26" s="211"/>
      <c r="BX26" s="144"/>
      <c r="BY26" s="144"/>
      <c r="BZ26" s="144"/>
      <c r="CA26" s="144"/>
      <c r="CB26" s="144"/>
      <c r="CC26" s="144"/>
      <c r="CD26" s="144"/>
      <c r="CE26" s="144"/>
      <c r="CF26" s="144"/>
      <c r="CG26" s="144"/>
      <c r="CH26" s="144"/>
      <c r="CI26" s="144"/>
      <c r="CJ26" s="144"/>
      <c r="CK26" s="144"/>
      <c r="CL26" s="144"/>
      <c r="CM26" s="144"/>
      <c r="CN26" s="144"/>
      <c r="CO26" s="144"/>
      <c r="CP26" s="144"/>
    </row>
    <row r="27" spans="1:94" s="204" customFormat="1" ht="14.4" thickBot="1" x14ac:dyDescent="0.35">
      <c r="A27" s="205">
        <v>13</v>
      </c>
      <c r="B27" s="206">
        <v>3</v>
      </c>
      <c r="C27" s="207" t="str">
        <f t="shared" si="46"/>
        <v>0__</v>
      </c>
      <c r="D27" s="207" t="str">
        <f t="shared" si="47"/>
        <v>0____0</v>
      </c>
      <c r="E27" s="207">
        <v>20</v>
      </c>
      <c r="F27" s="207">
        <v>10</v>
      </c>
      <c r="G27" s="208">
        <f>'2. Roles &amp; Pricing'!D60</f>
        <v>0</v>
      </c>
      <c r="H27" s="209" t="str">
        <f>'2. Roles &amp; Pricing'!E60</f>
        <v/>
      </c>
      <c r="I27" s="210">
        <f>'2. Roles &amp; Pricing'!F60</f>
        <v>0</v>
      </c>
      <c r="J27" s="210">
        <f>'2. Roles &amp; Pricing'!K60</f>
        <v>0</v>
      </c>
      <c r="K27" s="197" t="str">
        <f>'2. Roles &amp; Pricing'!W60</f>
        <v xml:space="preserve"> </v>
      </c>
      <c r="L27" s="209"/>
      <c r="M27" s="210"/>
      <c r="N27" s="707" t="str">
        <f>IFERROR('2. Roles &amp; Pricing'!F182/40,"")</f>
        <v/>
      </c>
      <c r="O27" s="707" t="str">
        <f>IFERROR('2. Roles &amp; Pricing'!I182/40,"")</f>
        <v/>
      </c>
      <c r="P27" s="707" t="str">
        <f>IFERROR('2. Roles &amp; Pricing'!K182/40,"")</f>
        <v/>
      </c>
      <c r="Q27" s="707" t="str">
        <f>IFERROR('2. Roles &amp; Pricing'!L182/40,"")</f>
        <v/>
      </c>
      <c r="R27" s="707" t="str">
        <f>IFERROR('2. Roles &amp; Pricing'!M182/40,"")</f>
        <v/>
      </c>
      <c r="S27" s="707" t="str">
        <f>IFERROR('2. Roles &amp; Pricing'!N182/40,"")</f>
        <v/>
      </c>
      <c r="T27" s="707" t="str">
        <f>IFERROR('2. Roles &amp; Pricing'!O182/40,"")</f>
        <v/>
      </c>
      <c r="U27" s="709" t="str">
        <f>IFERROR('2. Roles &amp; Pricing'!P182/40,"")</f>
        <v/>
      </c>
      <c r="V27" s="709" t="str">
        <f>IFERROR('2. Roles &amp; Pricing'!Q182/40,"")</f>
        <v/>
      </c>
      <c r="W27" s="709" t="str">
        <f>IFERROR('2. Roles &amp; Pricing'!R182/40,"")</f>
        <v/>
      </c>
      <c r="X27" s="708" t="str">
        <f>IFERROR('2. Roles &amp; Pricing'!S182/40,"")</f>
        <v/>
      </c>
      <c r="Y27" s="708" t="str">
        <f>IFERROR('2. Roles &amp; Pricing'!T182/40,"")</f>
        <v/>
      </c>
      <c r="Z27" s="708" t="str">
        <f>IFERROR('2. Roles &amp; Pricing'!U182/40,"")</f>
        <v/>
      </c>
      <c r="AA27" s="708" t="str">
        <f>IFERROR('2. Roles &amp; Pricing'!Y182/40,"")</f>
        <v/>
      </c>
      <c r="AB27" s="708" t="str">
        <f>IFERROR('2. Roles &amp; Pricing'!Z182/40,"")</f>
        <v/>
      </c>
      <c r="AC27" s="708" t="str">
        <f>IFERROR('2. Roles &amp; Pricing'!AA182/40,"")</f>
        <v/>
      </c>
      <c r="AD27" s="708" t="str">
        <f>IFERROR('2. Roles &amp; Pricing'!AB182/40,"")</f>
        <v/>
      </c>
      <c r="AE27" s="708" t="str">
        <f>IFERROR('2. Roles &amp; Pricing'!AG182/40,"")</f>
        <v/>
      </c>
      <c r="AF27" s="708" t="str">
        <f>IFERROR('2. Roles &amp; Pricing'!AH182/40,"")</f>
        <v/>
      </c>
      <c r="AG27" s="708" t="str">
        <f>IFERROR('2. Roles &amp; Pricing'!AI182/40,"")</f>
        <v/>
      </c>
      <c r="AH27" s="708" t="str">
        <f>IFERROR('2. Roles &amp; Pricing'!AJ182/40,"")</f>
        <v/>
      </c>
      <c r="AI27" s="708" t="str">
        <f>IFERROR('2. Roles &amp; Pricing'!AK182/40,"")</f>
        <v/>
      </c>
      <c r="AJ27" s="708" t="str">
        <f>IFERROR('2. Roles &amp; Pricing'!AL182/40,"")</f>
        <v/>
      </c>
      <c r="AK27" s="708" t="str">
        <f>IFERROR('2. Roles &amp; Pricing'!AM182/40,"")</f>
        <v/>
      </c>
      <c r="AL27" s="708" t="str">
        <f>IFERROR('2. Roles &amp; Pricing'!AN182/40,"")</f>
        <v/>
      </c>
      <c r="AM27" s="708" t="str">
        <f>IFERROR('2. Roles &amp; Pricing'!AO182/40,"")</f>
        <v/>
      </c>
      <c r="AN27" s="708" t="str">
        <f>IFERROR('2. Roles &amp; Pricing'!AP182/40,"")</f>
        <v/>
      </c>
      <c r="AO27" s="708" t="str">
        <f>IFERROR('2. Roles &amp; Pricing'!AQ182/40,"")</f>
        <v/>
      </c>
      <c r="AP27" s="708" t="str">
        <f>IFERROR('2. Roles &amp; Pricing'!AR182/40,"")</f>
        <v/>
      </c>
      <c r="AQ27" s="708" t="str">
        <f>IFERROR('2. Roles &amp; Pricing'!AS182/40,"")</f>
        <v/>
      </c>
      <c r="AR27" s="708" t="str">
        <f>IFERROR('2. Roles &amp; Pricing'!AT182/40,"")</f>
        <v/>
      </c>
      <c r="AS27" s="708" t="str">
        <f>IFERROR('2. Roles &amp; Pricing'!AU182/40,"")</f>
        <v/>
      </c>
      <c r="AT27" s="708" t="str">
        <f>IFERROR('2. Roles &amp; Pricing'!AV182/40,"")</f>
        <v/>
      </c>
      <c r="AU27" s="708" t="str">
        <f>IFERROR('2. Roles &amp; Pricing'!AW182/40,"")</f>
        <v/>
      </c>
      <c r="AV27" s="708" t="str">
        <f>IFERROR('2. Roles &amp; Pricing'!AX182/40,"")</f>
        <v/>
      </c>
      <c r="AW27" s="708" t="str">
        <f>IFERROR('2. Roles &amp; Pricing'!AY182/40,"")</f>
        <v/>
      </c>
      <c r="AX27" s="708" t="str">
        <f>IFERROR('2. Roles &amp; Pricing'!AZ182/40,"")</f>
        <v/>
      </c>
      <c r="AY27" s="708" t="str">
        <f>IFERROR('2. Roles &amp; Pricing'!BA182/40,"")</f>
        <v/>
      </c>
      <c r="AZ27" s="708" t="str">
        <f>IFERROR('2. Roles &amp; Pricing'!BB182/40,"")</f>
        <v/>
      </c>
      <c r="BA27" s="708" t="str">
        <f>IFERROR('2. Roles &amp; Pricing'!BC182/40,"")</f>
        <v/>
      </c>
      <c r="BB27" s="708" t="str">
        <f>IFERROR('2. Roles &amp; Pricing'!BD182/40,"")</f>
        <v/>
      </c>
      <c r="BC27" s="708" t="str">
        <f>IFERROR('2. Roles &amp; Pricing'!BE182/40,"")</f>
        <v/>
      </c>
      <c r="BD27" s="708" t="str">
        <f>IFERROR('2. Roles &amp; Pricing'!BF182/40,"")</f>
        <v/>
      </c>
      <c r="BE27" s="708" t="str">
        <f>IFERROR('2. Roles &amp; Pricing'!BG182/40,"")</f>
        <v/>
      </c>
      <c r="BF27" s="708" t="str">
        <f>IFERROR('2. Roles &amp; Pricing'!BH182/40,"")</f>
        <v/>
      </c>
      <c r="BG27" s="708" t="str">
        <f>IFERROR('2. Roles &amp; Pricing'!BI182/40,"")</f>
        <v/>
      </c>
      <c r="BH27" s="708" t="str">
        <f>IFERROR('2. Roles &amp; Pricing'!BJ182/40,"")</f>
        <v/>
      </c>
      <c r="BI27" s="708" t="str">
        <f>IFERROR('2. Roles &amp; Pricing'!BK182/40,"")</f>
        <v/>
      </c>
      <c r="BJ27" s="708" t="str">
        <f>IFERROR('2. Roles &amp; Pricing'!BL182/40,"")</f>
        <v/>
      </c>
      <c r="BK27" s="708" t="str">
        <f>IFERROR('2. Roles &amp; Pricing'!BM182/40,"")</f>
        <v/>
      </c>
      <c r="BL27" s="708" t="str">
        <f>IFERROR('2. Roles &amp; Pricing'!BN182/40,"")</f>
        <v/>
      </c>
      <c r="BM27" s="708" t="str">
        <f>IFERROR('2. Roles &amp; Pricing'!BO182/40,"")</f>
        <v/>
      </c>
      <c r="BN27" s="212">
        <f t="shared" si="49"/>
        <v>0</v>
      </c>
      <c r="BO27" s="213">
        <f t="shared" si="50"/>
        <v>0</v>
      </c>
      <c r="BP27" s="199" t="str">
        <f>'2. Roles &amp; Pricing'!D303</f>
        <v/>
      </c>
      <c r="BQ27" s="199">
        <f>'2. Roles &amp; Pricing'!F303</f>
        <v>0</v>
      </c>
      <c r="BR27" s="623">
        <f>'2. Roles &amp; Pricing'!F303</f>
        <v>0</v>
      </c>
      <c r="BS27" s="200">
        <f>'2. Roles &amp; Pricing'!I303</f>
        <v>0</v>
      </c>
      <c r="BT27" s="201" t="str">
        <f t="shared" si="51"/>
        <v/>
      </c>
      <c r="BU27" s="214">
        <f t="shared" si="48"/>
        <v>0</v>
      </c>
      <c r="BV27" s="215"/>
      <c r="BW27" s="211"/>
      <c r="BX27" s="144"/>
      <c r="BY27" s="144"/>
      <c r="BZ27" s="144"/>
      <c r="CA27" s="144"/>
      <c r="CB27" s="144"/>
      <c r="CC27" s="144"/>
      <c r="CD27" s="144"/>
      <c r="CE27" s="144"/>
      <c r="CF27" s="144"/>
      <c r="CG27" s="144"/>
      <c r="CH27" s="144"/>
      <c r="CI27" s="144"/>
      <c r="CJ27" s="144"/>
      <c r="CK27" s="144"/>
      <c r="CL27" s="144"/>
      <c r="CM27" s="144"/>
      <c r="CN27" s="144"/>
      <c r="CO27" s="144"/>
      <c r="CP27" s="144"/>
    </row>
    <row r="28" spans="1:94" s="204" customFormat="1" ht="14.4" thickBot="1" x14ac:dyDescent="0.35">
      <c r="A28" s="205">
        <v>14</v>
      </c>
      <c r="B28" s="206">
        <v>3</v>
      </c>
      <c r="C28" s="207" t="str">
        <f t="shared" si="46"/>
        <v>0__</v>
      </c>
      <c r="D28" s="207" t="str">
        <f t="shared" si="47"/>
        <v>0____0</v>
      </c>
      <c r="E28" s="207">
        <v>20</v>
      </c>
      <c r="F28" s="207">
        <v>10</v>
      </c>
      <c r="G28" s="208">
        <f>'2. Roles &amp; Pricing'!D61</f>
        <v>0</v>
      </c>
      <c r="H28" s="209" t="str">
        <f>'2. Roles &amp; Pricing'!E61</f>
        <v/>
      </c>
      <c r="I28" s="210">
        <f>'2. Roles &amp; Pricing'!F61</f>
        <v>0</v>
      </c>
      <c r="J28" s="210">
        <f>'2. Roles &amp; Pricing'!K61</f>
        <v>0</v>
      </c>
      <c r="K28" s="197" t="str">
        <f>'2. Roles &amp; Pricing'!W61</f>
        <v xml:space="preserve"> </v>
      </c>
      <c r="L28" s="209"/>
      <c r="M28" s="210"/>
      <c r="N28" s="707" t="str">
        <f>IFERROR('2. Roles &amp; Pricing'!F183/40,"")</f>
        <v/>
      </c>
      <c r="O28" s="707" t="str">
        <f>IFERROR('2. Roles &amp; Pricing'!I183/40,"")</f>
        <v/>
      </c>
      <c r="P28" s="707" t="str">
        <f>IFERROR('2. Roles &amp; Pricing'!K183/40,"")</f>
        <v/>
      </c>
      <c r="Q28" s="707" t="str">
        <f>IFERROR('2. Roles &amp; Pricing'!L183/40,"")</f>
        <v/>
      </c>
      <c r="R28" s="707" t="str">
        <f>IFERROR('2. Roles &amp; Pricing'!M183/40,"")</f>
        <v/>
      </c>
      <c r="S28" s="707" t="str">
        <f>IFERROR('2. Roles &amp; Pricing'!N183/40,"")</f>
        <v/>
      </c>
      <c r="T28" s="707" t="str">
        <f>IFERROR('2. Roles &amp; Pricing'!O183/40,"")</f>
        <v/>
      </c>
      <c r="U28" s="709" t="str">
        <f>IFERROR('2. Roles &amp; Pricing'!P183/40,"")</f>
        <v/>
      </c>
      <c r="V28" s="709" t="str">
        <f>IFERROR('2. Roles &amp; Pricing'!Q183/40,"")</f>
        <v/>
      </c>
      <c r="W28" s="709" t="str">
        <f>IFERROR('2. Roles &amp; Pricing'!R183/40,"")</f>
        <v/>
      </c>
      <c r="X28" s="708" t="str">
        <f>IFERROR('2. Roles &amp; Pricing'!S183/40,"")</f>
        <v/>
      </c>
      <c r="Y28" s="708" t="str">
        <f>IFERROR('2. Roles &amp; Pricing'!T183/40,"")</f>
        <v/>
      </c>
      <c r="Z28" s="708" t="str">
        <f>IFERROR('2. Roles &amp; Pricing'!U183/40,"")</f>
        <v/>
      </c>
      <c r="AA28" s="708" t="str">
        <f>IFERROR('2. Roles &amp; Pricing'!Y183/40,"")</f>
        <v/>
      </c>
      <c r="AB28" s="708" t="str">
        <f>IFERROR('2. Roles &amp; Pricing'!Z183/40,"")</f>
        <v/>
      </c>
      <c r="AC28" s="708" t="str">
        <f>IFERROR('2. Roles &amp; Pricing'!AA183/40,"")</f>
        <v/>
      </c>
      <c r="AD28" s="708" t="str">
        <f>IFERROR('2. Roles &amp; Pricing'!AB183/40,"")</f>
        <v/>
      </c>
      <c r="AE28" s="708" t="str">
        <f>IFERROR('2. Roles &amp; Pricing'!AG183/40,"")</f>
        <v/>
      </c>
      <c r="AF28" s="708" t="str">
        <f>IFERROR('2. Roles &amp; Pricing'!AH183/40,"")</f>
        <v/>
      </c>
      <c r="AG28" s="708" t="str">
        <f>IFERROR('2. Roles &amp; Pricing'!AI183/40,"")</f>
        <v/>
      </c>
      <c r="AH28" s="708" t="str">
        <f>IFERROR('2. Roles &amp; Pricing'!AJ183/40,"")</f>
        <v/>
      </c>
      <c r="AI28" s="708" t="str">
        <f>IFERROR('2. Roles &amp; Pricing'!AK183/40,"")</f>
        <v/>
      </c>
      <c r="AJ28" s="708" t="str">
        <f>IFERROR('2. Roles &amp; Pricing'!AL183/40,"")</f>
        <v/>
      </c>
      <c r="AK28" s="708" t="str">
        <f>IFERROR('2. Roles &amp; Pricing'!AM183/40,"")</f>
        <v/>
      </c>
      <c r="AL28" s="708" t="str">
        <f>IFERROR('2. Roles &amp; Pricing'!AN183/40,"")</f>
        <v/>
      </c>
      <c r="AM28" s="708" t="str">
        <f>IFERROR('2. Roles &amp; Pricing'!AO183/40,"")</f>
        <v/>
      </c>
      <c r="AN28" s="708" t="str">
        <f>IFERROR('2. Roles &amp; Pricing'!AP183/40,"")</f>
        <v/>
      </c>
      <c r="AO28" s="708" t="str">
        <f>IFERROR('2. Roles &amp; Pricing'!AQ183/40,"")</f>
        <v/>
      </c>
      <c r="AP28" s="708" t="str">
        <f>IFERROR('2. Roles &amp; Pricing'!AR183/40,"")</f>
        <v/>
      </c>
      <c r="AQ28" s="708" t="str">
        <f>IFERROR('2. Roles &amp; Pricing'!AS183/40,"")</f>
        <v/>
      </c>
      <c r="AR28" s="708" t="str">
        <f>IFERROR('2. Roles &amp; Pricing'!AT183/40,"")</f>
        <v/>
      </c>
      <c r="AS28" s="708" t="str">
        <f>IFERROR('2. Roles &amp; Pricing'!AU183/40,"")</f>
        <v/>
      </c>
      <c r="AT28" s="708" t="str">
        <f>IFERROR('2. Roles &amp; Pricing'!AV183/40,"")</f>
        <v/>
      </c>
      <c r="AU28" s="708" t="str">
        <f>IFERROR('2. Roles &amp; Pricing'!AW183/40,"")</f>
        <v/>
      </c>
      <c r="AV28" s="708" t="str">
        <f>IFERROR('2. Roles &amp; Pricing'!AX183/40,"")</f>
        <v/>
      </c>
      <c r="AW28" s="708" t="str">
        <f>IFERROR('2. Roles &amp; Pricing'!AY183/40,"")</f>
        <v/>
      </c>
      <c r="AX28" s="708" t="str">
        <f>IFERROR('2. Roles &amp; Pricing'!AZ183/40,"")</f>
        <v/>
      </c>
      <c r="AY28" s="708" t="str">
        <f>IFERROR('2. Roles &amp; Pricing'!BA183/40,"")</f>
        <v/>
      </c>
      <c r="AZ28" s="708" t="str">
        <f>IFERROR('2. Roles &amp; Pricing'!BB183/40,"")</f>
        <v/>
      </c>
      <c r="BA28" s="708" t="str">
        <f>IFERROR('2. Roles &amp; Pricing'!BC183/40,"")</f>
        <v/>
      </c>
      <c r="BB28" s="708" t="str">
        <f>IFERROR('2. Roles &amp; Pricing'!BD183/40,"")</f>
        <v/>
      </c>
      <c r="BC28" s="708" t="str">
        <f>IFERROR('2. Roles &amp; Pricing'!BE183/40,"")</f>
        <v/>
      </c>
      <c r="BD28" s="708" t="str">
        <f>IFERROR('2. Roles &amp; Pricing'!BF183/40,"")</f>
        <v/>
      </c>
      <c r="BE28" s="708" t="str">
        <f>IFERROR('2. Roles &amp; Pricing'!BG183/40,"")</f>
        <v/>
      </c>
      <c r="BF28" s="708" t="str">
        <f>IFERROR('2. Roles &amp; Pricing'!BH183/40,"")</f>
        <v/>
      </c>
      <c r="BG28" s="708" t="str">
        <f>IFERROR('2. Roles &amp; Pricing'!BI183/40,"")</f>
        <v/>
      </c>
      <c r="BH28" s="708" t="str">
        <f>IFERROR('2. Roles &amp; Pricing'!BJ183/40,"")</f>
        <v/>
      </c>
      <c r="BI28" s="708" t="str">
        <f>IFERROR('2. Roles &amp; Pricing'!BK183/40,"")</f>
        <v/>
      </c>
      <c r="BJ28" s="708" t="str">
        <f>IFERROR('2. Roles &amp; Pricing'!BL183/40,"")</f>
        <v/>
      </c>
      <c r="BK28" s="708" t="str">
        <f>IFERROR('2. Roles &amp; Pricing'!BM183/40,"")</f>
        <v/>
      </c>
      <c r="BL28" s="708" t="str">
        <f>IFERROR('2. Roles &amp; Pricing'!BN183/40,"")</f>
        <v/>
      </c>
      <c r="BM28" s="708" t="str">
        <f>IFERROR('2. Roles &amp; Pricing'!BO183/40,"")</f>
        <v/>
      </c>
      <c r="BN28" s="212">
        <f t="shared" si="49"/>
        <v>0</v>
      </c>
      <c r="BO28" s="213">
        <f t="shared" si="50"/>
        <v>0</v>
      </c>
      <c r="BP28" s="199" t="str">
        <f>'2. Roles &amp; Pricing'!D304</f>
        <v/>
      </c>
      <c r="BQ28" s="199">
        <f>'2. Roles &amp; Pricing'!F304</f>
        <v>0</v>
      </c>
      <c r="BR28" s="623">
        <f>'2. Roles &amp; Pricing'!F304</f>
        <v>0</v>
      </c>
      <c r="BS28" s="200">
        <f>'2. Roles &amp; Pricing'!I304</f>
        <v>0</v>
      </c>
      <c r="BT28" s="201" t="str">
        <f t="shared" si="51"/>
        <v/>
      </c>
      <c r="BU28" s="214">
        <f t="shared" si="48"/>
        <v>0</v>
      </c>
      <c r="BV28" s="215"/>
      <c r="BW28" s="211"/>
      <c r="BX28" s="144"/>
      <c r="BY28" s="144"/>
      <c r="BZ28" s="144"/>
      <c r="CA28" s="144"/>
      <c r="CB28" s="144"/>
      <c r="CC28" s="144"/>
      <c r="CD28" s="144"/>
      <c r="CE28" s="144"/>
      <c r="CF28" s="144"/>
      <c r="CG28" s="144"/>
      <c r="CH28" s="144"/>
      <c r="CI28" s="144"/>
      <c r="CJ28" s="144"/>
      <c r="CK28" s="144"/>
      <c r="CL28" s="144"/>
      <c r="CM28" s="144"/>
      <c r="CN28" s="144"/>
      <c r="CO28" s="144"/>
      <c r="CP28" s="144"/>
    </row>
    <row r="29" spans="1:94" s="204" customFormat="1" ht="14.4" thickBot="1" x14ac:dyDescent="0.35">
      <c r="A29" s="205">
        <v>15</v>
      </c>
      <c r="B29" s="206">
        <v>3</v>
      </c>
      <c r="C29" s="207" t="str">
        <f t="shared" si="46"/>
        <v>0__</v>
      </c>
      <c r="D29" s="207" t="str">
        <f t="shared" si="47"/>
        <v>0____0</v>
      </c>
      <c r="E29" s="207">
        <v>20</v>
      </c>
      <c r="F29" s="207">
        <v>10</v>
      </c>
      <c r="G29" s="208">
        <f>'2. Roles &amp; Pricing'!D62</f>
        <v>0</v>
      </c>
      <c r="H29" s="209" t="str">
        <f>'2. Roles &amp; Pricing'!E62</f>
        <v/>
      </c>
      <c r="I29" s="210">
        <f>'2. Roles &amp; Pricing'!F62</f>
        <v>0</v>
      </c>
      <c r="J29" s="210">
        <f>'2. Roles &amp; Pricing'!K62</f>
        <v>0</v>
      </c>
      <c r="K29" s="197" t="str">
        <f>'2. Roles &amp; Pricing'!W62</f>
        <v xml:space="preserve"> </v>
      </c>
      <c r="L29" s="209"/>
      <c r="M29" s="210"/>
      <c r="N29" s="707" t="str">
        <f>IFERROR('2. Roles &amp; Pricing'!F184/40,"")</f>
        <v/>
      </c>
      <c r="O29" s="707" t="str">
        <f>IFERROR('2. Roles &amp; Pricing'!I184/40,"")</f>
        <v/>
      </c>
      <c r="P29" s="707" t="str">
        <f>IFERROR('2. Roles &amp; Pricing'!K184/40,"")</f>
        <v/>
      </c>
      <c r="Q29" s="707" t="str">
        <f>IFERROR('2. Roles &amp; Pricing'!L184/40,"")</f>
        <v/>
      </c>
      <c r="R29" s="707" t="str">
        <f>IFERROR('2. Roles &amp; Pricing'!M184/40,"")</f>
        <v/>
      </c>
      <c r="S29" s="707" t="str">
        <f>IFERROR('2. Roles &amp; Pricing'!N184/40,"")</f>
        <v/>
      </c>
      <c r="T29" s="707" t="str">
        <f>IFERROR('2. Roles &amp; Pricing'!O184/40,"")</f>
        <v/>
      </c>
      <c r="U29" s="709" t="str">
        <f>IFERROR('2. Roles &amp; Pricing'!P184/40,"")</f>
        <v/>
      </c>
      <c r="V29" s="709" t="str">
        <f>IFERROR('2. Roles &amp; Pricing'!Q184/40,"")</f>
        <v/>
      </c>
      <c r="W29" s="709" t="str">
        <f>IFERROR('2. Roles &amp; Pricing'!R184/40,"")</f>
        <v/>
      </c>
      <c r="X29" s="708" t="str">
        <f>IFERROR('2. Roles &amp; Pricing'!S184/40,"")</f>
        <v/>
      </c>
      <c r="Y29" s="708" t="str">
        <f>IFERROR('2. Roles &amp; Pricing'!T184/40,"")</f>
        <v/>
      </c>
      <c r="Z29" s="708" t="str">
        <f>IFERROR('2. Roles &amp; Pricing'!U184/40,"")</f>
        <v/>
      </c>
      <c r="AA29" s="708" t="str">
        <f>IFERROR('2. Roles &amp; Pricing'!Y184/40,"")</f>
        <v/>
      </c>
      <c r="AB29" s="708" t="str">
        <f>IFERROR('2. Roles &amp; Pricing'!Z184/40,"")</f>
        <v/>
      </c>
      <c r="AC29" s="708" t="str">
        <f>IFERROR('2. Roles &amp; Pricing'!AA184/40,"")</f>
        <v/>
      </c>
      <c r="AD29" s="708" t="str">
        <f>IFERROR('2. Roles &amp; Pricing'!AB184/40,"")</f>
        <v/>
      </c>
      <c r="AE29" s="708" t="str">
        <f>IFERROR('2. Roles &amp; Pricing'!AG184/40,"")</f>
        <v/>
      </c>
      <c r="AF29" s="708" t="str">
        <f>IFERROR('2. Roles &amp; Pricing'!AH184/40,"")</f>
        <v/>
      </c>
      <c r="AG29" s="708" t="str">
        <f>IFERROR('2. Roles &amp; Pricing'!AI184/40,"")</f>
        <v/>
      </c>
      <c r="AH29" s="708" t="str">
        <f>IFERROR('2. Roles &amp; Pricing'!AJ184/40,"")</f>
        <v/>
      </c>
      <c r="AI29" s="708" t="str">
        <f>IFERROR('2. Roles &amp; Pricing'!AK184/40,"")</f>
        <v/>
      </c>
      <c r="AJ29" s="708" t="str">
        <f>IFERROR('2. Roles &amp; Pricing'!AL184/40,"")</f>
        <v/>
      </c>
      <c r="AK29" s="708" t="str">
        <f>IFERROR('2. Roles &amp; Pricing'!AM184/40,"")</f>
        <v/>
      </c>
      <c r="AL29" s="708" t="str">
        <f>IFERROR('2. Roles &amp; Pricing'!AN184/40,"")</f>
        <v/>
      </c>
      <c r="AM29" s="708" t="str">
        <f>IFERROR('2. Roles &amp; Pricing'!AO184/40,"")</f>
        <v/>
      </c>
      <c r="AN29" s="708" t="str">
        <f>IFERROR('2. Roles &amp; Pricing'!AP184/40,"")</f>
        <v/>
      </c>
      <c r="AO29" s="708" t="str">
        <f>IFERROR('2. Roles &amp; Pricing'!AQ184/40,"")</f>
        <v/>
      </c>
      <c r="AP29" s="708" t="str">
        <f>IFERROR('2. Roles &amp; Pricing'!AR184/40,"")</f>
        <v/>
      </c>
      <c r="AQ29" s="708" t="str">
        <f>IFERROR('2. Roles &amp; Pricing'!AS184/40,"")</f>
        <v/>
      </c>
      <c r="AR29" s="708" t="str">
        <f>IFERROR('2. Roles &amp; Pricing'!AT184/40,"")</f>
        <v/>
      </c>
      <c r="AS29" s="708" t="str">
        <f>IFERROR('2. Roles &amp; Pricing'!AU184/40,"")</f>
        <v/>
      </c>
      <c r="AT29" s="708" t="str">
        <f>IFERROR('2. Roles &amp; Pricing'!AV184/40,"")</f>
        <v/>
      </c>
      <c r="AU29" s="708" t="str">
        <f>IFERROR('2. Roles &amp; Pricing'!AW184/40,"")</f>
        <v/>
      </c>
      <c r="AV29" s="708" t="str">
        <f>IFERROR('2. Roles &amp; Pricing'!AX184/40,"")</f>
        <v/>
      </c>
      <c r="AW29" s="708" t="str">
        <f>IFERROR('2. Roles &amp; Pricing'!AY184/40,"")</f>
        <v/>
      </c>
      <c r="AX29" s="708" t="str">
        <f>IFERROR('2. Roles &amp; Pricing'!AZ184/40,"")</f>
        <v/>
      </c>
      <c r="AY29" s="708" t="str">
        <f>IFERROR('2. Roles &amp; Pricing'!BA184/40,"")</f>
        <v/>
      </c>
      <c r="AZ29" s="708" t="str">
        <f>IFERROR('2. Roles &amp; Pricing'!BB184/40,"")</f>
        <v/>
      </c>
      <c r="BA29" s="708" t="str">
        <f>IFERROR('2. Roles &amp; Pricing'!BC184/40,"")</f>
        <v/>
      </c>
      <c r="BB29" s="708" t="str">
        <f>IFERROR('2. Roles &amp; Pricing'!BD184/40,"")</f>
        <v/>
      </c>
      <c r="BC29" s="708" t="str">
        <f>IFERROR('2. Roles &amp; Pricing'!BE184/40,"")</f>
        <v/>
      </c>
      <c r="BD29" s="708" t="str">
        <f>IFERROR('2. Roles &amp; Pricing'!BF184/40,"")</f>
        <v/>
      </c>
      <c r="BE29" s="708" t="str">
        <f>IFERROR('2. Roles &amp; Pricing'!BG184/40,"")</f>
        <v/>
      </c>
      <c r="BF29" s="708" t="str">
        <f>IFERROR('2. Roles &amp; Pricing'!BH184/40,"")</f>
        <v/>
      </c>
      <c r="BG29" s="708" t="str">
        <f>IFERROR('2. Roles &amp; Pricing'!BI184/40,"")</f>
        <v/>
      </c>
      <c r="BH29" s="708" t="str">
        <f>IFERROR('2. Roles &amp; Pricing'!BJ184/40,"")</f>
        <v/>
      </c>
      <c r="BI29" s="708" t="str">
        <f>IFERROR('2. Roles &amp; Pricing'!BK184/40,"")</f>
        <v/>
      </c>
      <c r="BJ29" s="708" t="str">
        <f>IFERROR('2. Roles &amp; Pricing'!BL184/40,"")</f>
        <v/>
      </c>
      <c r="BK29" s="708" t="str">
        <f>IFERROR('2. Roles &amp; Pricing'!BM184/40,"")</f>
        <v/>
      </c>
      <c r="BL29" s="708" t="str">
        <f>IFERROR('2. Roles &amp; Pricing'!BN184/40,"")</f>
        <v/>
      </c>
      <c r="BM29" s="708" t="str">
        <f>IFERROR('2. Roles &amp; Pricing'!BO184/40,"")</f>
        <v/>
      </c>
      <c r="BN29" s="212">
        <f t="shared" si="49"/>
        <v>0</v>
      </c>
      <c r="BO29" s="213">
        <f t="shared" si="50"/>
        <v>0</v>
      </c>
      <c r="BP29" s="199" t="str">
        <f>'2. Roles &amp; Pricing'!D305</f>
        <v/>
      </c>
      <c r="BQ29" s="199">
        <f>'2. Roles &amp; Pricing'!F305</f>
        <v>0</v>
      </c>
      <c r="BR29" s="623">
        <f>'2. Roles &amp; Pricing'!F305</f>
        <v>0</v>
      </c>
      <c r="BS29" s="200">
        <f>'2. Roles &amp; Pricing'!I305</f>
        <v>0</v>
      </c>
      <c r="BT29" s="201" t="str">
        <f t="shared" si="51"/>
        <v/>
      </c>
      <c r="BU29" s="214">
        <f t="shared" si="48"/>
        <v>0</v>
      </c>
      <c r="BV29" s="215"/>
      <c r="BW29" s="211"/>
      <c r="BX29" s="144"/>
      <c r="BY29" s="144"/>
      <c r="BZ29" s="144"/>
      <c r="CA29" s="144"/>
      <c r="CB29" s="144"/>
      <c r="CC29" s="144"/>
      <c r="CD29" s="144"/>
      <c r="CE29" s="144"/>
      <c r="CF29" s="144"/>
      <c r="CG29" s="144"/>
      <c r="CH29" s="144"/>
      <c r="CI29" s="144"/>
      <c r="CJ29" s="144"/>
      <c r="CK29" s="144"/>
      <c r="CL29" s="144"/>
      <c r="CM29" s="144"/>
      <c r="CN29" s="144"/>
      <c r="CO29" s="144"/>
      <c r="CP29" s="144"/>
    </row>
    <row r="30" spans="1:94" s="204" customFormat="1" ht="14.4" thickBot="1" x14ac:dyDescent="0.35">
      <c r="A30" s="216">
        <v>16</v>
      </c>
      <c r="B30" s="217">
        <v>3</v>
      </c>
      <c r="C30" s="218" t="str">
        <f t="shared" si="46"/>
        <v>0__</v>
      </c>
      <c r="D30" s="218" t="str">
        <f t="shared" si="47"/>
        <v>0____0</v>
      </c>
      <c r="E30" s="218">
        <v>20</v>
      </c>
      <c r="F30" s="218">
        <v>10</v>
      </c>
      <c r="G30" s="219">
        <f>'2. Roles &amp; Pricing'!D63</f>
        <v>0</v>
      </c>
      <c r="H30" s="220" t="str">
        <f>'2. Roles &amp; Pricing'!E63</f>
        <v/>
      </c>
      <c r="I30" s="221">
        <f>'2. Roles &amp; Pricing'!F63</f>
        <v>0</v>
      </c>
      <c r="J30" s="221">
        <f>'2. Roles &amp; Pricing'!K63</f>
        <v>0</v>
      </c>
      <c r="K30" s="197" t="str">
        <f>'2. Roles &amp; Pricing'!W63</f>
        <v xml:space="preserve"> </v>
      </c>
      <c r="L30" s="220"/>
      <c r="M30" s="221"/>
      <c r="N30" s="707" t="str">
        <f>IFERROR('2. Roles &amp; Pricing'!F185/40,"")</f>
        <v/>
      </c>
      <c r="O30" s="707" t="str">
        <f>IFERROR('2. Roles &amp; Pricing'!I185/40,"")</f>
        <v/>
      </c>
      <c r="P30" s="707" t="str">
        <f>IFERROR('2. Roles &amp; Pricing'!K185/40,"")</f>
        <v/>
      </c>
      <c r="Q30" s="707" t="str">
        <f>IFERROR('2. Roles &amp; Pricing'!L185/40,"")</f>
        <v/>
      </c>
      <c r="R30" s="707" t="str">
        <f>IFERROR('2. Roles &amp; Pricing'!M185/40,"")</f>
        <v/>
      </c>
      <c r="S30" s="707" t="str">
        <f>IFERROR('2. Roles &amp; Pricing'!N185/40,"")</f>
        <v/>
      </c>
      <c r="T30" s="707" t="str">
        <f>IFERROR('2. Roles &amp; Pricing'!O185/40,"")</f>
        <v/>
      </c>
      <c r="U30" s="709" t="str">
        <f>IFERROR('2. Roles &amp; Pricing'!P185/40,"")</f>
        <v/>
      </c>
      <c r="V30" s="709" t="str">
        <f>IFERROR('2. Roles &amp; Pricing'!Q185/40,"")</f>
        <v/>
      </c>
      <c r="W30" s="709" t="str">
        <f>IFERROR('2. Roles &amp; Pricing'!R185/40,"")</f>
        <v/>
      </c>
      <c r="X30" s="708" t="str">
        <f>IFERROR('2. Roles &amp; Pricing'!S185/40,"")</f>
        <v/>
      </c>
      <c r="Y30" s="708" t="str">
        <f>IFERROR('2. Roles &amp; Pricing'!T185/40,"")</f>
        <v/>
      </c>
      <c r="Z30" s="708" t="str">
        <f>IFERROR('2. Roles &amp; Pricing'!U185/40,"")</f>
        <v/>
      </c>
      <c r="AA30" s="708" t="str">
        <f>IFERROR('2. Roles &amp; Pricing'!Y185/40,"")</f>
        <v/>
      </c>
      <c r="AB30" s="708" t="str">
        <f>IFERROR('2. Roles &amp; Pricing'!Z185/40,"")</f>
        <v/>
      </c>
      <c r="AC30" s="708" t="str">
        <f>IFERROR('2. Roles &amp; Pricing'!AA185/40,"")</f>
        <v/>
      </c>
      <c r="AD30" s="708" t="str">
        <f>IFERROR('2. Roles &amp; Pricing'!AB185/40,"")</f>
        <v/>
      </c>
      <c r="AE30" s="708" t="str">
        <f>IFERROR('2. Roles &amp; Pricing'!AG185/40,"")</f>
        <v/>
      </c>
      <c r="AF30" s="708" t="str">
        <f>IFERROR('2. Roles &amp; Pricing'!AH185/40,"")</f>
        <v/>
      </c>
      <c r="AG30" s="708" t="str">
        <f>IFERROR('2. Roles &amp; Pricing'!AI185/40,"")</f>
        <v/>
      </c>
      <c r="AH30" s="708" t="str">
        <f>IFERROR('2. Roles &amp; Pricing'!AJ185/40,"")</f>
        <v/>
      </c>
      <c r="AI30" s="708" t="str">
        <f>IFERROR('2. Roles &amp; Pricing'!AK185/40,"")</f>
        <v/>
      </c>
      <c r="AJ30" s="708" t="str">
        <f>IFERROR('2. Roles &amp; Pricing'!AL185/40,"")</f>
        <v/>
      </c>
      <c r="AK30" s="708" t="str">
        <f>IFERROR('2. Roles &amp; Pricing'!AM185/40,"")</f>
        <v/>
      </c>
      <c r="AL30" s="708" t="str">
        <f>IFERROR('2. Roles &amp; Pricing'!AN185/40,"")</f>
        <v/>
      </c>
      <c r="AM30" s="708" t="str">
        <f>IFERROR('2. Roles &amp; Pricing'!AO185/40,"")</f>
        <v/>
      </c>
      <c r="AN30" s="708" t="str">
        <f>IFERROR('2. Roles &amp; Pricing'!AP185/40,"")</f>
        <v/>
      </c>
      <c r="AO30" s="708" t="str">
        <f>IFERROR('2. Roles &amp; Pricing'!AQ185/40,"")</f>
        <v/>
      </c>
      <c r="AP30" s="708" t="str">
        <f>IFERROR('2. Roles &amp; Pricing'!AR185/40,"")</f>
        <v/>
      </c>
      <c r="AQ30" s="708" t="str">
        <f>IFERROR('2. Roles &amp; Pricing'!AS185/40,"")</f>
        <v/>
      </c>
      <c r="AR30" s="708" t="str">
        <f>IFERROR('2. Roles &amp; Pricing'!AT185/40,"")</f>
        <v/>
      </c>
      <c r="AS30" s="708" t="str">
        <f>IFERROR('2. Roles &amp; Pricing'!AU185/40,"")</f>
        <v/>
      </c>
      <c r="AT30" s="708" t="str">
        <f>IFERROR('2. Roles &amp; Pricing'!AV185/40,"")</f>
        <v/>
      </c>
      <c r="AU30" s="708" t="str">
        <f>IFERROR('2. Roles &amp; Pricing'!AW185/40,"")</f>
        <v/>
      </c>
      <c r="AV30" s="708" t="str">
        <f>IFERROR('2. Roles &amp; Pricing'!AX185/40,"")</f>
        <v/>
      </c>
      <c r="AW30" s="708" t="str">
        <f>IFERROR('2. Roles &amp; Pricing'!AY185/40,"")</f>
        <v/>
      </c>
      <c r="AX30" s="708" t="str">
        <f>IFERROR('2. Roles &amp; Pricing'!AZ185/40,"")</f>
        <v/>
      </c>
      <c r="AY30" s="708" t="str">
        <f>IFERROR('2. Roles &amp; Pricing'!BA185/40,"")</f>
        <v/>
      </c>
      <c r="AZ30" s="708" t="str">
        <f>IFERROR('2. Roles &amp; Pricing'!BB185/40,"")</f>
        <v/>
      </c>
      <c r="BA30" s="708" t="str">
        <f>IFERROR('2. Roles &amp; Pricing'!BC185/40,"")</f>
        <v/>
      </c>
      <c r="BB30" s="708" t="str">
        <f>IFERROR('2. Roles &amp; Pricing'!BD185/40,"")</f>
        <v/>
      </c>
      <c r="BC30" s="708" t="str">
        <f>IFERROR('2. Roles &amp; Pricing'!BE185/40,"")</f>
        <v/>
      </c>
      <c r="BD30" s="708" t="str">
        <f>IFERROR('2. Roles &amp; Pricing'!BF185/40,"")</f>
        <v/>
      </c>
      <c r="BE30" s="708" t="str">
        <f>IFERROR('2. Roles &amp; Pricing'!BG185/40,"")</f>
        <v/>
      </c>
      <c r="BF30" s="708" t="str">
        <f>IFERROR('2. Roles &amp; Pricing'!BH185/40,"")</f>
        <v/>
      </c>
      <c r="BG30" s="708" t="str">
        <f>IFERROR('2. Roles &amp; Pricing'!BI185/40,"")</f>
        <v/>
      </c>
      <c r="BH30" s="708" t="str">
        <f>IFERROR('2. Roles &amp; Pricing'!BJ185/40,"")</f>
        <v/>
      </c>
      <c r="BI30" s="708" t="str">
        <f>IFERROR('2. Roles &amp; Pricing'!BK185/40,"")</f>
        <v/>
      </c>
      <c r="BJ30" s="708" t="str">
        <f>IFERROR('2. Roles &amp; Pricing'!BL185/40,"")</f>
        <v/>
      </c>
      <c r="BK30" s="708" t="str">
        <f>IFERROR('2. Roles &amp; Pricing'!BM185/40,"")</f>
        <v/>
      </c>
      <c r="BL30" s="708" t="str">
        <f>IFERROR('2. Roles &amp; Pricing'!BN185/40,"")</f>
        <v/>
      </c>
      <c r="BM30" s="708" t="str">
        <f>IFERROR('2. Roles &amp; Pricing'!BO185/40,"")</f>
        <v/>
      </c>
      <c r="BN30" s="223">
        <f t="shared" si="49"/>
        <v>0</v>
      </c>
      <c r="BO30" s="224">
        <f t="shared" si="50"/>
        <v>0</v>
      </c>
      <c r="BP30" s="199" t="str">
        <f>'2. Roles &amp; Pricing'!D306</f>
        <v/>
      </c>
      <c r="BQ30" s="199">
        <f>'2. Roles &amp; Pricing'!F306</f>
        <v>0</v>
      </c>
      <c r="BR30" s="623">
        <f>'2. Roles &amp; Pricing'!F306</f>
        <v>0</v>
      </c>
      <c r="BS30" s="200">
        <f>'2. Roles &amp; Pricing'!I306</f>
        <v>0</v>
      </c>
      <c r="BT30" s="201" t="str">
        <f t="shared" si="51"/>
        <v/>
      </c>
      <c r="BU30" s="225">
        <f t="shared" si="48"/>
        <v>0</v>
      </c>
      <c r="BV30" s="226"/>
      <c r="BW30" s="222"/>
      <c r="BX30" s="144"/>
      <c r="BY30" s="144"/>
      <c r="BZ30" s="144"/>
      <c r="CA30" s="144"/>
      <c r="CB30" s="144"/>
      <c r="CC30" s="144"/>
      <c r="CD30" s="144"/>
      <c r="CE30" s="144"/>
      <c r="CF30" s="144"/>
      <c r="CG30" s="144"/>
      <c r="CH30" s="144"/>
      <c r="CI30" s="144"/>
      <c r="CJ30" s="144"/>
      <c r="CK30" s="144"/>
      <c r="CL30" s="144"/>
      <c r="CM30" s="144"/>
      <c r="CN30" s="144"/>
      <c r="CO30" s="144"/>
      <c r="CP30" s="144"/>
    </row>
    <row r="31" spans="1:94" s="204" customFormat="1" ht="20.7" customHeight="1" thickBot="1" x14ac:dyDescent="0.35">
      <c r="A31" s="227">
        <v>17</v>
      </c>
      <c r="B31" s="228">
        <v>3</v>
      </c>
      <c r="C31" s="229" t="str">
        <f t="shared" si="46"/>
        <v>0__</v>
      </c>
      <c r="D31" s="229" t="str">
        <f t="shared" si="47"/>
        <v>0____0</v>
      </c>
      <c r="E31" s="229">
        <v>21</v>
      </c>
      <c r="F31" s="229">
        <v>8</v>
      </c>
      <c r="G31" s="230">
        <f>'2. Roles &amp; Pricing'!D64</f>
        <v>0</v>
      </c>
      <c r="H31" s="231" t="str">
        <f>'2. Roles &amp; Pricing'!E64</f>
        <v/>
      </c>
      <c r="I31" s="232">
        <f>'2. Roles &amp; Pricing'!F64</f>
        <v>0</v>
      </c>
      <c r="J31" s="232">
        <f>'2. Roles &amp; Pricing'!K64</f>
        <v>0</v>
      </c>
      <c r="K31" s="233" t="s">
        <v>120</v>
      </c>
      <c r="L31" s="231"/>
      <c r="M31" s="232"/>
      <c r="N31" s="707" t="str">
        <f>IFERROR('2. Roles &amp; Pricing'!F186/40,"")</f>
        <v/>
      </c>
      <c r="O31" s="707" t="str">
        <f>IFERROR('2. Roles &amp; Pricing'!I186/40,"")</f>
        <v/>
      </c>
      <c r="P31" s="707" t="str">
        <f>IFERROR('2. Roles &amp; Pricing'!K186/40,"")</f>
        <v/>
      </c>
      <c r="Q31" s="707" t="str">
        <f>IFERROR('2. Roles &amp; Pricing'!L186/40,"")</f>
        <v/>
      </c>
      <c r="R31" s="707" t="str">
        <f>IFERROR('2. Roles &amp; Pricing'!M186/40,"")</f>
        <v/>
      </c>
      <c r="S31" s="707" t="str">
        <f>IFERROR('2. Roles &amp; Pricing'!N186/40,"")</f>
        <v/>
      </c>
      <c r="T31" s="707" t="str">
        <f>IFERROR('2. Roles &amp; Pricing'!O186/40,"")</f>
        <v/>
      </c>
      <c r="U31" s="709" t="str">
        <f>IFERROR('2. Roles &amp; Pricing'!P186/40,"")</f>
        <v/>
      </c>
      <c r="V31" s="709" t="str">
        <f>IFERROR('2. Roles &amp; Pricing'!Q186/40,"")</f>
        <v/>
      </c>
      <c r="W31" s="709" t="str">
        <f>IFERROR('2. Roles &amp; Pricing'!R186/40,"")</f>
        <v/>
      </c>
      <c r="X31" s="708" t="str">
        <f>IFERROR('2. Roles &amp; Pricing'!S186/40,"")</f>
        <v/>
      </c>
      <c r="Y31" s="708" t="str">
        <f>IFERROR('2. Roles &amp; Pricing'!T186/40,"")</f>
        <v/>
      </c>
      <c r="Z31" s="708" t="str">
        <f>IFERROR('2. Roles &amp; Pricing'!U186/40,"")</f>
        <v/>
      </c>
      <c r="AA31" s="708" t="str">
        <f>IFERROR('2. Roles &amp; Pricing'!Y186/40,"")</f>
        <v/>
      </c>
      <c r="AB31" s="708" t="str">
        <f>IFERROR('2. Roles &amp; Pricing'!Z186/40,"")</f>
        <v/>
      </c>
      <c r="AC31" s="708" t="str">
        <f>IFERROR('2. Roles &amp; Pricing'!AA186/40,"")</f>
        <v/>
      </c>
      <c r="AD31" s="708" t="str">
        <f>IFERROR('2. Roles &amp; Pricing'!AB186/40,"")</f>
        <v/>
      </c>
      <c r="AE31" s="708" t="str">
        <f>IFERROR('2. Roles &amp; Pricing'!AG186/40,"")</f>
        <v/>
      </c>
      <c r="AF31" s="708" t="str">
        <f>IFERROR('2. Roles &amp; Pricing'!AH186/40,"")</f>
        <v/>
      </c>
      <c r="AG31" s="708" t="str">
        <f>IFERROR('2. Roles &amp; Pricing'!AI186/40,"")</f>
        <v/>
      </c>
      <c r="AH31" s="708" t="str">
        <f>IFERROR('2. Roles &amp; Pricing'!AJ186/40,"")</f>
        <v/>
      </c>
      <c r="AI31" s="708" t="str">
        <f>IFERROR('2. Roles &amp; Pricing'!AK186/40,"")</f>
        <v/>
      </c>
      <c r="AJ31" s="708" t="str">
        <f>IFERROR('2. Roles &amp; Pricing'!AL186/40,"")</f>
        <v/>
      </c>
      <c r="AK31" s="708" t="str">
        <f>IFERROR('2. Roles &amp; Pricing'!AM186/40,"")</f>
        <v/>
      </c>
      <c r="AL31" s="708" t="str">
        <f>IFERROR('2. Roles &amp; Pricing'!AN186/40,"")</f>
        <v/>
      </c>
      <c r="AM31" s="708" t="str">
        <f>IFERROR('2. Roles &amp; Pricing'!AO186/40,"")</f>
        <v/>
      </c>
      <c r="AN31" s="708" t="str">
        <f>IFERROR('2. Roles &amp; Pricing'!AP186/40,"")</f>
        <v/>
      </c>
      <c r="AO31" s="708" t="str">
        <f>IFERROR('2. Roles &amp; Pricing'!AQ186/40,"")</f>
        <v/>
      </c>
      <c r="AP31" s="708" t="str">
        <f>IFERROR('2. Roles &amp; Pricing'!AR186/40,"")</f>
        <v/>
      </c>
      <c r="AQ31" s="708" t="str">
        <f>IFERROR('2. Roles &amp; Pricing'!AS186/40,"")</f>
        <v/>
      </c>
      <c r="AR31" s="708" t="str">
        <f>IFERROR('2. Roles &amp; Pricing'!AT186/40,"")</f>
        <v/>
      </c>
      <c r="AS31" s="708" t="str">
        <f>IFERROR('2. Roles &amp; Pricing'!AU186/40,"")</f>
        <v/>
      </c>
      <c r="AT31" s="708" t="str">
        <f>IFERROR('2. Roles &amp; Pricing'!AV186/40,"")</f>
        <v/>
      </c>
      <c r="AU31" s="708" t="str">
        <f>IFERROR('2. Roles &amp; Pricing'!AW186/40,"")</f>
        <v/>
      </c>
      <c r="AV31" s="708" t="str">
        <f>IFERROR('2. Roles &amp; Pricing'!AX186/40,"")</f>
        <v/>
      </c>
      <c r="AW31" s="708" t="str">
        <f>IFERROR('2. Roles &amp; Pricing'!AY186/40,"")</f>
        <v/>
      </c>
      <c r="AX31" s="708" t="str">
        <f>IFERROR('2. Roles &amp; Pricing'!AZ186/40,"")</f>
        <v/>
      </c>
      <c r="AY31" s="708" t="str">
        <f>IFERROR('2. Roles &amp; Pricing'!BA186/40,"")</f>
        <v/>
      </c>
      <c r="AZ31" s="708" t="str">
        <f>IFERROR('2. Roles &amp; Pricing'!BB186/40,"")</f>
        <v/>
      </c>
      <c r="BA31" s="708" t="str">
        <f>IFERROR('2. Roles &amp; Pricing'!BC186/40,"")</f>
        <v/>
      </c>
      <c r="BB31" s="708" t="str">
        <f>IFERROR('2. Roles &amp; Pricing'!BD186/40,"")</f>
        <v/>
      </c>
      <c r="BC31" s="708" t="str">
        <f>IFERROR('2. Roles &amp; Pricing'!BE186/40,"")</f>
        <v/>
      </c>
      <c r="BD31" s="708" t="str">
        <f>IFERROR('2. Roles &amp; Pricing'!BF186/40,"")</f>
        <v/>
      </c>
      <c r="BE31" s="708" t="str">
        <f>IFERROR('2. Roles &amp; Pricing'!BG186/40,"")</f>
        <v/>
      </c>
      <c r="BF31" s="708" t="str">
        <f>IFERROR('2. Roles &amp; Pricing'!BH186/40,"")</f>
        <v/>
      </c>
      <c r="BG31" s="708" t="str">
        <f>IFERROR('2. Roles &amp; Pricing'!BI186/40,"")</f>
        <v/>
      </c>
      <c r="BH31" s="708" t="str">
        <f>IFERROR('2. Roles &amp; Pricing'!BJ186/40,"")</f>
        <v/>
      </c>
      <c r="BI31" s="708" t="str">
        <f>IFERROR('2. Roles &amp; Pricing'!BK186/40,"")</f>
        <v/>
      </c>
      <c r="BJ31" s="708" t="str">
        <f>IFERROR('2. Roles &amp; Pricing'!BL186/40,"")</f>
        <v/>
      </c>
      <c r="BK31" s="708" t="str">
        <f>IFERROR('2. Roles &amp; Pricing'!BM186/40,"")</f>
        <v/>
      </c>
      <c r="BL31" s="708" t="str">
        <f>IFERROR('2. Roles &amp; Pricing'!BN186/40,"")</f>
        <v/>
      </c>
      <c r="BM31" s="708" t="str">
        <f>IFERROR('2. Roles &amp; Pricing'!BO186/40,"")</f>
        <v/>
      </c>
      <c r="BN31" s="234">
        <f t="shared" si="49"/>
        <v>0</v>
      </c>
      <c r="BO31" s="235">
        <f t="shared" si="50"/>
        <v>0</v>
      </c>
      <c r="BP31" s="199" t="str">
        <f>'2. Roles &amp; Pricing'!D307</f>
        <v/>
      </c>
      <c r="BQ31" s="199">
        <f>'2. Roles &amp; Pricing'!F307</f>
        <v>0</v>
      </c>
      <c r="BR31" s="623">
        <f>'2. Roles &amp; Pricing'!F307</f>
        <v>0</v>
      </c>
      <c r="BS31" s="200">
        <f>'2. Roles &amp; Pricing'!I307</f>
        <v>0</v>
      </c>
      <c r="BT31" s="201" t="str">
        <f t="shared" si="51"/>
        <v/>
      </c>
      <c r="BU31" s="236">
        <f t="shared" si="48"/>
        <v>0</v>
      </c>
      <c r="BV31" s="237"/>
      <c r="BW31" s="1795" t="s">
        <v>2020</v>
      </c>
      <c r="BX31" s="144"/>
      <c r="BY31" s="144"/>
      <c r="BZ31" s="144"/>
      <c r="CA31" s="144"/>
      <c r="CB31" s="144"/>
      <c r="CC31" s="144"/>
      <c r="CD31" s="144"/>
      <c r="CE31" s="144"/>
      <c r="CF31" s="144"/>
      <c r="CG31" s="144"/>
      <c r="CH31" s="144"/>
      <c r="CI31" s="144"/>
      <c r="CJ31" s="144"/>
      <c r="CK31" s="144"/>
      <c r="CL31" s="144"/>
      <c r="CM31" s="144"/>
      <c r="CN31" s="144"/>
      <c r="CO31" s="144"/>
      <c r="CP31" s="144"/>
    </row>
    <row r="32" spans="1:94" s="204" customFormat="1" ht="14.4" thickBot="1" x14ac:dyDescent="0.35">
      <c r="A32" s="238">
        <v>18</v>
      </c>
      <c r="B32" s="239">
        <v>3</v>
      </c>
      <c r="C32" s="240" t="str">
        <f t="shared" si="46"/>
        <v>0__</v>
      </c>
      <c r="D32" s="240" t="str">
        <f t="shared" si="47"/>
        <v>0____0</v>
      </c>
      <c r="E32" s="240">
        <v>20</v>
      </c>
      <c r="F32" s="240">
        <v>10</v>
      </c>
      <c r="G32" s="241">
        <f>'2. Roles &amp; Pricing'!D65</f>
        <v>0</v>
      </c>
      <c r="H32" s="242" t="str">
        <f>'2. Roles &amp; Pricing'!E65</f>
        <v/>
      </c>
      <c r="I32" s="243">
        <f>'2. Roles &amp; Pricing'!F65</f>
        <v>0</v>
      </c>
      <c r="J32" s="243">
        <f>'2. Roles &amp; Pricing'!K65</f>
        <v>0</v>
      </c>
      <c r="K32" s="244" t="s">
        <v>119</v>
      </c>
      <c r="L32" s="242"/>
      <c r="M32" s="243"/>
      <c r="N32" s="707" t="str">
        <f>IFERROR('2. Roles &amp; Pricing'!F187/40,"")</f>
        <v/>
      </c>
      <c r="O32" s="707" t="str">
        <f>IFERROR('2. Roles &amp; Pricing'!I187/40,"")</f>
        <v/>
      </c>
      <c r="P32" s="707" t="str">
        <f>IFERROR('2. Roles &amp; Pricing'!K187/40,"")</f>
        <v/>
      </c>
      <c r="Q32" s="707" t="str">
        <f>IFERROR('2. Roles &amp; Pricing'!L187/40,"")</f>
        <v/>
      </c>
      <c r="R32" s="707" t="str">
        <f>IFERROR('2. Roles &amp; Pricing'!M187/40,"")</f>
        <v/>
      </c>
      <c r="S32" s="707" t="str">
        <f>IFERROR('2. Roles &amp; Pricing'!N187/40,"")</f>
        <v/>
      </c>
      <c r="T32" s="707" t="str">
        <f>IFERROR('2. Roles &amp; Pricing'!O187/40,"")</f>
        <v/>
      </c>
      <c r="U32" s="709" t="str">
        <f>IFERROR('2. Roles &amp; Pricing'!P187/40,"")</f>
        <v/>
      </c>
      <c r="V32" s="709" t="str">
        <f>IFERROR('2. Roles &amp; Pricing'!Q187/40,"")</f>
        <v/>
      </c>
      <c r="W32" s="709" t="str">
        <f>IFERROR('2. Roles &amp; Pricing'!R187/40,"")</f>
        <v/>
      </c>
      <c r="X32" s="708" t="str">
        <f>IFERROR('2. Roles &amp; Pricing'!S187/40,"")</f>
        <v/>
      </c>
      <c r="Y32" s="708" t="str">
        <f>IFERROR('2. Roles &amp; Pricing'!T187/40,"")</f>
        <v/>
      </c>
      <c r="Z32" s="708" t="str">
        <f>IFERROR('2. Roles &amp; Pricing'!U187/40,"")</f>
        <v/>
      </c>
      <c r="AA32" s="708" t="str">
        <f>IFERROR('2. Roles &amp; Pricing'!Y187/40,"")</f>
        <v/>
      </c>
      <c r="AB32" s="708" t="str">
        <f>IFERROR('2. Roles &amp; Pricing'!Z187/40,"")</f>
        <v/>
      </c>
      <c r="AC32" s="708" t="str">
        <f>IFERROR('2. Roles &amp; Pricing'!AA187/40,"")</f>
        <v/>
      </c>
      <c r="AD32" s="708" t="str">
        <f>IFERROR('2. Roles &amp; Pricing'!AB187/40,"")</f>
        <v/>
      </c>
      <c r="AE32" s="708" t="str">
        <f>IFERROR('2. Roles &amp; Pricing'!AG187/40,"")</f>
        <v/>
      </c>
      <c r="AF32" s="708" t="str">
        <f>IFERROR('2. Roles &amp; Pricing'!AH187/40,"")</f>
        <v/>
      </c>
      <c r="AG32" s="708" t="str">
        <f>IFERROR('2. Roles &amp; Pricing'!AI187/40,"")</f>
        <v/>
      </c>
      <c r="AH32" s="708" t="str">
        <f>IFERROR('2. Roles &amp; Pricing'!AJ187/40,"")</f>
        <v/>
      </c>
      <c r="AI32" s="708" t="str">
        <f>IFERROR('2. Roles &amp; Pricing'!AK187/40,"")</f>
        <v/>
      </c>
      <c r="AJ32" s="708" t="str">
        <f>IFERROR('2. Roles &amp; Pricing'!AL187/40,"")</f>
        <v/>
      </c>
      <c r="AK32" s="708" t="str">
        <f>IFERROR('2. Roles &amp; Pricing'!AM187/40,"")</f>
        <v/>
      </c>
      <c r="AL32" s="708" t="str">
        <f>IFERROR('2. Roles &amp; Pricing'!AN187/40,"")</f>
        <v/>
      </c>
      <c r="AM32" s="708" t="str">
        <f>IFERROR('2. Roles &amp; Pricing'!AO187/40,"")</f>
        <v/>
      </c>
      <c r="AN32" s="708" t="str">
        <f>IFERROR('2. Roles &amp; Pricing'!AP187/40,"")</f>
        <v/>
      </c>
      <c r="AO32" s="708" t="str">
        <f>IFERROR('2. Roles &amp; Pricing'!AQ187/40,"")</f>
        <v/>
      </c>
      <c r="AP32" s="708" t="str">
        <f>IFERROR('2. Roles &amp; Pricing'!AR187/40,"")</f>
        <v/>
      </c>
      <c r="AQ32" s="708" t="str">
        <f>IFERROR('2. Roles &amp; Pricing'!AS187/40,"")</f>
        <v/>
      </c>
      <c r="AR32" s="708" t="str">
        <f>IFERROR('2. Roles &amp; Pricing'!AT187/40,"")</f>
        <v/>
      </c>
      <c r="AS32" s="708" t="str">
        <f>IFERROR('2. Roles &amp; Pricing'!AU187/40,"")</f>
        <v/>
      </c>
      <c r="AT32" s="708" t="str">
        <f>IFERROR('2. Roles &amp; Pricing'!AV187/40,"")</f>
        <v/>
      </c>
      <c r="AU32" s="708" t="str">
        <f>IFERROR('2. Roles &amp; Pricing'!AW187/40,"")</f>
        <v/>
      </c>
      <c r="AV32" s="708" t="str">
        <f>IFERROR('2. Roles &amp; Pricing'!AX187/40,"")</f>
        <v/>
      </c>
      <c r="AW32" s="708" t="str">
        <f>IFERROR('2. Roles &amp; Pricing'!AY187/40,"")</f>
        <v/>
      </c>
      <c r="AX32" s="708" t="str">
        <f>IFERROR('2. Roles &amp; Pricing'!AZ187/40,"")</f>
        <v/>
      </c>
      <c r="AY32" s="708" t="str">
        <f>IFERROR('2. Roles &amp; Pricing'!BA187/40,"")</f>
        <v/>
      </c>
      <c r="AZ32" s="708" t="str">
        <f>IFERROR('2. Roles &amp; Pricing'!BB187/40,"")</f>
        <v/>
      </c>
      <c r="BA32" s="708" t="str">
        <f>IFERROR('2. Roles &amp; Pricing'!BC187/40,"")</f>
        <v/>
      </c>
      <c r="BB32" s="708" t="str">
        <f>IFERROR('2. Roles &amp; Pricing'!BD187/40,"")</f>
        <v/>
      </c>
      <c r="BC32" s="708" t="str">
        <f>IFERROR('2. Roles &amp; Pricing'!BE187/40,"")</f>
        <v/>
      </c>
      <c r="BD32" s="708" t="str">
        <f>IFERROR('2. Roles &amp; Pricing'!BF187/40,"")</f>
        <v/>
      </c>
      <c r="BE32" s="708" t="str">
        <f>IFERROR('2. Roles &amp; Pricing'!BG187/40,"")</f>
        <v/>
      </c>
      <c r="BF32" s="708" t="str">
        <f>IFERROR('2. Roles &amp; Pricing'!BH187/40,"")</f>
        <v/>
      </c>
      <c r="BG32" s="708" t="str">
        <f>IFERROR('2. Roles &amp; Pricing'!BI187/40,"")</f>
        <v/>
      </c>
      <c r="BH32" s="708" t="str">
        <f>IFERROR('2. Roles &amp; Pricing'!BJ187/40,"")</f>
        <v/>
      </c>
      <c r="BI32" s="708" t="str">
        <f>IFERROR('2. Roles &amp; Pricing'!BK187/40,"")</f>
        <v/>
      </c>
      <c r="BJ32" s="708" t="str">
        <f>IFERROR('2. Roles &amp; Pricing'!BL187/40,"")</f>
        <v/>
      </c>
      <c r="BK32" s="708" t="str">
        <f>IFERROR('2. Roles &amp; Pricing'!BM187/40,"")</f>
        <v/>
      </c>
      <c r="BL32" s="708" t="str">
        <f>IFERROR('2. Roles &amp; Pricing'!BN187/40,"")</f>
        <v/>
      </c>
      <c r="BM32" s="708" t="str">
        <f>IFERROR('2. Roles &amp; Pricing'!BO187/40,"")</f>
        <v/>
      </c>
      <c r="BN32" s="223">
        <f t="shared" si="49"/>
        <v>0</v>
      </c>
      <c r="BO32" s="224">
        <f t="shared" si="50"/>
        <v>0</v>
      </c>
      <c r="BP32" s="199" t="str">
        <f>'2. Roles &amp; Pricing'!D308</f>
        <v/>
      </c>
      <c r="BQ32" s="199">
        <f>'2. Roles &amp; Pricing'!F308</f>
        <v>0</v>
      </c>
      <c r="BR32" s="623">
        <f>'2. Roles &amp; Pricing'!F308</f>
        <v>0</v>
      </c>
      <c r="BS32" s="200">
        <f>'2. Roles &amp; Pricing'!I308</f>
        <v>0</v>
      </c>
      <c r="BT32" s="201" t="str">
        <f t="shared" si="51"/>
        <v/>
      </c>
      <c r="BU32" s="225">
        <f t="shared" si="48"/>
        <v>0</v>
      </c>
      <c r="BV32" s="245"/>
      <c r="BW32" s="1796"/>
      <c r="BX32" s="144"/>
      <c r="BY32" s="144"/>
      <c r="BZ32" s="144"/>
      <c r="CA32" s="144"/>
      <c r="CB32" s="144"/>
      <c r="CC32" s="144"/>
      <c r="CD32" s="144"/>
      <c r="CE32" s="144"/>
      <c r="CF32" s="144"/>
      <c r="CG32" s="144"/>
      <c r="CH32" s="144"/>
      <c r="CI32" s="144"/>
      <c r="CJ32" s="144"/>
      <c r="CK32" s="144"/>
      <c r="CL32" s="144"/>
      <c r="CM32" s="144"/>
      <c r="CN32" s="144"/>
      <c r="CO32" s="144"/>
      <c r="CP32" s="144"/>
    </row>
    <row r="33" spans="1:75" s="204" customFormat="1" ht="14.4" thickBot="1" x14ac:dyDescent="0.35">
      <c r="A33" s="1772"/>
      <c r="B33" s="1773"/>
      <c r="C33" s="1773"/>
      <c r="D33" s="1773"/>
      <c r="E33" s="1773"/>
      <c r="F33" s="1773"/>
      <c r="G33" s="1773"/>
      <c r="H33" s="1773"/>
      <c r="I33" s="1774"/>
      <c r="J33" s="246"/>
      <c r="K33" s="247"/>
      <c r="L33" s="248"/>
      <c r="M33" s="248"/>
      <c r="N33" s="707" t="str">
        <f>IFERROR('2. Roles &amp; Pricing'!F188/40,"")</f>
        <v/>
      </c>
      <c r="O33" s="707" t="str">
        <f>IFERROR('2. Roles &amp; Pricing'!I188/40,"")</f>
        <v/>
      </c>
      <c r="P33" s="707" t="str">
        <f>IFERROR('2. Roles &amp; Pricing'!K188/40,"")</f>
        <v/>
      </c>
      <c r="Q33" s="707" t="str">
        <f>IFERROR('2. Roles &amp; Pricing'!L188/40,"")</f>
        <v/>
      </c>
      <c r="R33" s="707" t="str">
        <f>IFERROR('2. Roles &amp; Pricing'!M188/40,"")</f>
        <v/>
      </c>
      <c r="S33" s="707" t="str">
        <f>IFERROR('2. Roles &amp; Pricing'!N188/40,"")</f>
        <v/>
      </c>
      <c r="T33" s="707" t="str">
        <f>IFERROR('2. Roles &amp; Pricing'!O188/40,"")</f>
        <v/>
      </c>
      <c r="U33" s="709" t="str">
        <f>IFERROR('2. Roles &amp; Pricing'!P188/40,"")</f>
        <v/>
      </c>
      <c r="V33" s="709" t="str">
        <f>IFERROR('2. Roles &amp; Pricing'!Q188/40,"")</f>
        <v/>
      </c>
      <c r="W33" s="709" t="str">
        <f>IFERROR('2. Roles &amp; Pricing'!R188/40,"")</f>
        <v/>
      </c>
      <c r="X33" s="708" t="str">
        <f>IFERROR('2. Roles &amp; Pricing'!S188/40,"")</f>
        <v/>
      </c>
      <c r="Y33" s="708" t="str">
        <f>IFERROR('2. Roles &amp; Pricing'!T188/40,"")</f>
        <v/>
      </c>
      <c r="Z33" s="708" t="str">
        <f>IFERROR('2. Roles &amp; Pricing'!U188/40,"")</f>
        <v/>
      </c>
      <c r="AA33" s="708" t="str">
        <f>IFERROR('2. Roles &amp; Pricing'!Y188/40,"")</f>
        <v/>
      </c>
      <c r="AB33" s="708" t="str">
        <f>IFERROR('2. Roles &amp; Pricing'!Z188/40,"")</f>
        <v/>
      </c>
      <c r="AC33" s="708" t="str">
        <f>IFERROR('2. Roles &amp; Pricing'!AA188/40,"")</f>
        <v/>
      </c>
      <c r="AD33" s="708" t="str">
        <f>IFERROR('2. Roles &amp; Pricing'!AB188/40,"")</f>
        <v/>
      </c>
      <c r="AE33" s="708" t="str">
        <f>IFERROR('2. Roles &amp; Pricing'!AG188/40,"")</f>
        <v/>
      </c>
      <c r="AF33" s="708" t="str">
        <f>IFERROR('2. Roles &amp; Pricing'!AH188/40,"")</f>
        <v/>
      </c>
      <c r="AG33" s="708" t="str">
        <f>IFERROR('2. Roles &amp; Pricing'!AI188/40,"")</f>
        <v/>
      </c>
      <c r="AH33" s="708" t="str">
        <f>IFERROR('2. Roles &amp; Pricing'!AJ188/40,"")</f>
        <v/>
      </c>
      <c r="AI33" s="708" t="str">
        <f>IFERROR('2. Roles &amp; Pricing'!AK188/40,"")</f>
        <v/>
      </c>
      <c r="AJ33" s="708" t="str">
        <f>IFERROR('2. Roles &amp; Pricing'!AL188/40,"")</f>
        <v/>
      </c>
      <c r="AK33" s="708" t="str">
        <f>IFERROR('2. Roles &amp; Pricing'!AM188/40,"")</f>
        <v/>
      </c>
      <c r="AL33" s="708" t="str">
        <f>IFERROR('2. Roles &amp; Pricing'!AN188/40,"")</f>
        <v/>
      </c>
      <c r="AM33" s="708" t="str">
        <f>IFERROR('2. Roles &amp; Pricing'!AO188/40,"")</f>
        <v/>
      </c>
      <c r="AN33" s="708" t="str">
        <f>IFERROR('2. Roles &amp; Pricing'!AP188/40,"")</f>
        <v/>
      </c>
      <c r="AO33" s="708" t="str">
        <f>IFERROR('2. Roles &amp; Pricing'!AQ188/40,"")</f>
        <v/>
      </c>
      <c r="AP33" s="708" t="str">
        <f>IFERROR('2. Roles &amp; Pricing'!AR188/40,"")</f>
        <v/>
      </c>
      <c r="AQ33" s="708" t="str">
        <f>IFERROR('2. Roles &amp; Pricing'!AS188/40,"")</f>
        <v/>
      </c>
      <c r="AR33" s="708" t="str">
        <f>IFERROR('2. Roles &amp; Pricing'!AT188/40,"")</f>
        <v/>
      </c>
      <c r="AS33" s="708" t="str">
        <f>IFERROR('2. Roles &amp; Pricing'!AU188/40,"")</f>
        <v/>
      </c>
      <c r="AT33" s="708" t="str">
        <f>IFERROR('2. Roles &amp; Pricing'!AV188/40,"")</f>
        <v/>
      </c>
      <c r="AU33" s="708" t="str">
        <f>IFERROR('2. Roles &amp; Pricing'!AW188/40,"")</f>
        <v/>
      </c>
      <c r="AV33" s="708" t="str">
        <f>IFERROR('2. Roles &amp; Pricing'!AX188/40,"")</f>
        <v/>
      </c>
      <c r="AW33" s="708" t="str">
        <f>IFERROR('2. Roles &amp; Pricing'!AY188/40,"")</f>
        <v/>
      </c>
      <c r="AX33" s="708" t="str">
        <f>IFERROR('2. Roles &amp; Pricing'!AZ188/40,"")</f>
        <v/>
      </c>
      <c r="AY33" s="708" t="str">
        <f>IFERROR('2. Roles &amp; Pricing'!BA188/40,"")</f>
        <v/>
      </c>
      <c r="AZ33" s="708" t="str">
        <f>IFERROR('2. Roles &amp; Pricing'!BB188/40,"")</f>
        <v/>
      </c>
      <c r="BA33" s="708" t="str">
        <f>IFERROR('2. Roles &amp; Pricing'!BC188/40,"")</f>
        <v/>
      </c>
      <c r="BB33" s="708" t="str">
        <f>IFERROR('2. Roles &amp; Pricing'!BD188/40,"")</f>
        <v/>
      </c>
      <c r="BC33" s="708" t="str">
        <f>IFERROR('2. Roles &amp; Pricing'!BE188/40,"")</f>
        <v/>
      </c>
      <c r="BD33" s="708" t="str">
        <f>IFERROR('2. Roles &amp; Pricing'!BF188/40,"")</f>
        <v/>
      </c>
      <c r="BE33" s="708" t="str">
        <f>IFERROR('2. Roles &amp; Pricing'!BG188/40,"")</f>
        <v/>
      </c>
      <c r="BF33" s="708" t="str">
        <f>IFERROR('2. Roles &amp; Pricing'!BH188/40,"")</f>
        <v/>
      </c>
      <c r="BG33" s="708" t="str">
        <f>IFERROR('2. Roles &amp; Pricing'!BI188/40,"")</f>
        <v/>
      </c>
      <c r="BH33" s="708" t="str">
        <f>IFERROR('2. Roles &amp; Pricing'!BJ188/40,"")</f>
        <v/>
      </c>
      <c r="BI33" s="708" t="str">
        <f>IFERROR('2. Roles &amp; Pricing'!BK188/40,"")</f>
        <v/>
      </c>
      <c r="BJ33" s="708" t="str">
        <f>IFERROR('2. Roles &amp; Pricing'!BL188/40,"")</f>
        <v/>
      </c>
      <c r="BK33" s="708" t="str">
        <f>IFERROR('2. Roles &amp; Pricing'!BM188/40,"")</f>
        <v/>
      </c>
      <c r="BL33" s="708" t="str">
        <f>IFERROR('2. Roles &amp; Pricing'!BN188/40,"")</f>
        <v/>
      </c>
      <c r="BM33" s="708" t="str">
        <f>IFERROR('2. Roles &amp; Pricing'!BO188/40,"")</f>
        <v/>
      </c>
      <c r="BN33" s="249">
        <f>SUM(BN15:BN32)</f>
        <v>173.5</v>
      </c>
      <c r="BO33" s="250">
        <f>SUM(BO15:BO32)</f>
        <v>867.5</v>
      </c>
      <c r="BP33" s="251">
        <f>SUM(BP15:BP32)</f>
        <v>766000</v>
      </c>
      <c r="BQ33" s="199">
        <f>'2. Roles &amp; Pricing'!F309</f>
        <v>0</v>
      </c>
      <c r="BR33" s="252"/>
      <c r="BS33" s="253"/>
      <c r="BT33" s="254">
        <f>SUM(BT15:BT32)</f>
        <v>766000</v>
      </c>
      <c r="BU33" s="255">
        <f>SUM(BU15:BU32)</f>
        <v>6940</v>
      </c>
    </row>
    <row r="34" spans="1:75" s="204" customFormat="1" ht="14.4" thickBot="1" x14ac:dyDescent="0.35">
      <c r="A34" s="1772"/>
      <c r="B34" s="1773"/>
      <c r="C34" s="1773"/>
      <c r="D34" s="1773"/>
      <c r="E34" s="1773"/>
      <c r="F34" s="1773"/>
      <c r="G34" s="1773"/>
      <c r="H34" s="1773"/>
      <c r="I34" s="1774"/>
      <c r="J34" s="256" t="s">
        <v>178</v>
      </c>
      <c r="K34" s="257"/>
      <c r="L34" s="258"/>
      <c r="M34" s="258"/>
      <c r="N34" s="707" t="str">
        <f>IFERROR('2. Roles &amp; Pricing'!F189/40,"")</f>
        <v/>
      </c>
      <c r="O34" s="707" t="str">
        <f>IFERROR('2. Roles &amp; Pricing'!I189/40,"")</f>
        <v/>
      </c>
      <c r="P34" s="707" t="str">
        <f>IFERROR('2. Roles &amp; Pricing'!K189/40,"")</f>
        <v/>
      </c>
      <c r="Q34" s="707" t="str">
        <f>IFERROR('2. Roles &amp; Pricing'!L189/40,"")</f>
        <v/>
      </c>
      <c r="R34" s="707" t="str">
        <f>IFERROR('2. Roles &amp; Pricing'!M189/40,"")</f>
        <v/>
      </c>
      <c r="S34" s="707" t="str">
        <f>IFERROR('2. Roles &amp; Pricing'!N189/40,"")</f>
        <v/>
      </c>
      <c r="T34" s="707" t="str">
        <f>IFERROR('2. Roles &amp; Pricing'!O189/40,"")</f>
        <v/>
      </c>
      <c r="U34" s="709" t="str">
        <f>IFERROR('2. Roles &amp; Pricing'!P189/40,"")</f>
        <v/>
      </c>
      <c r="V34" s="709" t="str">
        <f>IFERROR('2. Roles &amp; Pricing'!Q189/40,"")</f>
        <v/>
      </c>
      <c r="W34" s="709" t="str">
        <f>IFERROR('2. Roles &amp; Pricing'!R189/40,"")</f>
        <v/>
      </c>
      <c r="X34" s="708" t="str">
        <f>IFERROR('2. Roles &amp; Pricing'!S189/40,"")</f>
        <v/>
      </c>
      <c r="Y34" s="708" t="str">
        <f>IFERROR('2. Roles &amp; Pricing'!T189/40,"")</f>
        <v/>
      </c>
      <c r="Z34" s="708" t="str">
        <f>IFERROR('2. Roles &amp; Pricing'!U189/40,"")</f>
        <v/>
      </c>
      <c r="AA34" s="708" t="str">
        <f>IFERROR('2. Roles &amp; Pricing'!Y189/40,"")</f>
        <v/>
      </c>
      <c r="AB34" s="708" t="str">
        <f>IFERROR('2. Roles &amp; Pricing'!Z189/40,"")</f>
        <v/>
      </c>
      <c r="AC34" s="708" t="str">
        <f>IFERROR('2. Roles &amp; Pricing'!AA189/40,"")</f>
        <v/>
      </c>
      <c r="AD34" s="708" t="str">
        <f>IFERROR('2. Roles &amp; Pricing'!AB189/40,"")</f>
        <v/>
      </c>
      <c r="AE34" s="708" t="str">
        <f>IFERROR('2. Roles &amp; Pricing'!AG189/40,"")</f>
        <v/>
      </c>
      <c r="AF34" s="708" t="str">
        <f>IFERROR('2. Roles &amp; Pricing'!AH189/40,"")</f>
        <v/>
      </c>
      <c r="AG34" s="708" t="str">
        <f>IFERROR('2. Roles &amp; Pricing'!AI189/40,"")</f>
        <v/>
      </c>
      <c r="AH34" s="708" t="str">
        <f>IFERROR('2. Roles &amp; Pricing'!AJ189/40,"")</f>
        <v/>
      </c>
      <c r="AI34" s="708" t="str">
        <f>IFERROR('2. Roles &amp; Pricing'!AK189/40,"")</f>
        <v/>
      </c>
      <c r="AJ34" s="708" t="str">
        <f>IFERROR('2. Roles &amp; Pricing'!AL189/40,"")</f>
        <v/>
      </c>
      <c r="AK34" s="708" t="str">
        <f>IFERROR('2. Roles &amp; Pricing'!AM189/40,"")</f>
        <v/>
      </c>
      <c r="AL34" s="708" t="str">
        <f>IFERROR('2. Roles &amp; Pricing'!AN189/40,"")</f>
        <v/>
      </c>
      <c r="AM34" s="708" t="str">
        <f>IFERROR('2. Roles &amp; Pricing'!AO189/40,"")</f>
        <v/>
      </c>
      <c r="AN34" s="708" t="str">
        <f>IFERROR('2. Roles &amp; Pricing'!AP189/40,"")</f>
        <v/>
      </c>
      <c r="AO34" s="708" t="str">
        <f>IFERROR('2. Roles &amp; Pricing'!AQ189/40,"")</f>
        <v/>
      </c>
      <c r="AP34" s="708" t="str">
        <f>IFERROR('2. Roles &amp; Pricing'!AR189/40,"")</f>
        <v/>
      </c>
      <c r="AQ34" s="708" t="str">
        <f>IFERROR('2. Roles &amp; Pricing'!AS189/40,"")</f>
        <v/>
      </c>
      <c r="AR34" s="708" t="str">
        <f>IFERROR('2. Roles &amp; Pricing'!AT189/40,"")</f>
        <v/>
      </c>
      <c r="AS34" s="708" t="str">
        <f>IFERROR('2. Roles &amp; Pricing'!AU189/40,"")</f>
        <v/>
      </c>
      <c r="AT34" s="708" t="str">
        <f>IFERROR('2. Roles &amp; Pricing'!AV189/40,"")</f>
        <v/>
      </c>
      <c r="AU34" s="708" t="str">
        <f>IFERROR('2. Roles &amp; Pricing'!AW189/40,"")</f>
        <v/>
      </c>
      <c r="AV34" s="708" t="str">
        <f>IFERROR('2. Roles &amp; Pricing'!AX189/40,"")</f>
        <v/>
      </c>
      <c r="AW34" s="708" t="str">
        <f>IFERROR('2. Roles &amp; Pricing'!AY189/40,"")</f>
        <v/>
      </c>
      <c r="AX34" s="708" t="str">
        <f>IFERROR('2. Roles &amp; Pricing'!AZ189/40,"")</f>
        <v/>
      </c>
      <c r="AY34" s="708" t="str">
        <f>IFERROR('2. Roles &amp; Pricing'!BA189/40,"")</f>
        <v/>
      </c>
      <c r="AZ34" s="708" t="str">
        <f>IFERROR('2. Roles &amp; Pricing'!BB189/40,"")</f>
        <v/>
      </c>
      <c r="BA34" s="708" t="str">
        <f>IFERROR('2. Roles &amp; Pricing'!BC189/40,"")</f>
        <v/>
      </c>
      <c r="BB34" s="708" t="str">
        <f>IFERROR('2. Roles &amp; Pricing'!BD189/40,"")</f>
        <v/>
      </c>
      <c r="BC34" s="708" t="str">
        <f>IFERROR('2. Roles &amp; Pricing'!BE189/40,"")</f>
        <v/>
      </c>
      <c r="BD34" s="708" t="str">
        <f>IFERROR('2. Roles &amp; Pricing'!BF189/40,"")</f>
        <v/>
      </c>
      <c r="BE34" s="708" t="str">
        <f>IFERROR('2. Roles &amp; Pricing'!BG189/40,"")</f>
        <v/>
      </c>
      <c r="BF34" s="708" t="str">
        <f>IFERROR('2. Roles &amp; Pricing'!BH189/40,"")</f>
        <v/>
      </c>
      <c r="BG34" s="708" t="str">
        <f>IFERROR('2. Roles &amp; Pricing'!BI189/40,"")</f>
        <v/>
      </c>
      <c r="BH34" s="708" t="str">
        <f>IFERROR('2. Roles &amp; Pricing'!BJ189/40,"")</f>
        <v/>
      </c>
      <c r="BI34" s="708" t="str">
        <f>IFERROR('2. Roles &amp; Pricing'!BK189/40,"")</f>
        <v/>
      </c>
      <c r="BJ34" s="708" t="str">
        <f>IFERROR('2. Roles &amp; Pricing'!BL189/40,"")</f>
        <v/>
      </c>
      <c r="BK34" s="708" t="str">
        <f>IFERROR('2. Roles &amp; Pricing'!BM189/40,"")</f>
        <v/>
      </c>
      <c r="BL34" s="708" t="str">
        <f>IFERROR('2. Roles &amp; Pricing'!BN189/40,"")</f>
        <v/>
      </c>
      <c r="BM34" s="708" t="str">
        <f>IFERROR('2. Roles &amp; Pricing'!BO189/40,"")</f>
        <v/>
      </c>
      <c r="BN34" s="259"/>
      <c r="BO34" s="260" t="s">
        <v>13</v>
      </c>
      <c r="BR34" s="261"/>
      <c r="BS34" s="144"/>
      <c r="BT34" s="144"/>
      <c r="BU34" s="144"/>
    </row>
    <row r="35" spans="1:75" s="140" customFormat="1" ht="14.4" thickBot="1" x14ac:dyDescent="0.3">
      <c r="A35" s="141"/>
      <c r="B35" s="262"/>
      <c r="C35" s="262"/>
      <c r="D35" s="262"/>
      <c r="E35" s="262"/>
      <c r="F35" s="262"/>
      <c r="J35" s="147"/>
      <c r="K35" s="263"/>
      <c r="N35" s="264"/>
      <c r="O35" s="265"/>
      <c r="P35" s="265"/>
      <c r="Q35" s="266"/>
      <c r="R35" s="267"/>
      <c r="S35" s="266"/>
      <c r="T35" s="267"/>
      <c r="U35" s="266"/>
      <c r="V35" s="267"/>
      <c r="W35" s="266"/>
      <c r="X35" s="267"/>
      <c r="Y35" s="266"/>
      <c r="Z35" s="267"/>
      <c r="AA35" s="266"/>
      <c r="AB35" s="267"/>
      <c r="AC35" s="266"/>
      <c r="AD35" s="267"/>
      <c r="AE35" s="266"/>
      <c r="AF35" s="267"/>
      <c r="AG35" s="266"/>
      <c r="AH35" s="266"/>
      <c r="AI35" s="267"/>
      <c r="AJ35" s="266"/>
      <c r="AK35" s="267"/>
      <c r="AL35" s="266"/>
      <c r="AM35" s="267"/>
      <c r="AN35" s="266"/>
      <c r="AO35" s="267"/>
      <c r="AP35" s="266"/>
      <c r="AQ35" s="267"/>
      <c r="AR35" s="266"/>
      <c r="AS35" s="266"/>
      <c r="AT35" s="267"/>
      <c r="AU35" s="266"/>
      <c r="AV35" s="267"/>
      <c r="AW35" s="266"/>
      <c r="AX35" s="267"/>
      <c r="AY35" s="266"/>
      <c r="AZ35" s="267"/>
      <c r="BA35" s="266"/>
      <c r="BB35" s="267"/>
      <c r="BC35" s="266"/>
      <c r="BD35" s="267"/>
      <c r="BE35" s="266"/>
      <c r="BF35" s="267"/>
      <c r="BG35" s="266"/>
      <c r="BH35" s="267"/>
      <c r="BI35" s="266"/>
      <c r="BJ35" s="267"/>
      <c r="BK35" s="266"/>
      <c r="BL35" s="267"/>
      <c r="BM35" s="266"/>
      <c r="BN35" s="1797" t="s">
        <v>2021</v>
      </c>
      <c r="BO35" s="1798"/>
      <c r="BP35" s="864">
        <v>0</v>
      </c>
      <c r="BR35" s="141"/>
      <c r="BS35" s="146" t="s">
        <v>2022</v>
      </c>
      <c r="BT35" s="1622">
        <f>IF(H5="Fixed Price",'3. Financial Inputs'!C67,'3. Financial Inputs'!C65)</f>
        <v>0.08</v>
      </c>
      <c r="BU35" s="142" t="s">
        <v>2178</v>
      </c>
    </row>
    <row r="36" spans="1:75" s="140" customFormat="1" ht="14.4" thickBot="1" x14ac:dyDescent="0.3">
      <c r="A36" s="141"/>
      <c r="B36" s="262"/>
      <c r="C36" s="262"/>
      <c r="D36" s="262"/>
      <c r="E36" s="262"/>
      <c r="F36" s="262"/>
      <c r="J36" s="268" t="s">
        <v>2023</v>
      </c>
      <c r="N36" s="269"/>
      <c r="O36" s="142"/>
      <c r="P36" s="142"/>
      <c r="Q36" s="270"/>
      <c r="R36" s="271"/>
      <c r="S36" s="270"/>
      <c r="T36" s="271"/>
      <c r="U36" s="270"/>
      <c r="V36" s="271"/>
      <c r="W36" s="270"/>
      <c r="X36" s="271"/>
      <c r="Y36" s="270"/>
      <c r="Z36" s="271"/>
      <c r="AA36" s="270"/>
      <c r="AB36" s="271"/>
      <c r="AC36" s="270"/>
      <c r="AD36" s="271"/>
      <c r="AE36" s="270"/>
      <c r="AF36" s="271"/>
      <c r="AG36" s="270"/>
      <c r="AH36" s="270"/>
      <c r="AI36" s="271"/>
      <c r="AJ36" s="270"/>
      <c r="AK36" s="271"/>
      <c r="AL36" s="270"/>
      <c r="AM36" s="271"/>
      <c r="AN36" s="270"/>
      <c r="AO36" s="271"/>
      <c r="AP36" s="270"/>
      <c r="AQ36" s="271"/>
      <c r="AR36" s="270"/>
      <c r="AS36" s="270"/>
      <c r="AT36" s="271"/>
      <c r="AU36" s="270"/>
      <c r="AV36" s="271"/>
      <c r="AW36" s="270"/>
      <c r="AX36" s="271"/>
      <c r="AY36" s="270"/>
      <c r="AZ36" s="271"/>
      <c r="BA36" s="270"/>
      <c r="BB36" s="271"/>
      <c r="BC36" s="270"/>
      <c r="BD36" s="271"/>
      <c r="BE36" s="270"/>
      <c r="BF36" s="271"/>
      <c r="BG36" s="270"/>
      <c r="BH36" s="271"/>
      <c r="BI36" s="270"/>
      <c r="BJ36" s="271"/>
      <c r="BK36" s="270"/>
      <c r="BL36" s="271"/>
      <c r="BM36" s="270"/>
      <c r="BN36" s="1799" t="s">
        <v>2024</v>
      </c>
      <c r="BO36" s="1800"/>
      <c r="BP36" s="272">
        <f>+BP33-BP35</f>
        <v>766000</v>
      </c>
      <c r="BR36" s="141"/>
      <c r="BS36" s="145"/>
      <c r="BT36" s="142"/>
      <c r="BU36" s="142"/>
    </row>
    <row r="37" spans="1:75" s="140" customFormat="1" x14ac:dyDescent="0.25">
      <c r="A37" s="141"/>
      <c r="B37" s="262"/>
      <c r="C37" s="262"/>
      <c r="D37" s="262"/>
      <c r="E37" s="262"/>
      <c r="F37" s="262"/>
      <c r="J37" s="273" t="s">
        <v>180</v>
      </c>
      <c r="K37" s="147"/>
      <c r="N37" s="274">
        <f t="shared" ref="N37:AS37" si="52">SUMPRODUCT(N15:N32,$BS$15:$BS$32)*40</f>
        <v>23920</v>
      </c>
      <c r="O37" s="275">
        <f t="shared" si="52"/>
        <v>23920</v>
      </c>
      <c r="P37" s="276">
        <f t="shared" si="52"/>
        <v>23920</v>
      </c>
      <c r="Q37" s="277">
        <f t="shared" si="52"/>
        <v>23920</v>
      </c>
      <c r="R37" s="278">
        <f t="shared" si="52"/>
        <v>26120</v>
      </c>
      <c r="S37" s="277">
        <f t="shared" si="52"/>
        <v>26120</v>
      </c>
      <c r="T37" s="278">
        <f t="shared" si="52"/>
        <v>26120</v>
      </c>
      <c r="U37" s="277">
        <f t="shared" si="52"/>
        <v>26120</v>
      </c>
      <c r="V37" s="278">
        <f t="shared" si="52"/>
        <v>26120</v>
      </c>
      <c r="W37" s="277">
        <f t="shared" si="52"/>
        <v>26120</v>
      </c>
      <c r="X37" s="278">
        <f t="shared" si="52"/>
        <v>26120</v>
      </c>
      <c r="Y37" s="277">
        <f t="shared" si="52"/>
        <v>26120</v>
      </c>
      <c r="Z37" s="278">
        <f t="shared" si="52"/>
        <v>26120</v>
      </c>
      <c r="AA37" s="277">
        <f t="shared" si="52"/>
        <v>23920</v>
      </c>
      <c r="AB37" s="278">
        <f t="shared" si="52"/>
        <v>23920</v>
      </c>
      <c r="AC37" s="277">
        <f t="shared" si="52"/>
        <v>23920</v>
      </c>
      <c r="AD37" s="278">
        <f t="shared" si="52"/>
        <v>23920</v>
      </c>
      <c r="AE37" s="277">
        <f t="shared" si="52"/>
        <v>26120</v>
      </c>
      <c r="AF37" s="278">
        <f t="shared" si="52"/>
        <v>26120</v>
      </c>
      <c r="AG37" s="277">
        <f t="shared" si="52"/>
        <v>26120</v>
      </c>
      <c r="AH37" s="277">
        <f t="shared" si="52"/>
        <v>26120</v>
      </c>
      <c r="AI37" s="278">
        <f t="shared" si="52"/>
        <v>26120</v>
      </c>
      <c r="AJ37" s="277">
        <f t="shared" si="52"/>
        <v>26120</v>
      </c>
      <c r="AK37" s="278">
        <f t="shared" si="52"/>
        <v>26120</v>
      </c>
      <c r="AL37" s="277">
        <f t="shared" si="52"/>
        <v>26120</v>
      </c>
      <c r="AM37" s="278">
        <f t="shared" si="52"/>
        <v>26120</v>
      </c>
      <c r="AN37" s="277">
        <f t="shared" si="52"/>
        <v>26120</v>
      </c>
      <c r="AO37" s="278">
        <f t="shared" si="52"/>
        <v>26120</v>
      </c>
      <c r="AP37" s="277">
        <f t="shared" si="52"/>
        <v>26120</v>
      </c>
      <c r="AQ37" s="278">
        <f t="shared" si="52"/>
        <v>26120</v>
      </c>
      <c r="AR37" s="277">
        <f t="shared" si="52"/>
        <v>0</v>
      </c>
      <c r="AS37" s="277">
        <f t="shared" si="52"/>
        <v>0</v>
      </c>
      <c r="AT37" s="278">
        <f t="shared" ref="AT37:BM37" si="53">SUMPRODUCT(AT15:AT32,$BS$15:$BS$32)*40</f>
        <v>0</v>
      </c>
      <c r="AU37" s="277">
        <f t="shared" si="53"/>
        <v>0</v>
      </c>
      <c r="AV37" s="278">
        <f t="shared" si="53"/>
        <v>0</v>
      </c>
      <c r="AW37" s="277">
        <f t="shared" si="53"/>
        <v>0</v>
      </c>
      <c r="AX37" s="278">
        <f t="shared" si="53"/>
        <v>0</v>
      </c>
      <c r="AY37" s="277">
        <f t="shared" si="53"/>
        <v>0</v>
      </c>
      <c r="AZ37" s="278">
        <f t="shared" si="53"/>
        <v>0</v>
      </c>
      <c r="BA37" s="277">
        <f t="shared" si="53"/>
        <v>0</v>
      </c>
      <c r="BB37" s="278">
        <f t="shared" si="53"/>
        <v>0</v>
      </c>
      <c r="BC37" s="277">
        <f t="shared" si="53"/>
        <v>0</v>
      </c>
      <c r="BD37" s="278">
        <f t="shared" si="53"/>
        <v>0</v>
      </c>
      <c r="BE37" s="277">
        <f t="shared" si="53"/>
        <v>0</v>
      </c>
      <c r="BF37" s="278">
        <f t="shared" si="53"/>
        <v>0</v>
      </c>
      <c r="BG37" s="277">
        <f t="shared" si="53"/>
        <v>0</v>
      </c>
      <c r="BH37" s="278">
        <f t="shared" si="53"/>
        <v>0</v>
      </c>
      <c r="BI37" s="277">
        <f t="shared" si="53"/>
        <v>0</v>
      </c>
      <c r="BJ37" s="278">
        <f t="shared" si="53"/>
        <v>0</v>
      </c>
      <c r="BK37" s="277">
        <f t="shared" si="53"/>
        <v>0</v>
      </c>
      <c r="BL37" s="278">
        <f t="shared" si="53"/>
        <v>0</v>
      </c>
      <c r="BM37" s="277">
        <f t="shared" si="53"/>
        <v>0</v>
      </c>
      <c r="BN37" s="1801" t="s">
        <v>2025</v>
      </c>
      <c r="BO37" s="1802"/>
      <c r="BP37" s="279">
        <f>+BP36*1.4</f>
        <v>1072400</v>
      </c>
      <c r="BR37" s="141"/>
      <c r="BS37" s="280"/>
      <c r="BT37" s="281" t="s">
        <v>2026</v>
      </c>
      <c r="BU37" s="281" t="s">
        <v>2027</v>
      </c>
      <c r="BV37" s="281" t="s">
        <v>2028</v>
      </c>
    </row>
    <row r="38" spans="1:75" s="140" customFormat="1" ht="14.4" thickBot="1" x14ac:dyDescent="0.3">
      <c r="A38" s="141"/>
      <c r="B38" s="262"/>
      <c r="C38" s="262"/>
      <c r="D38" s="262"/>
      <c r="E38" s="262"/>
      <c r="F38" s="262"/>
      <c r="J38" s="273" t="s">
        <v>2029</v>
      </c>
      <c r="K38" s="147"/>
      <c r="N38" s="282">
        <f>SUM(N37)</f>
        <v>23920</v>
      </c>
      <c r="O38" s="1785">
        <f>SUM(O37:Q37)</f>
        <v>71760</v>
      </c>
      <c r="P38" s="1786"/>
      <c r="Q38" s="1787"/>
      <c r="R38" s="1788">
        <f>SUM(R37:S37)</f>
        <v>52240</v>
      </c>
      <c r="S38" s="1789"/>
      <c r="T38" s="1785">
        <f>SUM(T37:U37)</f>
        <v>52240</v>
      </c>
      <c r="U38" s="1787"/>
      <c r="V38" s="1788">
        <f>SUM(V37:AS37)</f>
        <v>565840</v>
      </c>
      <c r="W38" s="1790"/>
      <c r="X38" s="1790"/>
      <c r="Y38" s="1790"/>
      <c r="Z38" s="1790"/>
      <c r="AA38" s="1790"/>
      <c r="AB38" s="1790"/>
      <c r="AC38" s="1790"/>
      <c r="AD38" s="1790"/>
      <c r="AE38" s="1790"/>
      <c r="AF38" s="1790"/>
      <c r="AG38" s="1790"/>
      <c r="AH38" s="1790"/>
      <c r="AI38" s="1790"/>
      <c r="AJ38" s="1790"/>
      <c r="AK38" s="1790"/>
      <c r="AL38" s="1790"/>
      <c r="AM38" s="1790"/>
      <c r="AN38" s="1790"/>
      <c r="AO38" s="1790"/>
      <c r="AP38" s="1790"/>
      <c r="AQ38" s="1790"/>
      <c r="AR38" s="1790"/>
      <c r="AS38" s="1789"/>
      <c r="AT38" s="1785">
        <f>SUM(AT37:AU37)</f>
        <v>0</v>
      </c>
      <c r="AU38" s="1787"/>
      <c r="AV38" s="1788">
        <f>SUM(AV37:AW37)</f>
        <v>0</v>
      </c>
      <c r="AW38" s="1789"/>
      <c r="AX38" s="1785">
        <f>SUM(AX37:AY37)</f>
        <v>0</v>
      </c>
      <c r="AY38" s="1787"/>
      <c r="AZ38" s="1788">
        <f>SUM(AZ37:BA37)</f>
        <v>0</v>
      </c>
      <c r="BA38" s="1789"/>
      <c r="BB38" s="1785">
        <f>SUM(BB37:BC37)</f>
        <v>0</v>
      </c>
      <c r="BC38" s="1787"/>
      <c r="BD38" s="1785">
        <f>SUM(BD37:BE37)</f>
        <v>0</v>
      </c>
      <c r="BE38" s="1787"/>
      <c r="BF38" s="1788">
        <f>SUM(BF37:BG37)</f>
        <v>0</v>
      </c>
      <c r="BG38" s="1789"/>
      <c r="BH38" s="1785">
        <f>SUM(BH37:BI37)</f>
        <v>0</v>
      </c>
      <c r="BI38" s="1787"/>
      <c r="BJ38" s="1788">
        <f>SUM(BJ37:BK37)</f>
        <v>0</v>
      </c>
      <c r="BK38" s="1789"/>
      <c r="BL38" s="1785">
        <f>SUM(BL37:BM37)</f>
        <v>0</v>
      </c>
      <c r="BM38" s="1787"/>
      <c r="BN38" s="1803" t="s">
        <v>2030</v>
      </c>
      <c r="BO38" s="1804"/>
      <c r="BP38" s="283">
        <f>+BP36*1.2</f>
        <v>919200</v>
      </c>
      <c r="BR38" s="141"/>
      <c r="BS38" s="284" t="s">
        <v>2031</v>
      </c>
      <c r="BT38" s="285">
        <f>BP36-BP35</f>
        <v>766000</v>
      </c>
      <c r="BU38" s="286">
        <f>(BT38-BQ33)/BT38</f>
        <v>1</v>
      </c>
      <c r="BV38" s="285">
        <f>BT38/BU33</f>
        <v>110.37463976945244</v>
      </c>
    </row>
    <row r="39" spans="1:75" s="140" customFormat="1" ht="14.4" thickBot="1" x14ac:dyDescent="0.3">
      <c r="A39" s="141"/>
      <c r="B39" s="262"/>
      <c r="C39" s="262"/>
      <c r="D39" s="262"/>
      <c r="E39" s="262"/>
      <c r="F39" s="262"/>
      <c r="J39" s="287" t="s">
        <v>2032</v>
      </c>
      <c r="K39" s="147"/>
      <c r="N39" s="1791">
        <f>SUM(N37:Q37)</f>
        <v>95680</v>
      </c>
      <c r="O39" s="1792"/>
      <c r="P39" s="1792"/>
      <c r="Q39" s="1792"/>
      <c r="R39" s="1793">
        <f>SUM(R37:U37)</f>
        <v>104480</v>
      </c>
      <c r="S39" s="1794"/>
      <c r="T39" s="1794"/>
      <c r="U39" s="1794"/>
      <c r="V39" s="1791">
        <f>SUM(V37:BE37)</f>
        <v>565840</v>
      </c>
      <c r="W39" s="1792"/>
      <c r="X39" s="1792"/>
      <c r="Y39" s="1792"/>
      <c r="Z39" s="1792"/>
      <c r="AA39" s="1792"/>
      <c r="AB39" s="1792"/>
      <c r="AC39" s="1792"/>
      <c r="AD39" s="1792"/>
      <c r="AE39" s="1792"/>
      <c r="AF39" s="1792"/>
      <c r="AG39" s="1792"/>
      <c r="AH39" s="1792"/>
      <c r="AI39" s="1792"/>
      <c r="AJ39" s="1792"/>
      <c r="AK39" s="1792"/>
      <c r="AL39" s="1792"/>
      <c r="AM39" s="1792"/>
      <c r="AN39" s="1792"/>
      <c r="AO39" s="1792"/>
      <c r="AP39" s="1792"/>
      <c r="AQ39" s="1792"/>
      <c r="AR39" s="1792"/>
      <c r="AS39" s="1792"/>
      <c r="AT39" s="1792"/>
      <c r="AU39" s="1792"/>
      <c r="AV39" s="1792"/>
      <c r="AW39" s="1792"/>
      <c r="AX39" s="1792"/>
      <c r="AY39" s="1792"/>
      <c r="AZ39" s="1792"/>
      <c r="BA39" s="1792"/>
      <c r="BB39" s="1792"/>
      <c r="BC39" s="1792"/>
      <c r="BD39" s="1792"/>
      <c r="BE39" s="1792"/>
      <c r="BF39" s="1793">
        <f>SUM(BF37:BI37)</f>
        <v>0</v>
      </c>
      <c r="BG39" s="1794"/>
      <c r="BH39" s="1794"/>
      <c r="BI39" s="1794"/>
      <c r="BJ39" s="1791">
        <f>SUM(BJ37:BM37)</f>
        <v>0</v>
      </c>
      <c r="BK39" s="1792"/>
      <c r="BL39" s="1792"/>
      <c r="BM39" s="1792"/>
      <c r="BN39" s="1808" t="s">
        <v>2033</v>
      </c>
      <c r="BO39" s="1809"/>
      <c r="BP39" s="288">
        <f>+BP36*1.3</f>
        <v>995800</v>
      </c>
      <c r="BR39" s="141"/>
      <c r="BS39" s="289" t="s">
        <v>2034</v>
      </c>
      <c r="BT39" s="290">
        <f>BT33-BT35</f>
        <v>765999.92</v>
      </c>
      <c r="BU39" s="291">
        <f>(BT39-BQ33)/BT39</f>
        <v>1</v>
      </c>
      <c r="BV39" s="290">
        <f>BT39/BU33</f>
        <v>110.37462824207493</v>
      </c>
    </row>
    <row r="40" spans="1:75" s="140" customFormat="1" ht="14.4" thickBot="1" x14ac:dyDescent="0.3">
      <c r="A40" s="141"/>
      <c r="B40" s="262"/>
      <c r="C40" s="262"/>
      <c r="D40" s="262"/>
      <c r="E40" s="262"/>
      <c r="F40" s="262"/>
      <c r="K40" s="147"/>
      <c r="N40" s="148"/>
      <c r="O40" s="148"/>
      <c r="P40" s="148"/>
      <c r="Q40" s="148"/>
      <c r="R40" s="148"/>
      <c r="S40" s="148"/>
      <c r="T40" s="148"/>
      <c r="U40" s="68"/>
      <c r="V40" s="68"/>
      <c r="W40" s="68"/>
      <c r="X40" s="148"/>
      <c r="Y40" s="148"/>
      <c r="Z40" s="148"/>
      <c r="AA40" s="68"/>
      <c r="AB40" s="68"/>
      <c r="AC40" s="68"/>
      <c r="AD40" s="68"/>
      <c r="AE40" s="68"/>
      <c r="AF40" s="68"/>
      <c r="AG40" s="68"/>
      <c r="AH40" s="68"/>
      <c r="AI40" s="148"/>
      <c r="AJ40" s="148"/>
      <c r="AK40" s="148"/>
      <c r="AL40" s="68"/>
      <c r="AM40" s="68"/>
      <c r="AN40" s="68"/>
      <c r="AO40" s="68"/>
      <c r="AP40" s="68"/>
      <c r="AQ40" s="68"/>
      <c r="AR40" s="68"/>
      <c r="AS40" s="68"/>
      <c r="AT40" s="148"/>
      <c r="AU40" s="148"/>
      <c r="AV40" s="148"/>
      <c r="AW40" s="68"/>
      <c r="AX40" s="68"/>
      <c r="AY40" s="68"/>
      <c r="AZ40" s="68"/>
      <c r="BA40" s="68"/>
      <c r="BB40" s="68"/>
      <c r="BC40" s="68"/>
      <c r="BD40" s="148"/>
      <c r="BE40" s="148"/>
      <c r="BF40" s="148"/>
      <c r="BG40" s="68"/>
      <c r="BH40" s="68"/>
      <c r="BI40" s="68"/>
      <c r="BJ40" s="68"/>
      <c r="BK40" s="68"/>
      <c r="BL40" s="68"/>
      <c r="BM40" s="68"/>
      <c r="BR40" s="141"/>
      <c r="BS40" s="284" t="s">
        <v>2035</v>
      </c>
      <c r="BT40" s="285">
        <f>BQ33/(1-BU40)</f>
        <v>0</v>
      </c>
      <c r="BU40" s="292">
        <v>0.55000000000000004</v>
      </c>
      <c r="BV40" s="285">
        <f>BT40/BU33</f>
        <v>0</v>
      </c>
      <c r="BW40" s="140" t="s">
        <v>2036</v>
      </c>
    </row>
    <row r="41" spans="1:75" s="140" customFormat="1" ht="14.4" thickBot="1" x14ac:dyDescent="0.3">
      <c r="A41" s="141"/>
      <c r="B41" s="262"/>
      <c r="C41" s="262"/>
      <c r="D41" s="262"/>
      <c r="E41" s="262"/>
      <c r="F41" s="262"/>
      <c r="J41" s="268" t="s">
        <v>2037</v>
      </c>
      <c r="N41" s="68"/>
      <c r="O41" s="68"/>
      <c r="P41" s="68"/>
      <c r="Q41" s="68"/>
      <c r="R41" s="68"/>
      <c r="S41" s="68"/>
      <c r="T41" s="68"/>
      <c r="U41" s="68"/>
      <c r="V41" s="68"/>
      <c r="W41" s="68"/>
      <c r="X41" s="68"/>
      <c r="Y41" s="68"/>
      <c r="Z41" s="68"/>
      <c r="AA41" s="68"/>
      <c r="AB41" s="68"/>
      <c r="AC41" s="68"/>
      <c r="AD41" s="68"/>
      <c r="AE41" s="68"/>
      <c r="AF41" s="68"/>
      <c r="AG41" s="68"/>
      <c r="AH41" s="68"/>
      <c r="AI41" s="68"/>
      <c r="AJ41" s="68"/>
      <c r="AK41" s="68"/>
      <c r="AL41" s="68"/>
      <c r="AM41" s="68"/>
      <c r="AN41" s="68"/>
      <c r="AO41" s="68"/>
      <c r="AP41" s="68"/>
      <c r="AQ41" s="68"/>
      <c r="AR41" s="68"/>
      <c r="AS41" s="68"/>
      <c r="AT41" s="68"/>
      <c r="AU41" s="68"/>
      <c r="AV41" s="68"/>
      <c r="AW41" s="68"/>
      <c r="AX41" s="68"/>
      <c r="AY41" s="68"/>
      <c r="AZ41" s="68"/>
      <c r="BA41" s="68"/>
      <c r="BB41" s="68"/>
      <c r="BC41" s="68"/>
      <c r="BD41" s="68"/>
      <c r="BE41" s="68"/>
      <c r="BF41" s="68"/>
      <c r="BG41" s="68"/>
      <c r="BH41" s="68"/>
      <c r="BI41" s="68"/>
      <c r="BJ41" s="68"/>
      <c r="BK41" s="68"/>
      <c r="BL41" s="68"/>
      <c r="BM41" s="68"/>
      <c r="BN41" s="1810" t="s">
        <v>2038</v>
      </c>
      <c r="BO41" s="1811"/>
      <c r="BP41" s="293">
        <f>BT33</f>
        <v>766000</v>
      </c>
      <c r="BQ41" s="294" t="s">
        <v>2039</v>
      </c>
      <c r="BR41" s="141"/>
    </row>
    <row r="42" spans="1:75" x14ac:dyDescent="0.25">
      <c r="J42" s="273" t="s">
        <v>180</v>
      </c>
      <c r="N42" s="274">
        <f t="shared" ref="N42:AS42" si="54">SUMPRODUCT(N15:N32,$BS$15:$BS$32)*40*1.2</f>
        <v>28704</v>
      </c>
      <c r="O42" s="278">
        <f t="shared" si="54"/>
        <v>28704</v>
      </c>
      <c r="P42" s="276">
        <f t="shared" si="54"/>
        <v>28704</v>
      </c>
      <c r="Q42" s="277">
        <f t="shared" si="54"/>
        <v>28704</v>
      </c>
      <c r="R42" s="278">
        <f t="shared" si="54"/>
        <v>31344</v>
      </c>
      <c r="S42" s="277">
        <f t="shared" si="54"/>
        <v>31344</v>
      </c>
      <c r="T42" s="278">
        <f t="shared" si="54"/>
        <v>31344</v>
      </c>
      <c r="U42" s="277">
        <f t="shared" si="54"/>
        <v>31344</v>
      </c>
      <c r="V42" s="278">
        <f t="shared" si="54"/>
        <v>31344</v>
      </c>
      <c r="W42" s="277">
        <f t="shared" si="54"/>
        <v>31344</v>
      </c>
      <c r="X42" s="278">
        <f t="shared" si="54"/>
        <v>31344</v>
      </c>
      <c r="Y42" s="277">
        <f t="shared" si="54"/>
        <v>31344</v>
      </c>
      <c r="Z42" s="278">
        <f t="shared" si="54"/>
        <v>31344</v>
      </c>
      <c r="AA42" s="277">
        <f t="shared" si="54"/>
        <v>28704</v>
      </c>
      <c r="AB42" s="278">
        <f t="shared" si="54"/>
        <v>28704</v>
      </c>
      <c r="AC42" s="277">
        <f t="shared" si="54"/>
        <v>28704</v>
      </c>
      <c r="AD42" s="278">
        <f t="shared" si="54"/>
        <v>28704</v>
      </c>
      <c r="AE42" s="277">
        <f t="shared" si="54"/>
        <v>31344</v>
      </c>
      <c r="AF42" s="278">
        <f t="shared" si="54"/>
        <v>31344</v>
      </c>
      <c r="AG42" s="277">
        <f t="shared" si="54"/>
        <v>31344</v>
      </c>
      <c r="AH42" s="277">
        <f t="shared" si="54"/>
        <v>31344</v>
      </c>
      <c r="AI42" s="278">
        <f t="shared" si="54"/>
        <v>31344</v>
      </c>
      <c r="AJ42" s="277">
        <f t="shared" si="54"/>
        <v>31344</v>
      </c>
      <c r="AK42" s="278">
        <f t="shared" si="54"/>
        <v>31344</v>
      </c>
      <c r="AL42" s="277">
        <f t="shared" si="54"/>
        <v>31344</v>
      </c>
      <c r="AM42" s="278">
        <f t="shared" si="54"/>
        <v>31344</v>
      </c>
      <c r="AN42" s="277">
        <f t="shared" si="54"/>
        <v>31344</v>
      </c>
      <c r="AO42" s="278">
        <f t="shared" si="54"/>
        <v>31344</v>
      </c>
      <c r="AP42" s="277">
        <f t="shared" si="54"/>
        <v>31344</v>
      </c>
      <c r="AQ42" s="278">
        <f t="shared" si="54"/>
        <v>31344</v>
      </c>
      <c r="AR42" s="277">
        <f t="shared" si="54"/>
        <v>0</v>
      </c>
      <c r="AS42" s="277">
        <f t="shared" si="54"/>
        <v>0</v>
      </c>
      <c r="AT42" s="278">
        <f t="shared" ref="AT42:BM42" si="55">SUMPRODUCT(AT15:AT32,$BS$15:$BS$32)*40*1.2</f>
        <v>0</v>
      </c>
      <c r="AU42" s="277">
        <f t="shared" si="55"/>
        <v>0</v>
      </c>
      <c r="AV42" s="278">
        <f t="shared" si="55"/>
        <v>0</v>
      </c>
      <c r="AW42" s="277">
        <f t="shared" si="55"/>
        <v>0</v>
      </c>
      <c r="AX42" s="278">
        <f t="shared" si="55"/>
        <v>0</v>
      </c>
      <c r="AY42" s="277">
        <f t="shared" si="55"/>
        <v>0</v>
      </c>
      <c r="AZ42" s="278">
        <f t="shared" si="55"/>
        <v>0</v>
      </c>
      <c r="BA42" s="277">
        <f t="shared" si="55"/>
        <v>0</v>
      </c>
      <c r="BB42" s="278">
        <f t="shared" si="55"/>
        <v>0</v>
      </c>
      <c r="BC42" s="277">
        <f t="shared" si="55"/>
        <v>0</v>
      </c>
      <c r="BD42" s="278">
        <f t="shared" si="55"/>
        <v>0</v>
      </c>
      <c r="BE42" s="277">
        <f t="shared" si="55"/>
        <v>0</v>
      </c>
      <c r="BF42" s="278">
        <f t="shared" si="55"/>
        <v>0</v>
      </c>
      <c r="BG42" s="277">
        <f t="shared" si="55"/>
        <v>0</v>
      </c>
      <c r="BH42" s="278">
        <f t="shared" si="55"/>
        <v>0</v>
      </c>
      <c r="BI42" s="277">
        <f t="shared" si="55"/>
        <v>0</v>
      </c>
      <c r="BJ42" s="278">
        <f t="shared" si="55"/>
        <v>0</v>
      </c>
      <c r="BK42" s="277">
        <f t="shared" si="55"/>
        <v>0</v>
      </c>
      <c r="BL42" s="278">
        <f t="shared" si="55"/>
        <v>0</v>
      </c>
      <c r="BM42" s="277">
        <f t="shared" si="55"/>
        <v>0</v>
      </c>
      <c r="BN42" s="1812" t="s">
        <v>2040</v>
      </c>
      <c r="BO42" s="1813"/>
      <c r="BP42" s="295"/>
      <c r="BT42" s="281" t="s">
        <v>2041</v>
      </c>
      <c r="BU42" s="281" t="s">
        <v>2042</v>
      </c>
      <c r="BV42" s="281" t="s">
        <v>2028</v>
      </c>
      <c r="BW42" s="296" t="s">
        <v>2043</v>
      </c>
    </row>
    <row r="43" spans="1:75" ht="14.4" thickBot="1" x14ac:dyDescent="0.3">
      <c r="J43" s="273" t="s">
        <v>2029</v>
      </c>
      <c r="N43" s="282">
        <f>SUM(N42)</f>
        <v>28704</v>
      </c>
      <c r="O43" s="1785">
        <f>SUM(O42:Q42)</f>
        <v>86112</v>
      </c>
      <c r="P43" s="1786"/>
      <c r="Q43" s="1787"/>
      <c r="R43" s="1788">
        <f>SUM(R42:S42)</f>
        <v>62688</v>
      </c>
      <c r="S43" s="1789"/>
      <c r="T43" s="1785">
        <f>SUM(T42:U42)</f>
        <v>62688</v>
      </c>
      <c r="U43" s="1787"/>
      <c r="V43" s="1788">
        <f>SUM(V42:AS42)</f>
        <v>679008</v>
      </c>
      <c r="W43" s="1790"/>
      <c r="X43" s="1790"/>
      <c r="Y43" s="1790"/>
      <c r="Z43" s="1790"/>
      <c r="AA43" s="1790"/>
      <c r="AB43" s="1790"/>
      <c r="AC43" s="1790"/>
      <c r="AD43" s="1790"/>
      <c r="AE43" s="1790"/>
      <c r="AF43" s="1790"/>
      <c r="AG43" s="1790"/>
      <c r="AH43" s="1790"/>
      <c r="AI43" s="1790"/>
      <c r="AJ43" s="1790"/>
      <c r="AK43" s="1790"/>
      <c r="AL43" s="1790"/>
      <c r="AM43" s="1790"/>
      <c r="AN43" s="1790"/>
      <c r="AO43" s="1790"/>
      <c r="AP43" s="1790"/>
      <c r="AQ43" s="1790"/>
      <c r="AR43" s="1790"/>
      <c r="AS43" s="1789"/>
      <c r="AT43" s="1785">
        <f>SUM(AT42:AU42)</f>
        <v>0</v>
      </c>
      <c r="AU43" s="1787"/>
      <c r="AV43" s="1788">
        <f>SUM(AV42:AW42)</f>
        <v>0</v>
      </c>
      <c r="AW43" s="1789"/>
      <c r="AX43" s="1785">
        <f>SUM(AX42:AY42)</f>
        <v>0</v>
      </c>
      <c r="AY43" s="1787"/>
      <c r="AZ43" s="1788">
        <f>SUM(AZ42:BA42)</f>
        <v>0</v>
      </c>
      <c r="BA43" s="1789"/>
      <c r="BB43" s="1785">
        <f>SUM(BB42:BC42)</f>
        <v>0</v>
      </c>
      <c r="BC43" s="1787"/>
      <c r="BD43" s="1785">
        <f>SUM(BD42:BE42)</f>
        <v>0</v>
      </c>
      <c r="BE43" s="1787"/>
      <c r="BF43" s="1788">
        <f>SUM(BF42:BG42)</f>
        <v>0</v>
      </c>
      <c r="BG43" s="1789"/>
      <c r="BH43" s="1785">
        <f>SUM(BH42:BI42)</f>
        <v>0</v>
      </c>
      <c r="BI43" s="1787"/>
      <c r="BJ43" s="1788">
        <f>SUM(BJ42:BK42)</f>
        <v>0</v>
      </c>
      <c r="BK43" s="1789"/>
      <c r="BL43" s="1785">
        <f>SUM(BL42:BM42)</f>
        <v>0</v>
      </c>
      <c r="BM43" s="1787"/>
      <c r="BN43" s="1812" t="s">
        <v>218</v>
      </c>
      <c r="BO43" s="1813"/>
      <c r="BP43" s="295"/>
      <c r="BS43" s="284" t="s">
        <v>2031</v>
      </c>
      <c r="BT43" s="285">
        <f>BP38-BP35</f>
        <v>919200</v>
      </c>
      <c r="BU43" s="286">
        <f>(BT43-BQ33)/BT43</f>
        <v>1</v>
      </c>
      <c r="BV43" s="285">
        <f>BT43/BU33</f>
        <v>132.44956772334294</v>
      </c>
    </row>
    <row r="44" spans="1:75" ht="14.4" thickBot="1" x14ac:dyDescent="0.3">
      <c r="J44" s="287" t="s">
        <v>2032</v>
      </c>
      <c r="N44" s="1805">
        <f>SUM(N42:Q42)</f>
        <v>114816</v>
      </c>
      <c r="O44" s="1806"/>
      <c r="P44" s="1806"/>
      <c r="Q44" s="1807"/>
      <c r="R44" s="1818">
        <f t="shared" ref="R44" si="56">SUM(R42:U42)</f>
        <v>125376</v>
      </c>
      <c r="S44" s="1819"/>
      <c r="T44" s="1819"/>
      <c r="U44" s="1820"/>
      <c r="V44" s="1805">
        <f t="shared" ref="V44" si="57">SUM(V42:BE42)</f>
        <v>679008</v>
      </c>
      <c r="W44" s="1806"/>
      <c r="X44" s="1806"/>
      <c r="Y44" s="1806"/>
      <c r="Z44" s="1806"/>
      <c r="AA44" s="1806"/>
      <c r="AB44" s="1806"/>
      <c r="AC44" s="1806"/>
      <c r="AD44" s="1806"/>
      <c r="AE44" s="1806"/>
      <c r="AF44" s="1806"/>
      <c r="AG44" s="1806"/>
      <c r="AH44" s="1806"/>
      <c r="AI44" s="1806"/>
      <c r="AJ44" s="1806"/>
      <c r="AK44" s="1806"/>
      <c r="AL44" s="1806"/>
      <c r="AM44" s="1806"/>
      <c r="AN44" s="1806"/>
      <c r="AO44" s="1806"/>
      <c r="AP44" s="1806"/>
      <c r="AQ44" s="1806"/>
      <c r="AR44" s="1806"/>
      <c r="AS44" s="1806"/>
      <c r="AT44" s="1806"/>
      <c r="AU44" s="1806"/>
      <c r="AV44" s="1806"/>
      <c r="AW44" s="1806"/>
      <c r="AX44" s="1806"/>
      <c r="AY44" s="1806"/>
      <c r="AZ44" s="1806"/>
      <c r="BA44" s="1806"/>
      <c r="BB44" s="1806"/>
      <c r="BC44" s="1806"/>
      <c r="BD44" s="1806"/>
      <c r="BE44" s="1807"/>
      <c r="BF44" s="1818">
        <f t="shared" ref="BF44" si="58">SUM(BF42:BI42)</f>
        <v>0</v>
      </c>
      <c r="BG44" s="1819"/>
      <c r="BH44" s="1819"/>
      <c r="BI44" s="1820"/>
      <c r="BJ44" s="1805">
        <f t="shared" ref="BJ44" si="59">SUM(BJ42:BM42)</f>
        <v>0</v>
      </c>
      <c r="BK44" s="1806"/>
      <c r="BL44" s="1806"/>
      <c r="BM44" s="1807"/>
      <c r="BN44" s="1812" t="s">
        <v>219</v>
      </c>
      <c r="BO44" s="1813"/>
      <c r="BP44" s="295"/>
      <c r="BS44" s="289" t="s">
        <v>2034</v>
      </c>
      <c r="BT44" s="290">
        <f>(BT33-BT35)*1.2</f>
        <v>919199.90399999998</v>
      </c>
      <c r="BU44" s="291">
        <f>(BT44-BQ33)/BT44</f>
        <v>1</v>
      </c>
      <c r="BV44" s="290">
        <f>BT44/BU33</f>
        <v>132.44955389048991</v>
      </c>
    </row>
    <row r="45" spans="1:75" ht="14.4" thickBot="1" x14ac:dyDescent="0.3">
      <c r="N45" s="68"/>
      <c r="O45" s="68"/>
      <c r="P45" s="68"/>
      <c r="Q45" s="68"/>
      <c r="R45" s="68"/>
      <c r="S45" s="68"/>
      <c r="T45" s="68"/>
      <c r="U45" s="68"/>
      <c r="V45" s="68"/>
      <c r="W45" s="68"/>
      <c r="X45" s="68"/>
      <c r="Y45" s="68"/>
      <c r="Z45" s="68"/>
      <c r="AA45" s="68"/>
      <c r="AB45" s="68"/>
      <c r="AC45" s="68"/>
      <c r="AD45" s="68"/>
      <c r="AE45" s="68"/>
      <c r="AF45" s="68"/>
      <c r="AG45" s="68"/>
      <c r="AH45" s="68"/>
      <c r="AI45" s="68"/>
      <c r="AJ45" s="68"/>
      <c r="AK45" s="68"/>
      <c r="AL45" s="68"/>
      <c r="AM45" s="68"/>
      <c r="AN45" s="68"/>
      <c r="AO45" s="68"/>
      <c r="AP45" s="68"/>
      <c r="AQ45" s="68"/>
      <c r="AR45" s="68"/>
      <c r="AS45" s="68"/>
      <c r="AT45" s="68"/>
      <c r="AU45" s="68"/>
      <c r="AV45" s="68"/>
      <c r="AW45" s="68"/>
      <c r="AX45" s="68"/>
      <c r="AY45" s="68"/>
      <c r="AZ45" s="68"/>
      <c r="BA45" s="68"/>
      <c r="BB45" s="68"/>
      <c r="BC45" s="68"/>
      <c r="BD45" s="68"/>
      <c r="BE45" s="68"/>
      <c r="BF45" s="68"/>
      <c r="BG45" s="68"/>
      <c r="BH45" s="68"/>
      <c r="BI45" s="68"/>
      <c r="BJ45" s="68"/>
      <c r="BK45" s="68"/>
      <c r="BL45" s="68"/>
      <c r="BM45" s="68"/>
      <c r="BN45" s="1816" t="s">
        <v>2044</v>
      </c>
      <c r="BO45" s="1817"/>
      <c r="BP45" s="295"/>
      <c r="BS45" s="284" t="s">
        <v>2035</v>
      </c>
      <c r="BT45" s="285">
        <f>BQ33/(1-BU45)</f>
        <v>0</v>
      </c>
      <c r="BU45" s="292">
        <v>0.5</v>
      </c>
      <c r="BV45" s="285">
        <f>BT45/BU33</f>
        <v>0</v>
      </c>
      <c r="BW45" s="140" t="s">
        <v>2036</v>
      </c>
    </row>
    <row r="46" spans="1:75" ht="14.4" thickBot="1" x14ac:dyDescent="0.3">
      <c r="J46" s="268" t="s">
        <v>2045</v>
      </c>
      <c r="N46" s="68"/>
      <c r="O46" s="68"/>
      <c r="P46" s="68"/>
      <c r="Q46" s="68"/>
      <c r="R46" s="68"/>
      <c r="S46" s="68"/>
      <c r="T46" s="68"/>
      <c r="U46" s="68"/>
      <c r="V46" s="68"/>
      <c r="W46" s="68"/>
      <c r="X46" s="68"/>
      <c r="Y46" s="68"/>
      <c r="Z46" s="68"/>
      <c r="AA46" s="68"/>
      <c r="AB46" s="68"/>
      <c r="AC46" s="68"/>
      <c r="AD46" s="68"/>
      <c r="AE46" s="68"/>
      <c r="AF46" s="68"/>
      <c r="AG46" s="68"/>
      <c r="AH46" s="68"/>
      <c r="AI46" s="68"/>
      <c r="AJ46" s="68"/>
      <c r="AK46" s="68"/>
      <c r="AL46" s="68"/>
      <c r="AM46" s="68"/>
      <c r="AN46" s="68"/>
      <c r="AO46" s="68"/>
      <c r="AP46" s="68"/>
      <c r="AQ46" s="68"/>
      <c r="AR46" s="68"/>
      <c r="AS46" s="68"/>
      <c r="AT46" s="68"/>
      <c r="AU46" s="68"/>
      <c r="AV46" s="68"/>
      <c r="AW46" s="68"/>
      <c r="AX46" s="68"/>
      <c r="AY46" s="68"/>
      <c r="AZ46" s="68"/>
      <c r="BA46" s="68"/>
      <c r="BB46" s="68"/>
      <c r="BC46" s="68"/>
      <c r="BD46" s="68"/>
      <c r="BE46" s="68"/>
      <c r="BF46" s="68"/>
      <c r="BG46" s="68"/>
      <c r="BH46" s="68"/>
      <c r="BI46" s="68"/>
      <c r="BJ46" s="68"/>
      <c r="BK46" s="68"/>
      <c r="BL46" s="68"/>
      <c r="BM46" s="68"/>
      <c r="BN46" s="297"/>
      <c r="BO46" s="298"/>
      <c r="BP46" s="299"/>
      <c r="BQ46" s="300" t="s">
        <v>2046</v>
      </c>
    </row>
    <row r="47" spans="1:75" x14ac:dyDescent="0.25">
      <c r="J47" s="273" t="s">
        <v>180</v>
      </c>
      <c r="N47" s="274">
        <f t="shared" ref="N47:AS47" si="60">SUMPRODUCT(N15:N32,$BS$15:$BS$32)*40*1.3</f>
        <v>31096</v>
      </c>
      <c r="O47" s="278">
        <f t="shared" si="60"/>
        <v>31096</v>
      </c>
      <c r="P47" s="276">
        <f t="shared" si="60"/>
        <v>31096</v>
      </c>
      <c r="Q47" s="277">
        <f t="shared" si="60"/>
        <v>31096</v>
      </c>
      <c r="R47" s="278">
        <f t="shared" si="60"/>
        <v>33956</v>
      </c>
      <c r="S47" s="277">
        <f t="shared" si="60"/>
        <v>33956</v>
      </c>
      <c r="T47" s="278">
        <f t="shared" si="60"/>
        <v>33956</v>
      </c>
      <c r="U47" s="277">
        <f t="shared" si="60"/>
        <v>33956</v>
      </c>
      <c r="V47" s="278">
        <f t="shared" si="60"/>
        <v>33956</v>
      </c>
      <c r="W47" s="277">
        <f t="shared" si="60"/>
        <v>33956</v>
      </c>
      <c r="X47" s="278">
        <f t="shared" si="60"/>
        <v>33956</v>
      </c>
      <c r="Y47" s="277">
        <f t="shared" si="60"/>
        <v>33956</v>
      </c>
      <c r="Z47" s="278">
        <f t="shared" si="60"/>
        <v>33956</v>
      </c>
      <c r="AA47" s="277">
        <f t="shared" si="60"/>
        <v>31096</v>
      </c>
      <c r="AB47" s="278">
        <f t="shared" si="60"/>
        <v>31096</v>
      </c>
      <c r="AC47" s="277">
        <f t="shared" si="60"/>
        <v>31096</v>
      </c>
      <c r="AD47" s="278">
        <f t="shared" si="60"/>
        <v>31096</v>
      </c>
      <c r="AE47" s="277">
        <f t="shared" si="60"/>
        <v>33956</v>
      </c>
      <c r="AF47" s="278">
        <f t="shared" si="60"/>
        <v>33956</v>
      </c>
      <c r="AG47" s="277">
        <f t="shared" si="60"/>
        <v>33956</v>
      </c>
      <c r="AH47" s="277">
        <f t="shared" si="60"/>
        <v>33956</v>
      </c>
      <c r="AI47" s="278">
        <f t="shared" si="60"/>
        <v>33956</v>
      </c>
      <c r="AJ47" s="277">
        <f t="shared" si="60"/>
        <v>33956</v>
      </c>
      <c r="AK47" s="278">
        <f t="shared" si="60"/>
        <v>33956</v>
      </c>
      <c r="AL47" s="277">
        <f t="shared" si="60"/>
        <v>33956</v>
      </c>
      <c r="AM47" s="278">
        <f t="shared" si="60"/>
        <v>33956</v>
      </c>
      <c r="AN47" s="277">
        <f t="shared" si="60"/>
        <v>33956</v>
      </c>
      <c r="AO47" s="278">
        <f t="shared" si="60"/>
        <v>33956</v>
      </c>
      <c r="AP47" s="277">
        <f t="shared" si="60"/>
        <v>33956</v>
      </c>
      <c r="AQ47" s="278">
        <f t="shared" si="60"/>
        <v>33956</v>
      </c>
      <c r="AR47" s="277">
        <f t="shared" si="60"/>
        <v>0</v>
      </c>
      <c r="AS47" s="277">
        <f t="shared" si="60"/>
        <v>0</v>
      </c>
      <c r="AT47" s="278">
        <f t="shared" ref="AT47:BM47" si="61">SUMPRODUCT(AT15:AT32,$BS$15:$BS$32)*40*1.3</f>
        <v>0</v>
      </c>
      <c r="AU47" s="277">
        <f t="shared" si="61"/>
        <v>0</v>
      </c>
      <c r="AV47" s="278">
        <f t="shared" si="61"/>
        <v>0</v>
      </c>
      <c r="AW47" s="277">
        <f t="shared" si="61"/>
        <v>0</v>
      </c>
      <c r="AX47" s="278">
        <f t="shared" si="61"/>
        <v>0</v>
      </c>
      <c r="AY47" s="277">
        <f t="shared" si="61"/>
        <v>0</v>
      </c>
      <c r="AZ47" s="278">
        <f t="shared" si="61"/>
        <v>0</v>
      </c>
      <c r="BA47" s="277">
        <f t="shared" si="61"/>
        <v>0</v>
      </c>
      <c r="BB47" s="278">
        <f t="shared" si="61"/>
        <v>0</v>
      </c>
      <c r="BC47" s="277">
        <f t="shared" si="61"/>
        <v>0</v>
      </c>
      <c r="BD47" s="278">
        <f t="shared" si="61"/>
        <v>0</v>
      </c>
      <c r="BE47" s="277">
        <f t="shared" si="61"/>
        <v>0</v>
      </c>
      <c r="BF47" s="278">
        <f t="shared" si="61"/>
        <v>0</v>
      </c>
      <c r="BG47" s="277">
        <f t="shared" si="61"/>
        <v>0</v>
      </c>
      <c r="BH47" s="278">
        <f t="shared" si="61"/>
        <v>0</v>
      </c>
      <c r="BI47" s="277">
        <f t="shared" si="61"/>
        <v>0</v>
      </c>
      <c r="BJ47" s="278">
        <f t="shared" si="61"/>
        <v>0</v>
      </c>
      <c r="BK47" s="277">
        <f t="shared" si="61"/>
        <v>0</v>
      </c>
      <c r="BL47" s="278">
        <f t="shared" si="61"/>
        <v>0</v>
      </c>
      <c r="BM47" s="277">
        <f t="shared" si="61"/>
        <v>0</v>
      </c>
      <c r="BN47" s="297"/>
      <c r="BO47" s="298"/>
      <c r="BP47" s="299"/>
    </row>
    <row r="48" spans="1:75" ht="14.4" thickBot="1" x14ac:dyDescent="0.3">
      <c r="J48" s="273" t="s">
        <v>2029</v>
      </c>
      <c r="N48" s="282">
        <f>SUM(N47)</f>
        <v>31096</v>
      </c>
      <c r="O48" s="1785">
        <f>SUM(O47:Q47)</f>
        <v>93288</v>
      </c>
      <c r="P48" s="1786"/>
      <c r="Q48" s="1787"/>
      <c r="R48" s="1788">
        <f>SUM(R47:S47)</f>
        <v>67912</v>
      </c>
      <c r="S48" s="1789"/>
      <c r="T48" s="1785">
        <f>SUM(T47:U47)</f>
        <v>67912</v>
      </c>
      <c r="U48" s="1787"/>
      <c r="V48" s="1788">
        <f>SUM(V47:AS47)</f>
        <v>735592</v>
      </c>
      <c r="W48" s="1790"/>
      <c r="X48" s="1790"/>
      <c r="Y48" s="1790"/>
      <c r="Z48" s="1790"/>
      <c r="AA48" s="1790"/>
      <c r="AB48" s="1790"/>
      <c r="AC48" s="1790"/>
      <c r="AD48" s="1790"/>
      <c r="AE48" s="1790"/>
      <c r="AF48" s="1790"/>
      <c r="AG48" s="1790"/>
      <c r="AH48" s="1790"/>
      <c r="AI48" s="1790"/>
      <c r="AJ48" s="1790"/>
      <c r="AK48" s="1790"/>
      <c r="AL48" s="1790"/>
      <c r="AM48" s="1790"/>
      <c r="AN48" s="1790"/>
      <c r="AO48" s="1790"/>
      <c r="AP48" s="1790"/>
      <c r="AQ48" s="1790"/>
      <c r="AR48" s="1790"/>
      <c r="AS48" s="1789"/>
      <c r="AT48" s="1785">
        <f>SUM(AT47:AU47)</f>
        <v>0</v>
      </c>
      <c r="AU48" s="1787"/>
      <c r="AV48" s="1788">
        <f>SUM(AV47:AW47)</f>
        <v>0</v>
      </c>
      <c r="AW48" s="1789"/>
      <c r="AX48" s="1785">
        <f>SUM(AX47:AY47)</f>
        <v>0</v>
      </c>
      <c r="AY48" s="1787"/>
      <c r="AZ48" s="1788">
        <f>SUM(AZ47:BA47)</f>
        <v>0</v>
      </c>
      <c r="BA48" s="1789"/>
      <c r="BB48" s="1785">
        <f>SUM(BB47:BC47)</f>
        <v>0</v>
      </c>
      <c r="BC48" s="1787"/>
      <c r="BD48" s="1785">
        <f>SUM(BD47:BE47)</f>
        <v>0</v>
      </c>
      <c r="BE48" s="1787"/>
      <c r="BF48" s="1788">
        <f>SUM(BF47:BG47)</f>
        <v>0</v>
      </c>
      <c r="BG48" s="1789"/>
      <c r="BH48" s="1785">
        <f>SUM(BH47:BI47)</f>
        <v>0</v>
      </c>
      <c r="BI48" s="1787"/>
      <c r="BJ48" s="1788">
        <f>SUM(BJ47:BK47)</f>
        <v>0</v>
      </c>
      <c r="BK48" s="1789"/>
      <c r="BL48" s="1785">
        <f>SUM(BL47:BM47)</f>
        <v>0</v>
      </c>
      <c r="BM48" s="1787"/>
      <c r="BN48" s="297"/>
      <c r="BO48" s="298"/>
      <c r="BP48" s="299"/>
    </row>
    <row r="49" spans="1:68" ht="14.4" thickBot="1" x14ac:dyDescent="0.3">
      <c r="J49" s="287" t="s">
        <v>2032</v>
      </c>
      <c r="N49" s="1805">
        <f>SUM(N47:Q47)</f>
        <v>124384</v>
      </c>
      <c r="O49" s="1806"/>
      <c r="P49" s="1806"/>
      <c r="Q49" s="1807"/>
      <c r="R49" s="1818">
        <f>SUM(R47:U47)</f>
        <v>135824</v>
      </c>
      <c r="S49" s="1819"/>
      <c r="T49" s="1819"/>
      <c r="U49" s="1820"/>
      <c r="V49" s="1805">
        <f t="shared" ref="V49" si="62">SUM(V47:BE47)</f>
        <v>735592</v>
      </c>
      <c r="W49" s="1806"/>
      <c r="X49" s="1806"/>
      <c r="Y49" s="1806"/>
      <c r="Z49" s="1806"/>
      <c r="AA49" s="1806"/>
      <c r="AB49" s="1806"/>
      <c r="AC49" s="1806"/>
      <c r="AD49" s="1806"/>
      <c r="AE49" s="1806"/>
      <c r="AF49" s="1806"/>
      <c r="AG49" s="1806"/>
      <c r="AH49" s="1806"/>
      <c r="AI49" s="1806"/>
      <c r="AJ49" s="1806"/>
      <c r="AK49" s="1806"/>
      <c r="AL49" s="1806"/>
      <c r="AM49" s="1806"/>
      <c r="AN49" s="1806"/>
      <c r="AO49" s="1806"/>
      <c r="AP49" s="1806"/>
      <c r="AQ49" s="1806"/>
      <c r="AR49" s="1806"/>
      <c r="AS49" s="1806"/>
      <c r="AT49" s="1806"/>
      <c r="AU49" s="1806"/>
      <c r="AV49" s="1806"/>
      <c r="AW49" s="1806"/>
      <c r="AX49" s="1806"/>
      <c r="AY49" s="1806"/>
      <c r="AZ49" s="1806"/>
      <c r="BA49" s="1806"/>
      <c r="BB49" s="1806"/>
      <c r="BC49" s="1806"/>
      <c r="BD49" s="1806"/>
      <c r="BE49" s="1807"/>
      <c r="BF49" s="1818">
        <f t="shared" ref="BF49" si="63">SUM(BF47:BI47)</f>
        <v>0</v>
      </c>
      <c r="BG49" s="1819"/>
      <c r="BH49" s="1819"/>
      <c r="BI49" s="1820"/>
      <c r="BJ49" s="1805">
        <f t="shared" ref="BJ49" si="64">SUM(BJ47:BM47)</f>
        <v>0</v>
      </c>
      <c r="BK49" s="1806"/>
      <c r="BL49" s="1806"/>
      <c r="BM49" s="1807"/>
      <c r="BN49" s="301"/>
      <c r="BO49" s="302"/>
      <c r="BP49" s="303"/>
    </row>
    <row r="50" spans="1:68" ht="14.4" thickBot="1" x14ac:dyDescent="0.3">
      <c r="BN50" s="1814" t="s">
        <v>2047</v>
      </c>
      <c r="BO50" s="1815"/>
      <c r="BP50" s="863">
        <f>'4. Summary &amp; Totals'!C36</f>
        <v>787521</v>
      </c>
    </row>
    <row r="51" spans="1:68" x14ac:dyDescent="0.25">
      <c r="J51" s="304" t="s">
        <v>2048</v>
      </c>
      <c r="K51" s="305">
        <f>+BP33/BO33/8</f>
        <v>110.37463976945244</v>
      </c>
    </row>
    <row r="52" spans="1:68" x14ac:dyDescent="0.25">
      <c r="J52" s="306" t="s">
        <v>2049</v>
      </c>
      <c r="K52" s="307">
        <f>+BP38/BO33/8</f>
        <v>132.44956772334294</v>
      </c>
    </row>
    <row r="53" spans="1:68" ht="14.4" thickBot="1" x14ac:dyDescent="0.3">
      <c r="J53" s="308" t="s">
        <v>2050</v>
      </c>
      <c r="K53" s="309">
        <f>+BP39/BO33/8</f>
        <v>143.48703170028818</v>
      </c>
    </row>
    <row r="54" spans="1:68" ht="14.4" thickBot="1" x14ac:dyDescent="0.3"/>
    <row r="55" spans="1:68" ht="15" x14ac:dyDescent="0.25">
      <c r="J55" s="304" t="s">
        <v>2051</v>
      </c>
      <c r="K55" s="310">
        <f>(BP36-BQ33)/BP36</f>
        <v>1</v>
      </c>
      <c r="P55" s="311"/>
    </row>
    <row r="56" spans="1:68" x14ac:dyDescent="0.25">
      <c r="J56" s="306" t="s">
        <v>2052</v>
      </c>
      <c r="K56" s="312">
        <f>(BP38-BQ33)/BP38</f>
        <v>1</v>
      </c>
    </row>
    <row r="57" spans="1:68" ht="14.4" thickBot="1" x14ac:dyDescent="0.3">
      <c r="J57" s="308" t="s">
        <v>2053</v>
      </c>
      <c r="K57" s="313">
        <f>(BP39-BQ33)/BP39</f>
        <v>1</v>
      </c>
    </row>
    <row r="59" spans="1:68" ht="22.2" x14ac:dyDescent="0.35">
      <c r="A59" s="314" t="s">
        <v>76</v>
      </c>
      <c r="B59" s="315"/>
      <c r="C59" s="315"/>
      <c r="D59" s="315"/>
      <c r="E59" s="315"/>
      <c r="F59" s="315"/>
      <c r="G59" s="315"/>
      <c r="H59" s="315"/>
      <c r="I59" s="315"/>
      <c r="J59" s="315"/>
    </row>
    <row r="61" spans="1:68" ht="14.4" thickBot="1" x14ac:dyDescent="0.3"/>
    <row r="62" spans="1:68" ht="66" x14ac:dyDescent="0.25">
      <c r="A62" s="316" t="s">
        <v>2054</v>
      </c>
      <c r="B62" s="317"/>
      <c r="C62" s="317"/>
      <c r="D62" s="317"/>
      <c r="E62" s="317"/>
      <c r="F62" s="317"/>
      <c r="G62" s="318"/>
      <c r="H62" s="319"/>
      <c r="I62" s="319"/>
      <c r="J62" s="320"/>
    </row>
    <row r="63" spans="1:68" x14ac:dyDescent="0.25">
      <c r="A63" s="321"/>
      <c r="B63" s="322"/>
      <c r="C63" s="322"/>
      <c r="D63" s="322"/>
      <c r="E63" s="322"/>
      <c r="F63" s="322"/>
      <c r="G63" s="142"/>
      <c r="H63" s="142"/>
      <c r="I63" s="142"/>
      <c r="J63" s="270"/>
    </row>
    <row r="64" spans="1:68" ht="79.2" x14ac:dyDescent="0.25">
      <c r="A64" s="323" t="s">
        <v>2055</v>
      </c>
      <c r="B64" s="324"/>
      <c r="C64" s="324"/>
      <c r="D64" s="324"/>
      <c r="E64" s="324"/>
      <c r="F64" s="324"/>
      <c r="G64" s="325"/>
      <c r="H64" s="326"/>
      <c r="I64" s="326"/>
      <c r="J64" s="327"/>
    </row>
    <row r="65" spans="1:16" ht="79.2" x14ac:dyDescent="0.25">
      <c r="A65" s="323" t="s">
        <v>2056</v>
      </c>
      <c r="B65" s="324"/>
      <c r="C65" s="324"/>
      <c r="D65" s="324"/>
      <c r="E65" s="324"/>
      <c r="F65" s="324"/>
      <c r="G65" s="325"/>
      <c r="H65" s="326"/>
      <c r="I65" s="326"/>
      <c r="J65" s="327"/>
    </row>
    <row r="66" spans="1:16" ht="79.2" x14ac:dyDescent="0.25">
      <c r="A66" s="323" t="s">
        <v>2057</v>
      </c>
      <c r="B66" s="324"/>
      <c r="C66" s="324"/>
      <c r="D66" s="324"/>
      <c r="E66" s="324"/>
      <c r="F66" s="324"/>
      <c r="G66" s="325"/>
      <c r="H66" s="326"/>
      <c r="I66" s="326"/>
      <c r="J66" s="327"/>
    </row>
    <row r="67" spans="1:16" ht="79.8" thickBot="1" x14ac:dyDescent="0.3">
      <c r="A67" s="328" t="s">
        <v>2058</v>
      </c>
      <c r="B67" s="329"/>
      <c r="C67" s="329"/>
      <c r="D67" s="329"/>
      <c r="E67" s="329"/>
      <c r="F67" s="329"/>
      <c r="G67" s="330"/>
      <c r="H67" s="331"/>
      <c r="I67" s="331"/>
      <c r="J67" s="332"/>
      <c r="P67" s="311"/>
    </row>
    <row r="68" spans="1:16" ht="14.4" thickBot="1" x14ac:dyDescent="0.3"/>
    <row r="69" spans="1:16" ht="66" x14ac:dyDescent="0.25">
      <c r="A69" s="333" t="s">
        <v>2059</v>
      </c>
      <c r="B69" s="334"/>
      <c r="C69" s="334"/>
      <c r="D69" s="334"/>
      <c r="E69" s="334"/>
      <c r="F69" s="334"/>
      <c r="G69" s="334"/>
      <c r="H69" s="334"/>
      <c r="I69" s="334"/>
      <c r="J69" s="335"/>
    </row>
    <row r="70" spans="1:16" x14ac:dyDescent="0.25">
      <c r="A70" s="321"/>
      <c r="B70" s="322"/>
      <c r="C70" s="322"/>
      <c r="D70" s="322"/>
      <c r="E70" s="322"/>
      <c r="F70" s="322"/>
      <c r="G70" s="142"/>
      <c r="H70" s="142"/>
      <c r="I70" s="142"/>
      <c r="J70" s="270"/>
    </row>
    <row r="71" spans="1:16" ht="79.2" x14ac:dyDescent="0.25">
      <c r="A71" s="336" t="s">
        <v>2060</v>
      </c>
      <c r="B71" s="337"/>
      <c r="C71" s="337"/>
      <c r="D71" s="337"/>
      <c r="E71" s="337"/>
      <c r="F71" s="337"/>
      <c r="G71" s="337"/>
      <c r="H71" s="337"/>
      <c r="I71" s="337"/>
      <c r="J71" s="338"/>
    </row>
    <row r="72" spans="1:16" ht="79.2" x14ac:dyDescent="0.25">
      <c r="A72" s="336" t="s">
        <v>2061</v>
      </c>
      <c r="B72" s="337"/>
      <c r="C72" s="337"/>
      <c r="D72" s="337"/>
      <c r="E72" s="337"/>
      <c r="F72" s="337"/>
      <c r="G72" s="337"/>
      <c r="H72" s="337"/>
      <c r="I72" s="337"/>
      <c r="J72" s="338"/>
    </row>
    <row r="73" spans="1:16" ht="79.2" x14ac:dyDescent="0.25">
      <c r="A73" s="336" t="s">
        <v>2062</v>
      </c>
      <c r="B73" s="337"/>
      <c r="C73" s="337"/>
      <c r="D73" s="337"/>
      <c r="E73" s="337"/>
      <c r="F73" s="337"/>
      <c r="G73" s="337"/>
      <c r="H73" s="337"/>
      <c r="I73" s="337"/>
      <c r="J73" s="338"/>
    </row>
    <row r="74" spans="1:16" ht="79.8" thickBot="1" x14ac:dyDescent="0.3">
      <c r="A74" s="339" t="s">
        <v>2063</v>
      </c>
      <c r="B74" s="340"/>
      <c r="C74" s="340"/>
      <c r="D74" s="340"/>
      <c r="E74" s="340"/>
      <c r="F74" s="340"/>
      <c r="G74" s="340"/>
      <c r="H74" s="340"/>
      <c r="I74" s="340"/>
      <c r="J74" s="341"/>
    </row>
  </sheetData>
  <mergeCells count="104">
    <mergeCell ref="BJ49:BM49"/>
    <mergeCell ref="BN44:BO44"/>
    <mergeCell ref="BN50:BO50"/>
    <mergeCell ref="BN45:BO45"/>
    <mergeCell ref="O48:Q48"/>
    <mergeCell ref="R48:S48"/>
    <mergeCell ref="T48:U48"/>
    <mergeCell ref="V48:AS48"/>
    <mergeCell ref="BD48:BE48"/>
    <mergeCell ref="BF48:BG48"/>
    <mergeCell ref="BH48:BI48"/>
    <mergeCell ref="BJ48:BK48"/>
    <mergeCell ref="BL48:BM48"/>
    <mergeCell ref="N49:Q49"/>
    <mergeCell ref="R49:U49"/>
    <mergeCell ref="V49:BE49"/>
    <mergeCell ref="BF49:BI49"/>
    <mergeCell ref="N44:Q44"/>
    <mergeCell ref="R44:U44"/>
    <mergeCell ref="V44:BE44"/>
    <mergeCell ref="BF44:BI44"/>
    <mergeCell ref="AT48:AU48"/>
    <mergeCell ref="AV48:AW48"/>
    <mergeCell ref="AX48:AY48"/>
    <mergeCell ref="AZ48:BA48"/>
    <mergeCell ref="BB48:BC48"/>
    <mergeCell ref="BJ44:BM44"/>
    <mergeCell ref="BN39:BO39"/>
    <mergeCell ref="BN41:BO41"/>
    <mergeCell ref="BN42:BO42"/>
    <mergeCell ref="O43:Q43"/>
    <mergeCell ref="R43:S43"/>
    <mergeCell ref="T43:U43"/>
    <mergeCell ref="V43:AS43"/>
    <mergeCell ref="BD43:BE43"/>
    <mergeCell ref="BF43:BG43"/>
    <mergeCell ref="BH43:BI43"/>
    <mergeCell ref="BJ43:BK43"/>
    <mergeCell ref="BL43:BM43"/>
    <mergeCell ref="BN43:BO43"/>
    <mergeCell ref="N39:Q39"/>
    <mergeCell ref="R39:U39"/>
    <mergeCell ref="AT43:AU43"/>
    <mergeCell ref="AV43:AW43"/>
    <mergeCell ref="AX43:AY43"/>
    <mergeCell ref="AZ43:BA43"/>
    <mergeCell ref="BB43:BC43"/>
    <mergeCell ref="O38:Q38"/>
    <mergeCell ref="R38:S38"/>
    <mergeCell ref="T38:U38"/>
    <mergeCell ref="V38:AS38"/>
    <mergeCell ref="BD38:BE38"/>
    <mergeCell ref="V39:BE39"/>
    <mergeCell ref="BF39:BI39"/>
    <mergeCell ref="BJ39:BM39"/>
    <mergeCell ref="BW31:BW32"/>
    <mergeCell ref="BN35:BO35"/>
    <mergeCell ref="BN36:BO36"/>
    <mergeCell ref="BN37:BO37"/>
    <mergeCell ref="BF38:BG38"/>
    <mergeCell ref="BH38:BI38"/>
    <mergeCell ref="BJ38:BK38"/>
    <mergeCell ref="BL38:BM38"/>
    <mergeCell ref="BN38:BO38"/>
    <mergeCell ref="AT38:AU38"/>
    <mergeCell ref="AV38:AW38"/>
    <mergeCell ref="AX38:AY38"/>
    <mergeCell ref="AZ38:BA38"/>
    <mergeCell ref="BB38:BC38"/>
    <mergeCell ref="A33:I34"/>
    <mergeCell ref="BH12:BI12"/>
    <mergeCell ref="BJ12:BK12"/>
    <mergeCell ref="BL12:BM12"/>
    <mergeCell ref="BS12:BT13"/>
    <mergeCell ref="O13:Q13"/>
    <mergeCell ref="R13:S13"/>
    <mergeCell ref="T13:U13"/>
    <mergeCell ref="V13:AS13"/>
    <mergeCell ref="BD13:BE13"/>
    <mergeCell ref="BF13:BG13"/>
    <mergeCell ref="BH13:BI13"/>
    <mergeCell ref="BJ13:BK13"/>
    <mergeCell ref="BL13:BM13"/>
    <mergeCell ref="BN13:BR13"/>
    <mergeCell ref="AV13:AW13"/>
    <mergeCell ref="G9:K11"/>
    <mergeCell ref="BR11:BR12"/>
    <mergeCell ref="G12:K13"/>
    <mergeCell ref="L12:M13"/>
    <mergeCell ref="O12:Q12"/>
    <mergeCell ref="R12:S12"/>
    <mergeCell ref="T12:U12"/>
    <mergeCell ref="V12:AS12"/>
    <mergeCell ref="BD12:BE12"/>
    <mergeCell ref="BF12:BG12"/>
    <mergeCell ref="AT12:AU12"/>
    <mergeCell ref="AV12:AW12"/>
    <mergeCell ref="AX12:AY12"/>
    <mergeCell ref="AZ12:BA12"/>
    <mergeCell ref="BB12:BC12"/>
    <mergeCell ref="AT13:AU13"/>
    <mergeCell ref="AX13:AY13"/>
    <mergeCell ref="AZ13:BA13"/>
    <mergeCell ref="BB13:BC13"/>
  </mergeCells>
  <phoneticPr fontId="33" type="noConversion"/>
  <conditionalFormatting sqref="J1 L1 K3:K8">
    <cfRule type="cellIs" dxfId="102" priority="21" operator="equal">
      <formula>"Onshore"</formula>
    </cfRule>
    <cfRule type="cellIs" dxfId="101" priority="22" operator="equal">
      <formula>"Onsite"</formula>
    </cfRule>
    <cfRule type="cellIs" dxfId="100" priority="23" operator="equal">
      <formula>"Onsite"</formula>
    </cfRule>
    <cfRule type="cellIs" dxfId="99" priority="24" operator="equal">
      <formula>"Onshore"</formula>
    </cfRule>
  </conditionalFormatting>
  <conditionalFormatting sqref="K14:K1048576">
    <cfRule type="cellIs" dxfId="98" priority="9" operator="equal">
      <formula>"Onshore"</formula>
    </cfRule>
    <cfRule type="cellIs" dxfId="97" priority="10" operator="equal">
      <formula>"Onsite"</formula>
    </cfRule>
    <cfRule type="cellIs" dxfId="96" priority="11" operator="equal">
      <formula>"Onsite"</formula>
    </cfRule>
    <cfRule type="cellIs" dxfId="95" priority="12" operator="equal">
      <formula>"Onshore"</formula>
    </cfRule>
  </conditionalFormatting>
  <conditionalFormatting sqref="K51:K53 BP15:BQ33 BP35:BP39 N37:BM37 BP41:BP45 N42:BM42 N47:BM47 BP50">
    <cfRule type="expression" dxfId="94" priority="25">
      <formula>$J$1="Canada"</formula>
    </cfRule>
  </conditionalFormatting>
  <conditionalFormatting sqref="BP15:BQ33 BP35:BP39 N37:BM37 BP41:BP45 N42:BM42 N47:BM47 BP50 K51:K53">
    <cfRule type="expression" dxfId="93" priority="26">
      <formula>$J$1="India"</formula>
    </cfRule>
    <cfRule type="expression" dxfId="92" priority="27">
      <formula>$J$1="US"</formula>
    </cfRule>
    <cfRule type="expression" dxfId="91" priority="28">
      <formula>$J$1="UK"</formula>
    </cfRule>
  </conditionalFormatting>
  <conditionalFormatting sqref="BT15:BT33">
    <cfRule type="expression" dxfId="90" priority="5">
      <formula>$J$1="Canada"</formula>
    </cfRule>
    <cfRule type="expression" dxfId="89" priority="6">
      <formula>$J$1="India"</formula>
    </cfRule>
    <cfRule type="expression" dxfId="88" priority="7">
      <formula>$J$1="US"</formula>
    </cfRule>
    <cfRule type="expression" dxfId="87" priority="8">
      <formula>$J$1="UK"</formula>
    </cfRule>
  </conditionalFormatting>
  <conditionalFormatting sqref="BT35">
    <cfRule type="expression" dxfId="86" priority="1">
      <formula>$J$1="Canada"</formula>
    </cfRule>
    <cfRule type="expression" dxfId="85" priority="2">
      <formula>$J$1="India"</formula>
    </cfRule>
    <cfRule type="expression" dxfId="84" priority="3">
      <formula>$J$1="US"</formula>
    </cfRule>
    <cfRule type="expression" dxfId="83" priority="4">
      <formula>$J$1="UK"</formula>
    </cfRule>
  </conditionalFormatting>
  <conditionalFormatting sqref="BV15:BV32">
    <cfRule type="expression" dxfId="82" priority="13">
      <formula>$J$1="Canada"</formula>
    </cfRule>
    <cfRule type="expression" dxfId="81" priority="14">
      <formula>$J$1="India"</formula>
    </cfRule>
    <cfRule type="expression" dxfId="80" priority="15">
      <formula>$J$1="US"</formula>
    </cfRule>
    <cfRule type="expression" dxfId="79" priority="16">
      <formula>$J$1="UK"</formula>
    </cfRule>
  </conditionalFormatting>
  <dataValidations count="3">
    <dataValidation type="list" allowBlank="1" showInputMessage="1" showErrorMessage="1" sqref="L1" xr:uid="{811E8DB7-C6EF-49C7-864E-23E2666B13C5}">
      <formula1>"T&amp;M"</formula1>
    </dataValidation>
    <dataValidation type="list" allowBlank="1" showInputMessage="1" showErrorMessage="1" sqref="J1" xr:uid="{0BA01281-D18C-42E2-BAED-7EB58E3CB7AA}">
      <formula1>"US"</formula1>
    </dataValidation>
    <dataValidation type="list" allowBlank="1" showInputMessage="1" showErrorMessage="1" sqref="K8" xr:uid="{941F3AE3-3B07-4BC5-9B19-E8B1D06710D4}">
      <formula1>"USA,India,UK"</formula1>
    </dataValidation>
  </dataValidations>
  <hyperlinks>
    <hyperlink ref="G1" location="Instructions_Guidelines!A1" display="Instructions/ Guidelines" xr:uid="{6C0BBE9F-14C2-4CA5-AE37-80A11139183C}"/>
    <hyperlink ref="BQ46" location="Instructions_Guidelines!A1" display="Check Instructions_Guidelines" xr:uid="{C12D320A-AE4C-4BDA-B59F-82D766BAAE7A}"/>
    <hyperlink ref="BW31:BW32" location="Instructions_Guidelines!A1" display="Check Project Management % Allocation Guidelines Section under Instructions_Guidelines" xr:uid="{576F41E3-E75B-431B-BAD5-262496D0A160}"/>
  </hyperlinks>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02567-8384-40E5-9763-65EEA54BF4B0}">
  <sheetPr codeName="Sheet19">
    <tabColor theme="3" tint="0.89999084444715716"/>
    <pageSetUpPr autoPageBreaks="0"/>
  </sheetPr>
  <dimension ref="B1:O107"/>
  <sheetViews>
    <sheetView showGridLines="0" zoomScaleNormal="100" workbookViewId="0">
      <pane ySplit="4" topLeftCell="A57" activePane="bottomLeft" state="frozen"/>
      <selection activeCell="G20" sqref="G20"/>
      <selection pane="bottomLeft" activeCell="C65" sqref="C65"/>
    </sheetView>
  </sheetViews>
  <sheetFormatPr defaultColWidth="8.77734375" defaultRowHeight="13.8" x14ac:dyDescent="0.25"/>
  <cols>
    <col min="1" max="1" width="3.77734375" style="395" customWidth="1"/>
    <col min="2" max="2" width="41.21875" style="395" customWidth="1"/>
    <col min="3" max="8" width="23.44140625" style="395" customWidth="1"/>
    <col min="9" max="9" width="19.88671875" style="395" bestFit="1" customWidth="1"/>
    <col min="10" max="16384" width="8.77734375" style="395"/>
  </cols>
  <sheetData>
    <row r="1" spans="2:8" s="469" customFormat="1" ht="7.5" customHeight="1" x14ac:dyDescent="0.25"/>
    <row r="2" spans="2:8" s="469" customFormat="1" ht="25.8" x14ac:dyDescent="0.25">
      <c r="B2" s="856" t="s">
        <v>3173</v>
      </c>
      <c r="F2" s="1823" t="s">
        <v>0</v>
      </c>
      <c r="G2" s="1824"/>
      <c r="H2" s="1825"/>
    </row>
    <row r="3" spans="2:8" s="469" customFormat="1" ht="25.05" customHeight="1" x14ac:dyDescent="0.25">
      <c r="B3" s="1856" t="s">
        <v>3193</v>
      </c>
      <c r="C3" s="1856"/>
      <c r="D3" s="1856"/>
      <c r="F3" s="832" t="s">
        <v>2159</v>
      </c>
      <c r="G3" s="742" t="s">
        <v>2260</v>
      </c>
      <c r="H3" s="836" t="s">
        <v>2239</v>
      </c>
    </row>
    <row r="4" spans="2:8" s="469" customFormat="1" ht="9.4499999999999993" customHeight="1" x14ac:dyDescent="0.25">
      <c r="D4" s="729"/>
      <c r="E4" s="732"/>
      <c r="F4" s="737"/>
      <c r="G4" s="729"/>
    </row>
    <row r="5" spans="2:8" ht="5.55" customHeight="1" x14ac:dyDescent="0.25"/>
    <row r="6" spans="2:8" ht="17.399999999999999" x14ac:dyDescent="0.25">
      <c r="B6" s="740" t="s">
        <v>2</v>
      </c>
      <c r="C6" s="403"/>
      <c r="D6" s="403"/>
      <c r="E6" s="403"/>
      <c r="F6" s="403"/>
      <c r="G6" s="403"/>
      <c r="H6" s="403"/>
    </row>
    <row r="7" spans="2:8" x14ac:dyDescent="0.25">
      <c r="B7" s="1835" t="s">
        <v>2315</v>
      </c>
      <c r="C7" s="1835"/>
      <c r="D7" s="1835"/>
      <c r="E7" s="1835"/>
      <c r="F7" s="1835"/>
      <c r="G7" s="1835"/>
    </row>
    <row r="8" spans="2:8" x14ac:dyDescent="0.25">
      <c r="B8" s="1836" t="s">
        <v>3301</v>
      </c>
      <c r="C8" s="1836"/>
      <c r="D8" s="1836"/>
      <c r="E8" s="1836"/>
      <c r="F8" s="1836"/>
      <c r="G8" s="1836"/>
    </row>
    <row r="9" spans="2:8" x14ac:dyDescent="0.25">
      <c r="B9" s="1859" t="s">
        <v>3302</v>
      </c>
      <c r="C9" s="1859"/>
      <c r="D9" s="1859"/>
      <c r="E9" s="1859"/>
      <c r="F9" s="1859"/>
      <c r="G9" s="1859"/>
    </row>
    <row r="10" spans="2:8" x14ac:dyDescent="0.25">
      <c r="B10" s="1836" t="s">
        <v>3303</v>
      </c>
      <c r="C10" s="1836"/>
      <c r="D10" s="1836"/>
      <c r="E10" s="1836"/>
      <c r="F10" s="1836"/>
      <c r="G10" s="1836"/>
    </row>
    <row r="11" spans="2:8" x14ac:dyDescent="0.25">
      <c r="B11" s="1687" t="s">
        <v>3304</v>
      </c>
      <c r="C11" s="1687"/>
      <c r="D11" s="1687"/>
      <c r="E11" s="1687"/>
      <c r="F11" s="1687"/>
      <c r="G11" s="1687"/>
    </row>
    <row r="12" spans="2:8" ht="27.45" customHeight="1" x14ac:dyDescent="0.25">
      <c r="B12" s="1687" t="s">
        <v>3305</v>
      </c>
      <c r="C12" s="1687"/>
      <c r="D12" s="1687"/>
      <c r="E12" s="1687"/>
      <c r="F12" s="1687"/>
      <c r="G12" s="1687"/>
    </row>
    <row r="14" spans="2:8" ht="17.399999999999999" x14ac:dyDescent="0.25">
      <c r="B14" s="859" t="s">
        <v>2325</v>
      </c>
      <c r="C14" s="475"/>
      <c r="D14" s="475"/>
      <c r="E14" s="475"/>
      <c r="F14" s="475"/>
      <c r="G14" s="475"/>
      <c r="H14" s="475"/>
    </row>
    <row r="15" spans="2:8" ht="33.450000000000003" customHeight="1" x14ac:dyDescent="0.25">
      <c r="B15" s="1687" t="s">
        <v>3311</v>
      </c>
      <c r="C15" s="1687"/>
      <c r="D15" s="1687"/>
      <c r="E15" s="1687"/>
      <c r="F15" s="1687"/>
      <c r="G15" s="1687"/>
    </row>
    <row r="16" spans="2:8" ht="5.55" customHeight="1" x14ac:dyDescent="0.25">
      <c r="B16" s="1212"/>
      <c r="C16" s="1212"/>
      <c r="D16" s="1212"/>
      <c r="E16" s="1212"/>
      <c r="F16" s="1212"/>
      <c r="G16" s="1212"/>
    </row>
    <row r="17" spans="2:9" s="411" customFormat="1" ht="25.95" customHeight="1" x14ac:dyDescent="0.3">
      <c r="B17" s="1229" t="s">
        <v>2094</v>
      </c>
      <c r="C17" s="1525">
        <v>0.05</v>
      </c>
    </row>
    <row r="18" spans="2:9" s="411" customFormat="1" ht="15" x14ac:dyDescent="0.3">
      <c r="B18" s="1514"/>
      <c r="C18" s="1515"/>
    </row>
    <row r="19" spans="2:9" s="411" customFormat="1" x14ac:dyDescent="0.3">
      <c r="B19" s="1821" t="s">
        <v>3292</v>
      </c>
      <c r="C19" s="1822"/>
    </row>
    <row r="20" spans="2:9" s="411" customFormat="1" ht="27.6" x14ac:dyDescent="0.3">
      <c r="B20" s="1518" t="s">
        <v>27</v>
      </c>
      <c r="C20" s="1521" t="s">
        <v>3289</v>
      </c>
    </row>
    <row r="21" spans="2:9" s="411" customFormat="1" x14ac:dyDescent="0.3">
      <c r="B21" s="1519" t="s">
        <v>3290</v>
      </c>
      <c r="C21" s="1522" t="s">
        <v>3396</v>
      </c>
    </row>
    <row r="22" spans="2:9" s="411" customFormat="1" x14ac:dyDescent="0.3">
      <c r="B22" s="1519" t="s">
        <v>3291</v>
      </c>
      <c r="C22" s="1522" t="s">
        <v>3397</v>
      </c>
    </row>
    <row r="23" spans="2:9" s="411" customFormat="1" x14ac:dyDescent="0.3">
      <c r="B23" s="1520" t="s">
        <v>278</v>
      </c>
      <c r="C23" s="1523" t="s">
        <v>3397</v>
      </c>
    </row>
    <row r="24" spans="2:9" x14ac:dyDescent="0.25">
      <c r="B24" s="1517"/>
      <c r="C24" s="1516"/>
    </row>
    <row r="25" spans="2:9" ht="17.399999999999999" x14ac:dyDescent="0.25">
      <c r="B25" s="1162" t="s">
        <v>2328</v>
      </c>
      <c r="C25" s="802"/>
      <c r="D25" s="403"/>
      <c r="E25" s="403"/>
      <c r="F25" s="403"/>
      <c r="G25" s="403"/>
      <c r="H25" s="403"/>
    </row>
    <row r="26" spans="2:9" x14ac:dyDescent="0.25">
      <c r="B26" s="1674" t="s">
        <v>3190</v>
      </c>
      <c r="C26" s="1674"/>
      <c r="D26" s="1674"/>
      <c r="E26" s="1674"/>
      <c r="F26" s="1674"/>
      <c r="G26" s="1674"/>
      <c r="H26" s="1674"/>
      <c r="I26" s="1674"/>
    </row>
    <row r="27" spans="2:9" x14ac:dyDescent="0.25">
      <c r="B27" s="1675" t="s">
        <v>3204</v>
      </c>
      <c r="C27" s="1675"/>
      <c r="D27" s="1675"/>
      <c r="E27" s="1675"/>
      <c r="F27" s="1675"/>
      <c r="G27" s="1675"/>
      <c r="H27" s="1675"/>
      <c r="I27" s="1466"/>
    </row>
    <row r="28" spans="2:9" x14ac:dyDescent="0.25">
      <c r="B28" s="1675" t="s">
        <v>3306</v>
      </c>
      <c r="C28" s="1675"/>
      <c r="D28" s="1675"/>
      <c r="E28" s="1675"/>
      <c r="F28" s="1675"/>
      <c r="G28" s="1675"/>
      <c r="H28" s="1675"/>
      <c r="I28" s="1466"/>
    </row>
    <row r="29" spans="2:9" x14ac:dyDescent="0.25">
      <c r="B29" s="1219"/>
      <c r="C29" s="1219"/>
      <c r="D29" s="1219"/>
      <c r="E29" s="1219"/>
      <c r="F29" s="1219"/>
      <c r="G29" s="1219"/>
      <c r="H29" s="1219"/>
      <c r="I29" s="1218"/>
    </row>
    <row r="30" spans="2:9" ht="19.05" customHeight="1" x14ac:dyDescent="0.25">
      <c r="B30" s="1660" t="s">
        <v>2265</v>
      </c>
      <c r="C30" s="1661"/>
    </row>
    <row r="31" spans="2:9" ht="19.05" customHeight="1" x14ac:dyDescent="0.25">
      <c r="B31" s="931" t="s">
        <v>2078</v>
      </c>
      <c r="C31" s="932">
        <f>'2. Roles &amp; Pricing'!D289</f>
        <v>766000</v>
      </c>
    </row>
    <row r="32" spans="2:9" ht="19.05" customHeight="1" x14ac:dyDescent="0.25">
      <c r="B32" s="1138" t="s">
        <v>2079</v>
      </c>
      <c r="C32" s="1140" t="s">
        <v>2285</v>
      </c>
    </row>
    <row r="33" spans="2:15" ht="19.05" customHeight="1" x14ac:dyDescent="0.25">
      <c r="B33" s="1044" t="s">
        <v>2080</v>
      </c>
      <c r="C33" s="1141" t="str">
        <f>IFERROR(C31*(1+C32),"")</f>
        <v/>
      </c>
    </row>
    <row r="34" spans="2:15" ht="12" customHeight="1" x14ac:dyDescent="0.25"/>
    <row r="35" spans="2:15" ht="19.05" customHeight="1" x14ac:dyDescent="0.25">
      <c r="B35" s="1660" t="s">
        <v>2266</v>
      </c>
      <c r="C35" s="1661"/>
    </row>
    <row r="36" spans="2:15" ht="19.05" customHeight="1" x14ac:dyDescent="0.25">
      <c r="B36" s="931" t="s">
        <v>2078</v>
      </c>
      <c r="C36" s="932">
        <f>'2. Roles &amp; Pricing'!D289</f>
        <v>766000</v>
      </c>
    </row>
    <row r="37" spans="2:15" ht="19.05" customHeight="1" x14ac:dyDescent="0.25">
      <c r="B37" s="1138" t="s">
        <v>2080</v>
      </c>
      <c r="C37" s="1139" t="s">
        <v>2171</v>
      </c>
    </row>
    <row r="38" spans="2:15" ht="19.05" customHeight="1" x14ac:dyDescent="0.25">
      <c r="B38" s="1044" t="s">
        <v>1902</v>
      </c>
      <c r="C38" s="1526" t="str">
        <f>IFERROR((C37/C36)-1,"")</f>
        <v/>
      </c>
    </row>
    <row r="40" spans="2:15" ht="17.399999999999999" x14ac:dyDescent="0.25">
      <c r="B40" s="859" t="s">
        <v>2327</v>
      </c>
      <c r="C40" s="475"/>
      <c r="D40" s="475"/>
      <c r="E40" s="475"/>
      <c r="F40" s="475"/>
      <c r="G40" s="475"/>
      <c r="H40" s="475"/>
    </row>
    <row r="41" spans="2:15" x14ac:dyDescent="0.25">
      <c r="B41" s="1837" t="s">
        <v>2377</v>
      </c>
      <c r="C41" s="1837"/>
      <c r="D41" s="1837"/>
      <c r="E41" s="1837"/>
      <c r="F41" s="1837"/>
      <c r="G41" s="1837"/>
      <c r="H41" s="1837"/>
      <c r="I41" s="1384"/>
    </row>
    <row r="42" spans="2:15" ht="13.95" customHeight="1" x14ac:dyDescent="0.25">
      <c r="B42" s="1858" t="s">
        <v>3191</v>
      </c>
      <c r="C42" s="1858"/>
      <c r="D42" s="1858"/>
      <c r="E42" s="1858"/>
      <c r="F42" s="1858"/>
      <c r="G42" s="1858"/>
      <c r="H42" s="1858"/>
      <c r="I42" s="1230"/>
    </row>
    <row r="43" spans="2:15" ht="15" customHeight="1" x14ac:dyDescent="0.25">
      <c r="B43" s="1858" t="s">
        <v>2331</v>
      </c>
      <c r="C43" s="1858"/>
      <c r="D43" s="1858"/>
      <c r="E43" s="1858"/>
      <c r="F43" s="1858"/>
      <c r="G43" s="1858"/>
      <c r="H43" s="1858"/>
    </row>
    <row r="44" spans="2:15" ht="15" customHeight="1" x14ac:dyDescent="0.25">
      <c r="B44" s="1687" t="s">
        <v>2326</v>
      </c>
      <c r="C44" s="1687"/>
      <c r="D44" s="1687"/>
      <c r="E44" s="1687"/>
      <c r="F44" s="1687"/>
      <c r="G44" s="1687"/>
      <c r="H44" s="710"/>
      <c r="J44" s="1206"/>
      <c r="K44" s="1206"/>
      <c r="L44" s="1206"/>
      <c r="M44" s="1206"/>
      <c r="N44" s="1206"/>
      <c r="O44" s="1206"/>
    </row>
    <row r="45" spans="2:15" ht="15" customHeight="1" x14ac:dyDescent="0.25">
      <c r="B45" s="1836" t="s">
        <v>3307</v>
      </c>
      <c r="C45" s="1836"/>
      <c r="D45" s="1836"/>
      <c r="E45" s="1836"/>
      <c r="F45" s="1836"/>
      <c r="G45" s="1836"/>
      <c r="H45" s="710"/>
      <c r="J45" s="1206"/>
      <c r="K45" s="1206"/>
      <c r="L45" s="1206"/>
      <c r="M45" s="1206"/>
      <c r="N45" s="1206"/>
      <c r="O45" s="1206"/>
    </row>
    <row r="46" spans="2:15" ht="28.95" customHeight="1" x14ac:dyDescent="0.25">
      <c r="B46" s="1836" t="s">
        <v>3205</v>
      </c>
      <c r="C46" s="1836"/>
      <c r="D46" s="1836"/>
      <c r="E46" s="1836"/>
      <c r="F46" s="1836"/>
      <c r="G46" s="1836"/>
      <c r="H46" s="1836"/>
      <c r="J46" s="1206"/>
      <c r="K46" s="1206"/>
      <c r="L46" s="1206"/>
      <c r="M46" s="1206"/>
      <c r="N46" s="1206"/>
      <c r="O46" s="1206"/>
    </row>
    <row r="47" spans="2:15" ht="15" customHeight="1" x14ac:dyDescent="0.25">
      <c r="B47" s="1857" t="s">
        <v>3192</v>
      </c>
      <c r="C47" s="1857"/>
      <c r="D47" s="1857"/>
      <c r="E47" s="1857"/>
      <c r="F47" s="1857"/>
      <c r="G47" s="1857"/>
      <c r="H47" s="710"/>
      <c r="J47" s="1206"/>
      <c r="K47" s="1206"/>
      <c r="L47" s="1206"/>
      <c r="M47" s="1206"/>
      <c r="N47" s="1206"/>
      <c r="O47" s="1206"/>
    </row>
    <row r="48" spans="2:15" x14ac:dyDescent="0.25">
      <c r="B48" s="1836" t="s">
        <v>2267</v>
      </c>
      <c r="C48" s="1836"/>
      <c r="D48" s="1836"/>
      <c r="E48" s="1836"/>
      <c r="F48" s="1836"/>
      <c r="G48" s="1836"/>
    </row>
    <row r="49" spans="2:9" x14ac:dyDescent="0.25">
      <c r="B49" s="710"/>
      <c r="C49" s="710"/>
      <c r="D49" s="710"/>
      <c r="E49" s="710"/>
      <c r="F49" s="710"/>
    </row>
    <row r="50" spans="2:9" x14ac:dyDescent="0.25">
      <c r="B50" s="1832" t="s">
        <v>2180</v>
      </c>
      <c r="C50" s="1833"/>
      <c r="D50" s="1833"/>
      <c r="E50" s="1834"/>
      <c r="F50" s="556"/>
      <c r="G50" s="556"/>
      <c r="H50" s="556"/>
    </row>
    <row r="51" spans="2:9" x14ac:dyDescent="0.25">
      <c r="B51" s="934" t="s">
        <v>189</v>
      </c>
      <c r="C51" s="935" t="s">
        <v>2086</v>
      </c>
      <c r="D51" s="935" t="s">
        <v>222</v>
      </c>
      <c r="E51" s="936" t="s">
        <v>111</v>
      </c>
      <c r="H51" s="458"/>
    </row>
    <row r="52" spans="2:9" ht="31.05" customHeight="1" x14ac:dyDescent="0.25">
      <c r="B52" s="937">
        <f>('2. Roles &amp; Pricing'!D289-'2. Roles &amp; Pricing'!F289)/'2. Roles &amp; Pricing'!D289</f>
        <v>0.55101827676240211</v>
      </c>
      <c r="C52" s="938">
        <v>0.47</v>
      </c>
      <c r="D52" s="939">
        <f>B52-C52</f>
        <v>8.1018276762402142E-2</v>
      </c>
      <c r="E52" s="940">
        <f>'2. Roles &amp; Pricing'!D289/'2. Roles &amp; Pricing'!M289</f>
        <v>110.37463976945244</v>
      </c>
      <c r="H52" s="562"/>
    </row>
    <row r="53" spans="2:9" x14ac:dyDescent="0.25">
      <c r="B53" s="1830"/>
      <c r="C53" s="1830"/>
      <c r="D53" s="1830"/>
      <c r="E53" s="1830"/>
      <c r="F53" s="1830"/>
      <c r="G53" s="556"/>
      <c r="H53" s="556"/>
    </row>
    <row r="54" spans="2:9" x14ac:dyDescent="0.25">
      <c r="B54" s="1838" t="s">
        <v>2179</v>
      </c>
      <c r="C54" s="1839"/>
      <c r="D54" s="1839"/>
      <c r="E54" s="1839"/>
      <c r="F54" s="1839"/>
      <c r="G54" s="1839"/>
      <c r="H54" s="1839"/>
      <c r="I54" s="1840"/>
    </row>
    <row r="55" spans="2:9" x14ac:dyDescent="0.25">
      <c r="B55" s="941" t="s">
        <v>189</v>
      </c>
      <c r="C55" s="942">
        <v>0.4</v>
      </c>
      <c r="D55" s="942">
        <v>0.43</v>
      </c>
      <c r="E55" s="942">
        <v>0.45</v>
      </c>
      <c r="F55" s="942">
        <v>0.5</v>
      </c>
      <c r="G55" s="942">
        <v>0.55000000000000004</v>
      </c>
      <c r="H55" s="942" t="s">
        <v>2371</v>
      </c>
      <c r="I55" s="943" t="s">
        <v>2371</v>
      </c>
    </row>
    <row r="56" spans="2:9" x14ac:dyDescent="0.25">
      <c r="B56" s="944" t="s">
        <v>224</v>
      </c>
      <c r="C56" s="1231">
        <f>('4. Summary &amp; Totals'!$C$67)/(1-C55)+'4. Summary &amp; Totals'!$C$68</f>
        <v>1278166.6666666667</v>
      </c>
      <c r="D56" s="1231">
        <f>('4. Summary &amp; Totals'!$C$67)/(1-D55)+'4. Summary &amp; Totals'!$C$68</f>
        <v>1345359.649122807</v>
      </c>
      <c r="E56" s="1231">
        <f>('4. Summary &amp; Totals'!$C$67)/(1-E55)+'4. Summary &amp; Totals'!$C$68</f>
        <v>1394227.2727272727</v>
      </c>
      <c r="F56" s="1231">
        <f>('4. Summary &amp; Totals'!$C$67)/(1-F55)+'4. Summary &amp; Totals'!$C$68</f>
        <v>1533500</v>
      </c>
      <c r="G56" s="1231">
        <f>('4. Summary &amp; Totals'!$C$67)/(1-G55)+'4. Summary &amp; Totals'!$C$68</f>
        <v>1703722.2222222225</v>
      </c>
      <c r="H56" s="1231" t="str">
        <f>IF(H55="Enter Test Margin %","",('4. Summary &amp; Totals'!$C$67)/(1-H55)+'4. Summary &amp; Totals'!$C$68)</f>
        <v/>
      </c>
      <c r="I56" s="1232" t="s">
        <v>3685</v>
      </c>
    </row>
    <row r="57" spans="2:9" x14ac:dyDescent="0.25">
      <c r="B57" s="945" t="s">
        <v>225</v>
      </c>
      <c r="C57" s="1233">
        <f>IFERROR(ROUNDUP((C56/'2. Roles &amp; Pricing'!$M$289),0),"")</f>
        <v>185</v>
      </c>
      <c r="D57" s="1233">
        <f>ROUNDUP(IFERROR(D56/'2. Roles &amp; Pricing'!$M$289,""),0)</f>
        <v>194</v>
      </c>
      <c r="E57" s="1233">
        <f>ROUNDUP(IFERROR(E56/'2. Roles &amp; Pricing'!$M$289,""),0)</f>
        <v>201</v>
      </c>
      <c r="F57" s="1233">
        <f>ROUNDUP(IFERROR(F56/'2. Roles &amp; Pricing'!$M$289,""),0)</f>
        <v>221</v>
      </c>
      <c r="G57" s="1233">
        <f>ROUNDUP(IFERROR(G56/'2. Roles &amp; Pricing'!$M$289,""),0)</f>
        <v>246</v>
      </c>
      <c r="H57" s="1233" t="str">
        <f>IF(H55="Enter Test Margin %","",H56/'2. Roles &amp; Pricing'!M289)</f>
        <v/>
      </c>
      <c r="I57" s="1234" t="str">
        <f>IF(I55="Enter Test Margin %","",I56/'2. Roles &amp; Pricing'!N289)</f>
        <v/>
      </c>
    </row>
    <row r="59" spans="2:9" ht="17.399999999999999" x14ac:dyDescent="0.25">
      <c r="B59" s="857" t="s">
        <v>2329</v>
      </c>
      <c r="C59" s="475"/>
      <c r="D59" s="475"/>
      <c r="E59" s="475"/>
      <c r="F59" s="475"/>
      <c r="G59" s="475"/>
      <c r="H59" s="475"/>
    </row>
    <row r="60" spans="2:9" x14ac:dyDescent="0.25">
      <c r="B60" s="1853" t="s">
        <v>3308</v>
      </c>
      <c r="C60" s="1853"/>
      <c r="D60" s="1853"/>
      <c r="E60" s="1853"/>
      <c r="F60" s="1853"/>
      <c r="G60" s="1853"/>
      <c r="H60" s="1853"/>
    </row>
    <row r="61" spans="2:9" x14ac:dyDescent="0.25">
      <c r="B61" s="1720" t="s">
        <v>2330</v>
      </c>
      <c r="C61" s="1720"/>
      <c r="D61" s="1720"/>
      <c r="E61" s="1720"/>
      <c r="F61" s="1720"/>
      <c r="G61" s="1720"/>
    </row>
    <row r="62" spans="2:9" ht="15" customHeight="1" x14ac:dyDescent="0.25">
      <c r="B62" s="1216"/>
      <c r="C62" s="1213"/>
      <c r="D62" s="1213"/>
      <c r="E62" s="1213"/>
      <c r="F62" s="1213"/>
      <c r="G62" s="1213"/>
    </row>
    <row r="63" spans="2:9" x14ac:dyDescent="0.25">
      <c r="B63" s="1854" t="s">
        <v>2181</v>
      </c>
      <c r="C63" s="1855"/>
    </row>
    <row r="64" spans="2:9" x14ac:dyDescent="0.25">
      <c r="B64" s="946" t="s">
        <v>109</v>
      </c>
      <c r="C64" s="947">
        <f>'2. Roles &amp; Pricing'!D289</f>
        <v>766000</v>
      </c>
    </row>
    <row r="65" spans="2:8" x14ac:dyDescent="0.25">
      <c r="B65" s="948" t="s">
        <v>1466</v>
      </c>
      <c r="C65" s="949">
        <v>0.08</v>
      </c>
    </row>
    <row r="66" spans="2:8" x14ac:dyDescent="0.25">
      <c r="B66" s="1142" t="s">
        <v>1467</v>
      </c>
      <c r="C66" s="1143" t="s">
        <v>2170</v>
      </c>
    </row>
    <row r="67" spans="2:8" x14ac:dyDescent="0.25">
      <c r="B67" s="1464" t="s">
        <v>1468</v>
      </c>
      <c r="C67" s="1144">
        <f>IFERROR(IF(C65="Enter Discount %",C66,(C64*C65)),"")</f>
        <v>61280</v>
      </c>
    </row>
    <row r="69" spans="2:8" ht="17.399999999999999" x14ac:dyDescent="0.25">
      <c r="B69" s="859" t="s">
        <v>2332</v>
      </c>
      <c r="C69" s="563"/>
      <c r="D69" s="403"/>
      <c r="E69" s="564"/>
      <c r="F69" s="564"/>
      <c r="G69" s="564"/>
      <c r="H69" s="565"/>
    </row>
    <row r="70" spans="2:8" ht="28.95" customHeight="1" x14ac:dyDescent="0.25">
      <c r="B70" s="1831" t="s">
        <v>2378</v>
      </c>
      <c r="C70" s="1831"/>
      <c r="D70" s="1831"/>
      <c r="E70" s="1831"/>
      <c r="F70" s="1831"/>
      <c r="G70" s="1831"/>
      <c r="H70" s="1831"/>
    </row>
    <row r="71" spans="2:8" ht="15" customHeight="1" x14ac:dyDescent="0.25">
      <c r="B71" s="1216"/>
      <c r="C71" s="1213"/>
      <c r="D71" s="1213"/>
      <c r="E71" s="1213"/>
      <c r="F71" s="1213"/>
      <c r="G71" s="1213"/>
    </row>
    <row r="72" spans="2:8" x14ac:dyDescent="0.25">
      <c r="B72" s="1845" t="s">
        <v>2290</v>
      </c>
      <c r="C72" s="1846"/>
      <c r="D72" s="952" t="s">
        <v>215</v>
      </c>
    </row>
    <row r="73" spans="2:8" x14ac:dyDescent="0.25">
      <c r="B73" s="950" t="s">
        <v>217</v>
      </c>
      <c r="C73" s="930">
        <v>1500</v>
      </c>
      <c r="D73" s="951" t="s">
        <v>78</v>
      </c>
    </row>
    <row r="74" spans="2:8" x14ac:dyDescent="0.25">
      <c r="B74" s="950" t="s">
        <v>218</v>
      </c>
      <c r="C74" s="930">
        <v>2000</v>
      </c>
      <c r="D74" s="951" t="s">
        <v>275</v>
      </c>
    </row>
    <row r="75" spans="2:8" x14ac:dyDescent="0.25">
      <c r="B75" s="950" t="s">
        <v>219</v>
      </c>
      <c r="C75" s="930" t="s">
        <v>2171</v>
      </c>
      <c r="D75" s="951" t="s">
        <v>275</v>
      </c>
    </row>
    <row r="76" spans="2:8" x14ac:dyDescent="0.25">
      <c r="B76" s="1527" t="s">
        <v>220</v>
      </c>
      <c r="C76" s="1528" t="s">
        <v>2171</v>
      </c>
      <c r="D76" s="1146" t="s">
        <v>216</v>
      </c>
    </row>
    <row r="77" spans="2:8" x14ac:dyDescent="0.25">
      <c r="B77" s="1529" t="s">
        <v>3312</v>
      </c>
      <c r="C77" s="1847">
        <f>SUMIFS($C$73:$C$76,$D$73:$D$76,"Yes")</f>
        <v>1500</v>
      </c>
      <c r="D77" s="1848"/>
    </row>
    <row r="78" spans="2:8" x14ac:dyDescent="0.25">
      <c r="B78" s="1530" t="s">
        <v>3313</v>
      </c>
      <c r="C78" s="1849">
        <f>SUMIFS($C$73:$C$76,$D$73:$D$76,"No")</f>
        <v>2000</v>
      </c>
      <c r="D78" s="1850"/>
    </row>
    <row r="79" spans="2:8" x14ac:dyDescent="0.25">
      <c r="B79" s="566"/>
      <c r="C79" s="567"/>
      <c r="D79" s="568"/>
    </row>
    <row r="80" spans="2:8" ht="17.399999999999999" x14ac:dyDescent="0.25">
      <c r="B80" s="859" t="s">
        <v>3225</v>
      </c>
      <c r="C80" s="1465"/>
      <c r="D80" s="563"/>
      <c r="E80" s="564"/>
      <c r="F80" s="564"/>
      <c r="G80" s="564"/>
    </row>
    <row r="81" spans="2:8" x14ac:dyDescent="0.25">
      <c r="B81" s="1831" t="s">
        <v>3309</v>
      </c>
      <c r="C81" s="1831"/>
      <c r="D81" s="1831"/>
      <c r="E81" s="1831"/>
      <c r="F81" s="1831"/>
      <c r="G81" s="1831"/>
      <c r="H81" s="1831"/>
    </row>
    <row r="82" spans="2:8" x14ac:dyDescent="0.25">
      <c r="B82" s="1721" t="s">
        <v>3310</v>
      </c>
      <c r="C82" s="1721"/>
      <c r="D82" s="1721"/>
      <c r="E82" s="1721"/>
      <c r="F82" s="1721"/>
      <c r="G82" s="1721"/>
    </row>
    <row r="83" spans="2:8" ht="15" customHeight="1" x14ac:dyDescent="0.25">
      <c r="B83" s="1216"/>
      <c r="C83" s="1213"/>
      <c r="D83" s="1213"/>
      <c r="E83" s="1213"/>
      <c r="F83" s="1213"/>
      <c r="G83" s="1213"/>
    </row>
    <row r="84" spans="2:8" x14ac:dyDescent="0.25">
      <c r="B84" s="1851" t="s">
        <v>221</v>
      </c>
      <c r="C84" s="1852"/>
      <c r="D84" s="1535"/>
    </row>
    <row r="85" spans="2:8" x14ac:dyDescent="0.25">
      <c r="B85" s="953" t="s">
        <v>2172</v>
      </c>
      <c r="C85" s="1531" t="s">
        <v>2171</v>
      </c>
      <c r="D85" s="1536"/>
    </row>
    <row r="86" spans="2:8" x14ac:dyDescent="0.25">
      <c r="B86" s="954" t="s">
        <v>2172</v>
      </c>
      <c r="C86" s="1532" t="s">
        <v>2171</v>
      </c>
      <c r="D86" s="1536"/>
    </row>
    <row r="87" spans="2:8" x14ac:dyDescent="0.25">
      <c r="B87" s="1145" t="s">
        <v>2172</v>
      </c>
      <c r="C87" s="1533" t="s">
        <v>2171</v>
      </c>
      <c r="D87" s="1536"/>
    </row>
    <row r="88" spans="2:8" x14ac:dyDescent="0.25">
      <c r="B88" s="1147" t="s">
        <v>3314</v>
      </c>
      <c r="C88" s="1534">
        <f>SUM(C85:C87,C73:C78)</f>
        <v>7000</v>
      </c>
      <c r="D88" s="1537"/>
    </row>
    <row r="90" spans="2:8" ht="17.399999999999999" x14ac:dyDescent="0.25">
      <c r="B90" s="859" t="s">
        <v>2333</v>
      </c>
      <c r="C90" s="563"/>
      <c r="D90" s="563"/>
      <c r="E90" s="564"/>
      <c r="F90" s="564"/>
      <c r="G90" s="564"/>
    </row>
    <row r="91" spans="2:8" x14ac:dyDescent="0.25">
      <c r="B91" s="1831" t="s">
        <v>2335</v>
      </c>
      <c r="C91" s="1831"/>
      <c r="D91" s="1831"/>
      <c r="E91" s="1831"/>
      <c r="F91" s="1831"/>
      <c r="G91" s="1831"/>
      <c r="H91" s="1831"/>
    </row>
    <row r="92" spans="2:8" x14ac:dyDescent="0.25">
      <c r="B92" s="1721" t="s">
        <v>2334</v>
      </c>
      <c r="C92" s="1721"/>
      <c r="D92" s="1721"/>
      <c r="E92" s="1721"/>
      <c r="F92" s="1721"/>
      <c r="G92" s="1721"/>
    </row>
    <row r="93" spans="2:8" ht="15" customHeight="1" x14ac:dyDescent="0.25">
      <c r="B93" s="1216"/>
      <c r="C93" s="1213"/>
      <c r="D93" s="1213"/>
      <c r="E93" s="1213"/>
      <c r="F93" s="1213"/>
      <c r="G93" s="1213"/>
    </row>
    <row r="94" spans="2:8" x14ac:dyDescent="0.25">
      <c r="B94" s="1843" t="s">
        <v>214</v>
      </c>
      <c r="C94" s="1844"/>
    </row>
    <row r="95" spans="2:8" x14ac:dyDescent="0.25">
      <c r="B95" s="1841" t="s">
        <v>2169</v>
      </c>
      <c r="C95" s="1842"/>
    </row>
    <row r="96" spans="2:8" x14ac:dyDescent="0.25">
      <c r="B96" s="1826" t="s">
        <v>2169</v>
      </c>
      <c r="C96" s="1827"/>
    </row>
    <row r="97" spans="2:7" x14ac:dyDescent="0.25">
      <c r="B97" s="1826"/>
      <c r="C97" s="1827"/>
    </row>
    <row r="98" spans="2:7" x14ac:dyDescent="0.25">
      <c r="B98" s="1826"/>
      <c r="C98" s="1827"/>
    </row>
    <row r="99" spans="2:7" x14ac:dyDescent="0.25">
      <c r="B99" s="1826"/>
      <c r="C99" s="1827"/>
    </row>
    <row r="100" spans="2:7" x14ac:dyDescent="0.25">
      <c r="B100" s="1826"/>
      <c r="C100" s="1827"/>
    </row>
    <row r="101" spans="2:7" x14ac:dyDescent="0.25">
      <c r="B101" s="1826"/>
      <c r="C101" s="1827"/>
    </row>
    <row r="102" spans="2:7" x14ac:dyDescent="0.25">
      <c r="B102" s="1828"/>
      <c r="C102" s="1829"/>
    </row>
    <row r="107" spans="2:7" x14ac:dyDescent="0.25">
      <c r="B107" s="1721"/>
      <c r="C107" s="1721"/>
      <c r="D107" s="1721"/>
      <c r="E107" s="1721"/>
      <c r="F107" s="1721"/>
      <c r="G107" s="1721"/>
    </row>
  </sheetData>
  <mergeCells count="48">
    <mergeCell ref="B107:G107"/>
    <mergeCell ref="B3:D3"/>
    <mergeCell ref="B44:G44"/>
    <mergeCell ref="B45:G45"/>
    <mergeCell ref="B47:G47"/>
    <mergeCell ref="B48:G48"/>
    <mergeCell ref="B46:H46"/>
    <mergeCell ref="B28:H28"/>
    <mergeCell ref="B43:H43"/>
    <mergeCell ref="B42:H42"/>
    <mergeCell ref="B8:G8"/>
    <mergeCell ref="B9:G9"/>
    <mergeCell ref="B15:G15"/>
    <mergeCell ref="B26:I26"/>
    <mergeCell ref="B27:H27"/>
    <mergeCell ref="B35:C35"/>
    <mergeCell ref="B41:H41"/>
    <mergeCell ref="B54:I54"/>
    <mergeCell ref="B82:G82"/>
    <mergeCell ref="B95:C95"/>
    <mergeCell ref="B96:C96"/>
    <mergeCell ref="B94:C94"/>
    <mergeCell ref="B72:C72"/>
    <mergeCell ref="B92:G92"/>
    <mergeCell ref="C77:D77"/>
    <mergeCell ref="C78:D78"/>
    <mergeCell ref="B84:C84"/>
    <mergeCell ref="B61:G61"/>
    <mergeCell ref="B60:H60"/>
    <mergeCell ref="B70:H70"/>
    <mergeCell ref="B81:H81"/>
    <mergeCell ref="B63:C63"/>
    <mergeCell ref="B19:C19"/>
    <mergeCell ref="F2:H2"/>
    <mergeCell ref="B101:C101"/>
    <mergeCell ref="B102:C102"/>
    <mergeCell ref="B98:C98"/>
    <mergeCell ref="B99:C99"/>
    <mergeCell ref="B97:C97"/>
    <mergeCell ref="B100:C100"/>
    <mergeCell ref="B53:F53"/>
    <mergeCell ref="B91:H91"/>
    <mergeCell ref="B50:E50"/>
    <mergeCell ref="B7:G7"/>
    <mergeCell ref="B10:G10"/>
    <mergeCell ref="B11:G11"/>
    <mergeCell ref="B12:G12"/>
    <mergeCell ref="B30:C30"/>
  </mergeCells>
  <conditionalFormatting sqref="C73:C79 B84:B87">
    <cfRule type="expression" dxfId="78" priority="16">
      <formula>$O$1="Canada"</formula>
    </cfRule>
    <cfRule type="expression" dxfId="77" priority="17">
      <formula>$O$1="India"</formula>
    </cfRule>
    <cfRule type="expression" dxfId="76" priority="18">
      <formula>$O$1="US"</formula>
    </cfRule>
    <cfRule type="expression" dxfId="75" priority="19">
      <formula>$O$1="UK"</formula>
    </cfRule>
  </conditionalFormatting>
  <conditionalFormatting sqref="C85:C88">
    <cfRule type="expression" dxfId="74" priority="2">
      <formula>$O$1="Canada"</formula>
    </cfRule>
    <cfRule type="expression" dxfId="73" priority="3">
      <formula>$O$1="India"</formula>
    </cfRule>
    <cfRule type="expression" dxfId="72" priority="4">
      <formula>$O$1="US"</formula>
    </cfRule>
    <cfRule type="expression" dxfId="71" priority="5">
      <formula>$O$1="UK"</formula>
    </cfRule>
  </conditionalFormatting>
  <conditionalFormatting sqref="D52">
    <cfRule type="cellIs" dxfId="70" priority="1" operator="greaterThan">
      <formula>-0.05</formula>
    </cfRule>
    <cfRule type="cellIs" dxfId="69" priority="10" operator="lessThan">
      <formula>-0.05</formula>
    </cfRule>
  </conditionalFormatting>
  <hyperlinks>
    <hyperlink ref="B47:G47" location="'2. Roles &amp; Pricing'!K291" display="3. Come back to this tab &quot;3. Financial Inputs&quot; to check the new Resource Margin based on your adjustments to Custom Override Rate ($/Hr.)." xr:uid="{CE1AE536-B3A5-4EA0-BA81-7A4150D8C7A7}"/>
  </hyperlink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9934A3E3-794D-4B7B-84F7-48FAAFAC54D7}">
          <x14:formula1>
            <xm:f>'Rates &amp; Drop Downs INT'!$T$6:$T$8</xm:f>
          </x14:formula1>
          <xm:sqref>D73:D76</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D967E-C4CE-A94E-ACC4-3F372D1F75CE}">
  <sheetPr codeName="Sheet1">
    <tabColor theme="3" tint="0.89999084444715716"/>
    <pageSetUpPr autoPageBreaks="0"/>
  </sheetPr>
  <dimension ref="B1:T191"/>
  <sheetViews>
    <sheetView showGridLines="0" zoomScaleNormal="100" workbookViewId="0">
      <pane ySplit="4" topLeftCell="A56" activePane="bottomLeft" state="frozen"/>
      <selection activeCell="G20" sqref="G20"/>
      <selection pane="bottomLeft" activeCell="C109" sqref="C109"/>
    </sheetView>
  </sheetViews>
  <sheetFormatPr defaultColWidth="11.44140625" defaultRowHeight="13.8" x14ac:dyDescent="0.25"/>
  <cols>
    <col min="1" max="1" width="3.21875" style="395" customWidth="1"/>
    <col min="2" max="2" width="39.77734375" style="395" customWidth="1"/>
    <col min="3" max="3" width="27.21875" style="395" customWidth="1"/>
    <col min="4" max="4" width="39.44140625" style="395" bestFit="1" customWidth="1"/>
    <col min="5" max="5" width="35" style="395" bestFit="1" customWidth="1"/>
    <col min="6" max="6" width="25.21875" style="395" customWidth="1"/>
    <col min="7" max="7" width="22.44140625" style="395" customWidth="1"/>
    <col min="8" max="8" width="23.44140625" style="395" customWidth="1"/>
    <col min="9" max="9" width="38.44140625" style="395" customWidth="1"/>
    <col min="10" max="10" width="28.21875" style="395" customWidth="1"/>
    <col min="11" max="11" width="17" style="395" customWidth="1"/>
    <col min="12" max="12" width="27.21875" style="395" bestFit="1" customWidth="1"/>
    <col min="13" max="13" width="19.44140625" style="395" bestFit="1" customWidth="1"/>
    <col min="14" max="14" width="17.21875" style="395" customWidth="1"/>
    <col min="15" max="15" width="27.21875" style="395" customWidth="1"/>
    <col min="16" max="16" width="16.44140625" style="395" customWidth="1"/>
    <col min="17" max="16384" width="11.44140625" style="395"/>
  </cols>
  <sheetData>
    <row r="1" spans="2:20" s="469" customFormat="1" ht="10.5" customHeight="1" x14ac:dyDescent="0.25">
      <c r="B1" s="618"/>
      <c r="C1" s="618"/>
      <c r="D1" s="618"/>
      <c r="E1" s="618"/>
      <c r="F1" s="618"/>
      <c r="G1" s="618"/>
      <c r="H1" s="618"/>
      <c r="I1" s="618"/>
      <c r="J1" s="1704"/>
      <c r="K1" s="1704"/>
      <c r="L1" s="1704"/>
    </row>
    <row r="2" spans="2:20" s="469" customFormat="1" ht="25.8" x14ac:dyDescent="0.25">
      <c r="B2" s="1871" t="s">
        <v>3196</v>
      </c>
      <c r="C2" s="1871"/>
      <c r="E2" s="622" t="s">
        <v>2241</v>
      </c>
      <c r="F2" s="738"/>
      <c r="G2" s="738"/>
      <c r="H2" s="738"/>
      <c r="K2" s="471"/>
      <c r="L2" s="471"/>
    </row>
    <row r="3" spans="2:20" s="469" customFormat="1" x14ac:dyDescent="0.25">
      <c r="B3" s="472" t="s">
        <v>2336</v>
      </c>
      <c r="C3" s="858"/>
      <c r="E3" s="735" t="str">
        <f>'2. Roles &amp; Pricing'!L3</f>
        <v>ROPE Ready for Upload</v>
      </c>
      <c r="F3" s="729"/>
      <c r="G3" s="732"/>
      <c r="H3" s="736"/>
      <c r="J3" s="470"/>
      <c r="K3" s="471"/>
    </row>
    <row r="4" spans="2:20" s="469" customFormat="1" x14ac:dyDescent="0.25">
      <c r="B4" s="620"/>
      <c r="C4" s="620"/>
      <c r="D4" s="621"/>
      <c r="E4" s="729"/>
      <c r="F4" s="732"/>
      <c r="G4" s="737"/>
      <c r="H4" s="729"/>
      <c r="I4" s="739"/>
      <c r="J4" s="470"/>
      <c r="K4" s="471"/>
    </row>
    <row r="5" spans="2:20" ht="5.55" customHeight="1" x14ac:dyDescent="0.25">
      <c r="B5" s="570"/>
      <c r="C5" s="570"/>
      <c r="D5" s="433"/>
      <c r="E5" s="571"/>
      <c r="F5" s="413"/>
      <c r="G5" s="572"/>
      <c r="H5" s="572"/>
      <c r="I5" s="413"/>
      <c r="J5" s="476"/>
      <c r="K5" s="477"/>
    </row>
    <row r="6" spans="2:20" ht="17.399999999999999" x14ac:dyDescent="0.25">
      <c r="B6" s="740" t="s">
        <v>2</v>
      </c>
      <c r="C6" s="573"/>
      <c r="D6" s="574"/>
      <c r="E6" s="575"/>
      <c r="F6" s="454"/>
      <c r="G6" s="572"/>
      <c r="H6" s="572"/>
      <c r="I6" s="413"/>
      <c r="J6" s="476"/>
      <c r="K6" s="477"/>
    </row>
    <row r="7" spans="2:20" x14ac:dyDescent="0.25">
      <c r="B7" s="1873" t="s">
        <v>3282</v>
      </c>
      <c r="C7" s="1873"/>
      <c r="D7" s="1873"/>
      <c r="E7" s="1873"/>
      <c r="F7" s="1873"/>
      <c r="G7" s="448"/>
      <c r="H7" s="448"/>
      <c r="I7" s="413"/>
      <c r="J7" s="476"/>
      <c r="K7" s="477"/>
    </row>
    <row r="8" spans="2:20" x14ac:dyDescent="0.25">
      <c r="B8" s="404"/>
      <c r="C8" s="570"/>
      <c r="D8" s="433"/>
      <c r="E8" s="571"/>
      <c r="F8" s="413"/>
      <c r="G8" s="572"/>
      <c r="H8" s="572"/>
      <c r="I8" s="413"/>
      <c r="J8" s="476"/>
      <c r="K8" s="477"/>
    </row>
    <row r="9" spans="2:20" ht="17.399999999999999" x14ac:dyDescent="0.25">
      <c r="B9" s="859" t="s">
        <v>2312</v>
      </c>
      <c r="C9" s="576"/>
      <c r="D9" s="577"/>
      <c r="E9" s="578"/>
      <c r="F9" s="578"/>
      <c r="G9" s="561"/>
      <c r="H9" s="561"/>
      <c r="I9" s="561"/>
    </row>
    <row r="10" spans="2:20" ht="21" customHeight="1" x14ac:dyDescent="0.25">
      <c r="B10" s="1733" t="s">
        <v>2379</v>
      </c>
      <c r="C10" s="1733"/>
      <c r="D10" s="1733"/>
      <c r="E10" s="1733"/>
      <c r="F10" s="1733"/>
      <c r="H10" s="579"/>
    </row>
    <row r="11" spans="2:20" ht="16.95" customHeight="1" x14ac:dyDescent="0.25">
      <c r="B11" s="1658" t="s">
        <v>2199</v>
      </c>
      <c r="C11" s="1659"/>
      <c r="D11" s="480"/>
      <c r="E11" s="1872"/>
      <c r="F11" s="1872"/>
      <c r="G11" s="413"/>
      <c r="J11" s="580"/>
      <c r="K11" s="486"/>
      <c r="S11" s="414"/>
      <c r="T11" s="414"/>
    </row>
    <row r="12" spans="2:20" x14ac:dyDescent="0.25">
      <c r="B12" s="865" t="s">
        <v>15</v>
      </c>
      <c r="C12" s="1401" t="str">
        <f>IF('2. Roles &amp; Pricing'!E18="Select Office","Complete Project Inputs",'2. Roles &amp; Pricing'!E18)</f>
        <v>Dallas</v>
      </c>
      <c r="D12" s="494"/>
      <c r="E12" s="581"/>
      <c r="F12" s="582"/>
      <c r="G12" s="413"/>
      <c r="K12" s="583"/>
      <c r="S12" s="584"/>
      <c r="T12" s="461"/>
    </row>
    <row r="13" spans="2:20" x14ac:dyDescent="0.25">
      <c r="B13" s="961" t="s">
        <v>1304</v>
      </c>
      <c r="C13" s="1402" t="str">
        <f>IF(ISBLANK('2. Roles &amp; Pricing'!E19)," ",'2. Roles &amp; Pricing'!E19)</f>
        <v>C Spire</v>
      </c>
      <c r="D13" s="585"/>
      <c r="E13" s="581"/>
      <c r="F13" s="586"/>
      <c r="G13" s="413"/>
      <c r="K13" s="583"/>
      <c r="S13" s="581"/>
      <c r="T13" s="461"/>
    </row>
    <row r="14" spans="2:20" x14ac:dyDescent="0.25">
      <c r="B14" s="961" t="s">
        <v>3573</v>
      </c>
      <c r="C14" s="1402" t="str">
        <f>'2. Roles &amp; Pricing'!E20</f>
        <v>TA Digital</v>
      </c>
      <c r="D14" s="585"/>
      <c r="G14" s="413"/>
      <c r="K14" s="583"/>
      <c r="S14" s="581"/>
      <c r="T14" s="461"/>
    </row>
    <row r="15" spans="2:20" x14ac:dyDescent="0.25">
      <c r="B15" s="961" t="s">
        <v>19</v>
      </c>
      <c r="C15" s="1402" t="str">
        <f>'2. Roles &amp; Pricing'!E21</f>
        <v>TA Digital</v>
      </c>
      <c r="D15" s="494"/>
      <c r="E15" s="1872"/>
      <c r="F15" s="1872"/>
      <c r="G15" s="413"/>
      <c r="K15" s="507"/>
      <c r="S15" s="581"/>
      <c r="T15" s="461"/>
    </row>
    <row r="16" spans="2:20" x14ac:dyDescent="0.25">
      <c r="B16" s="961" t="s">
        <v>3298</v>
      </c>
      <c r="C16" s="1402" t="str">
        <f>'2. Roles &amp; Pricing'!E22</f>
        <v>No</v>
      </c>
      <c r="D16" s="494"/>
      <c r="E16" s="581"/>
      <c r="F16" s="587"/>
      <c r="G16" s="413"/>
      <c r="K16" s="588"/>
      <c r="S16" s="581"/>
      <c r="T16" s="461"/>
    </row>
    <row r="17" spans="2:20" x14ac:dyDescent="0.25">
      <c r="B17" s="962" t="s">
        <v>2064</v>
      </c>
      <c r="C17" s="1402">
        <f>'2. Roles &amp; Pricing'!E23</f>
        <v>1324</v>
      </c>
      <c r="D17" s="494"/>
      <c r="E17" s="581"/>
      <c r="F17" s="589"/>
      <c r="G17" s="413"/>
      <c r="K17" s="590"/>
      <c r="S17" s="591"/>
      <c r="T17" s="411"/>
    </row>
    <row r="18" spans="2:20" x14ac:dyDescent="0.25">
      <c r="B18" s="962" t="s">
        <v>22</v>
      </c>
      <c r="C18" s="1402" t="str">
        <f>'2. Roles &amp; Pricing'!E24</f>
        <v>Test Digital Project</v>
      </c>
      <c r="D18" s="592"/>
      <c r="E18" s="581"/>
      <c r="F18" s="589"/>
      <c r="G18" s="413"/>
      <c r="K18" s="590"/>
      <c r="S18" s="591"/>
      <c r="T18" s="411"/>
    </row>
    <row r="19" spans="2:20" x14ac:dyDescent="0.25">
      <c r="B19" s="962" t="s">
        <v>23</v>
      </c>
      <c r="C19" s="1403" t="str">
        <f>'2. Roles &amp; Pricing'!E25</f>
        <v>Digital - Systems Implementation</v>
      </c>
      <c r="D19" s="593"/>
      <c r="E19" s="581"/>
      <c r="F19" s="589"/>
      <c r="G19" s="413"/>
      <c r="K19" s="590"/>
      <c r="S19" s="591"/>
      <c r="T19" s="411"/>
    </row>
    <row r="20" spans="2:20" x14ac:dyDescent="0.25">
      <c r="B20" s="962" t="s">
        <v>49</v>
      </c>
      <c r="C20" s="1403" t="str">
        <f>'2. Roles &amp; Pricing'!E26</f>
        <v>Standard Rates</v>
      </c>
      <c r="D20" s="494"/>
      <c r="E20" s="581"/>
      <c r="F20" s="586"/>
      <c r="G20" s="413"/>
      <c r="S20" s="591"/>
      <c r="T20" s="411"/>
    </row>
    <row r="21" spans="2:20" x14ac:dyDescent="0.25">
      <c r="B21" s="961" t="s">
        <v>1890</v>
      </c>
      <c r="C21" s="1404">
        <f>'2. Roles &amp; Pricing'!E28</f>
        <v>45916</v>
      </c>
      <c r="D21" s="494"/>
      <c r="G21" s="413"/>
      <c r="S21" s="591"/>
      <c r="T21" s="411"/>
    </row>
    <row r="22" spans="2:20" ht="14.55" customHeight="1" x14ac:dyDescent="0.25">
      <c r="B22" s="961" t="s">
        <v>50</v>
      </c>
      <c r="C22" s="1405" t="str">
        <f>'2. Roles &amp; Pricing'!E29</f>
        <v>T&amp;M</v>
      </c>
      <c r="D22" s="585"/>
      <c r="E22" s="594"/>
      <c r="F22" s="594"/>
      <c r="G22" s="413"/>
      <c r="S22" s="581"/>
      <c r="T22" s="595"/>
    </row>
    <row r="23" spans="2:20" x14ac:dyDescent="0.25">
      <c r="B23" s="961" t="s">
        <v>27</v>
      </c>
      <c r="C23" s="1403">
        <f>'2. Roles &amp; Pricing'!E30</f>
        <v>30</v>
      </c>
      <c r="D23" s="413"/>
      <c r="E23" s="594"/>
      <c r="F23" s="594"/>
      <c r="G23" s="413"/>
      <c r="S23" s="581"/>
      <c r="T23" s="596"/>
    </row>
    <row r="24" spans="2:20" x14ac:dyDescent="0.25">
      <c r="B24" s="961" t="s">
        <v>1890</v>
      </c>
      <c r="C24" s="1404">
        <f>'1. Project Inputs'!C27</f>
        <v>45916</v>
      </c>
      <c r="D24" s="413"/>
      <c r="E24" s="594"/>
      <c r="F24" s="594"/>
      <c r="G24" s="413"/>
      <c r="S24" s="581"/>
      <c r="T24" s="596"/>
    </row>
    <row r="25" spans="2:20" x14ac:dyDescent="0.25">
      <c r="B25" s="961" t="s">
        <v>3211</v>
      </c>
      <c r="C25" s="1405" t="str">
        <f>IF(C14="Credera US","Projector","Dynamics")</f>
        <v>Dynamics</v>
      </c>
      <c r="D25" s="413"/>
      <c r="E25" s="594"/>
      <c r="F25" s="594"/>
      <c r="G25" s="413"/>
      <c r="S25" s="581"/>
      <c r="T25" s="596"/>
    </row>
    <row r="26" spans="2:20" x14ac:dyDescent="0.25">
      <c r="B26" s="963" t="s">
        <v>2066</v>
      </c>
      <c r="C26" s="1406">
        <f>'1. Project Inputs'!C29</f>
        <v>30</v>
      </c>
      <c r="D26" s="413"/>
      <c r="E26" s="594"/>
      <c r="F26" s="594"/>
      <c r="G26" s="413"/>
      <c r="S26" s="581"/>
      <c r="T26" s="596"/>
    </row>
    <row r="27" spans="2:20" hidden="1" x14ac:dyDescent="0.25">
      <c r="B27" s="956" t="s">
        <v>2276</v>
      </c>
      <c r="C27" s="957" t="str">
        <f>'1. Project Inputs'!C30</f>
        <v>Select Currency</v>
      </c>
      <c r="D27" s="413"/>
      <c r="E27" s="594"/>
      <c r="F27" s="594"/>
      <c r="G27" s="413"/>
      <c r="S27" s="581"/>
      <c r="T27" s="596"/>
    </row>
    <row r="28" spans="2:20" x14ac:dyDescent="0.25">
      <c r="B28" s="581"/>
      <c r="C28" s="599"/>
      <c r="D28" s="413"/>
      <c r="E28" s="594"/>
      <c r="F28" s="594"/>
      <c r="G28" s="413"/>
      <c r="S28" s="581"/>
      <c r="T28" s="596"/>
    </row>
    <row r="29" spans="2:20" ht="17.399999999999999" x14ac:dyDescent="0.25">
      <c r="B29" s="860" t="s">
        <v>2338</v>
      </c>
      <c r="C29" s="597"/>
      <c r="D29" s="454"/>
      <c r="E29" s="598"/>
      <c r="F29" s="598"/>
      <c r="G29" s="413"/>
      <c r="S29" s="581"/>
      <c r="T29" s="596"/>
    </row>
    <row r="30" spans="2:20" ht="17.399999999999999" x14ac:dyDescent="0.25">
      <c r="B30" s="1235"/>
      <c r="C30" s="599"/>
      <c r="D30" s="413"/>
      <c r="E30" s="594"/>
      <c r="F30" s="594"/>
      <c r="G30" s="413"/>
      <c r="S30" s="581"/>
      <c r="T30" s="596"/>
    </row>
    <row r="31" spans="2:20" ht="17.399999999999999" x14ac:dyDescent="0.25">
      <c r="B31" s="860" t="s">
        <v>2339</v>
      </c>
      <c r="C31" s="597"/>
      <c r="D31" s="454"/>
      <c r="E31" s="598"/>
      <c r="F31" s="598"/>
      <c r="G31" s="413"/>
      <c r="S31" s="581"/>
      <c r="T31" s="596"/>
    </row>
    <row r="32" spans="2:20" x14ac:dyDescent="0.25">
      <c r="B32" s="1733" t="s">
        <v>2337</v>
      </c>
      <c r="C32" s="1733"/>
      <c r="D32" s="1733"/>
      <c r="E32" s="1733"/>
      <c r="F32" s="1733"/>
      <c r="H32" s="579"/>
    </row>
    <row r="33" spans="2:20" x14ac:dyDescent="0.25">
      <c r="B33" s="1733" t="s">
        <v>3300</v>
      </c>
      <c r="C33" s="1733"/>
      <c r="D33" s="1733"/>
      <c r="E33" s="1733"/>
      <c r="F33" s="1733"/>
      <c r="G33" s="413"/>
      <c r="S33" s="581"/>
      <c r="T33" s="596"/>
    </row>
    <row r="34" spans="2:20" ht="17.399999999999999" x14ac:dyDescent="0.25">
      <c r="B34" s="1235"/>
      <c r="C34" s="599"/>
      <c r="D34" s="413"/>
      <c r="E34" s="594"/>
      <c r="F34" s="594"/>
      <c r="G34" s="413"/>
      <c r="S34" s="581"/>
      <c r="T34" s="596"/>
    </row>
    <row r="35" spans="2:20" x14ac:dyDescent="0.25">
      <c r="B35" s="1658" t="s">
        <v>3209</v>
      </c>
      <c r="C35" s="1659"/>
      <c r="D35" s="413"/>
      <c r="E35" s="594"/>
      <c r="F35" s="594"/>
      <c r="G35" s="413"/>
      <c r="S35" s="581"/>
      <c r="T35" s="596"/>
    </row>
    <row r="36" spans="2:20" x14ac:dyDescent="0.25">
      <c r="B36" s="964" t="s">
        <v>2080</v>
      </c>
      <c r="C36" s="1407">
        <f>C61</f>
        <v>787521</v>
      </c>
      <c r="D36" s="413"/>
      <c r="E36" s="594"/>
      <c r="F36" s="594"/>
      <c r="G36" s="413"/>
      <c r="S36" s="581"/>
      <c r="T36" s="596"/>
    </row>
    <row r="37" spans="2:20" x14ac:dyDescent="0.25">
      <c r="B37" s="963" t="s">
        <v>3227</v>
      </c>
      <c r="C37" s="1408">
        <f>C53</f>
        <v>0.53970619544390042</v>
      </c>
      <c r="D37" s="413"/>
      <c r="E37" s="594"/>
      <c r="F37" s="594"/>
      <c r="G37" s="413"/>
      <c r="S37" s="581"/>
      <c r="T37" s="596"/>
    </row>
    <row r="38" spans="2:20" x14ac:dyDescent="0.25">
      <c r="B38" s="581"/>
      <c r="C38" s="599"/>
      <c r="D38" s="413"/>
      <c r="E38" s="594"/>
      <c r="F38" s="594"/>
      <c r="G38" s="413"/>
      <c r="S38" s="581"/>
      <c r="T38" s="596"/>
    </row>
    <row r="39" spans="2:20" ht="17.399999999999999" x14ac:dyDescent="0.25">
      <c r="B39" s="860" t="s">
        <v>3197</v>
      </c>
      <c r="C39" s="597"/>
      <c r="D39" s="454"/>
      <c r="E39" s="598"/>
      <c r="F39" s="598"/>
      <c r="G39" s="413"/>
      <c r="S39" s="581"/>
      <c r="T39" s="596"/>
    </row>
    <row r="40" spans="2:20" x14ac:dyDescent="0.25">
      <c r="B40" s="1733" t="s">
        <v>3186</v>
      </c>
      <c r="C40" s="1733"/>
      <c r="D40" s="1733"/>
      <c r="E40" s="1733"/>
      <c r="F40" s="1733"/>
      <c r="H40" s="579"/>
    </row>
    <row r="41" spans="2:20" x14ac:dyDescent="0.25">
      <c r="B41" s="1733" t="s">
        <v>3283</v>
      </c>
      <c r="C41" s="1733"/>
      <c r="D41" s="1733"/>
      <c r="E41" s="1733"/>
      <c r="F41" s="1733"/>
      <c r="G41" s="413"/>
      <c r="S41" s="581"/>
      <c r="T41" s="596"/>
    </row>
    <row r="42" spans="2:20" ht="30" customHeight="1" x14ac:dyDescent="0.25">
      <c r="B42" s="1670" t="s">
        <v>3194</v>
      </c>
      <c r="C42" s="1670"/>
      <c r="D42" s="1670"/>
      <c r="E42" s="1670"/>
      <c r="F42" s="1670"/>
      <c r="G42" s="413"/>
      <c r="S42" s="581"/>
      <c r="T42" s="596"/>
    </row>
    <row r="43" spans="2:20" ht="17.399999999999999" x14ac:dyDescent="0.25">
      <c r="B43" s="1235"/>
      <c r="C43" s="599"/>
      <c r="D43" s="413"/>
      <c r="E43" s="594"/>
      <c r="F43" s="594"/>
      <c r="G43" s="413"/>
      <c r="S43" s="581"/>
      <c r="T43" s="596"/>
    </row>
    <row r="44" spans="2:20" x14ac:dyDescent="0.25">
      <c r="B44" s="1658" t="s">
        <v>3210</v>
      </c>
      <c r="C44" s="1659"/>
      <c r="D44" s="413"/>
      <c r="E44" s="594"/>
      <c r="F44" s="594"/>
      <c r="G44" s="413"/>
      <c r="S44" s="581"/>
      <c r="T44" s="596"/>
    </row>
    <row r="45" spans="2:20" x14ac:dyDescent="0.25">
      <c r="B45" s="964" t="s">
        <v>2087</v>
      </c>
      <c r="C45" s="1409">
        <f>IF(OR(C23="T&amp;M",C23="T&amp;M NTE"),C60,C61)</f>
        <v>787521</v>
      </c>
      <c r="D45" s="413"/>
      <c r="E45" s="594"/>
      <c r="F45" s="594"/>
      <c r="G45" s="413"/>
      <c r="S45" s="581"/>
      <c r="T45" s="596"/>
    </row>
    <row r="46" spans="2:20" x14ac:dyDescent="0.25">
      <c r="B46" s="961" t="s">
        <v>2088</v>
      </c>
      <c r="C46" s="1410">
        <f>COUNTA('2. Roles &amp; Pricing'!K48:K147)</f>
        <v>6</v>
      </c>
      <c r="D46" s="413"/>
      <c r="E46" s="594"/>
      <c r="F46" s="594"/>
      <c r="G46" s="413"/>
      <c r="S46" s="581"/>
      <c r="T46" s="596"/>
    </row>
    <row r="47" spans="2:20" x14ac:dyDescent="0.25">
      <c r="B47" s="961" t="s">
        <v>2089</v>
      </c>
      <c r="C47" s="1410">
        <f>J105</f>
        <v>0</v>
      </c>
      <c r="D47" s="413"/>
      <c r="E47" s="594"/>
      <c r="F47" s="594"/>
      <c r="G47" s="413"/>
      <c r="S47" s="581"/>
      <c r="T47" s="596"/>
    </row>
    <row r="48" spans="2:20" x14ac:dyDescent="0.25">
      <c r="B48" s="963" t="s">
        <v>2099</v>
      </c>
      <c r="C48" s="1411">
        <f>SUM('2. Roles &amp; Pricing'!D160:BC160)</f>
        <v>0</v>
      </c>
      <c r="D48" s="413" t="s">
        <v>13</v>
      </c>
      <c r="E48" s="594"/>
      <c r="F48" s="594"/>
      <c r="G48" s="413"/>
      <c r="S48" s="581"/>
      <c r="T48" s="596"/>
    </row>
    <row r="49" spans="2:20" x14ac:dyDescent="0.25">
      <c r="E49" s="594"/>
      <c r="F49" s="594"/>
      <c r="S49" s="581"/>
      <c r="T49" s="461"/>
    </row>
    <row r="50" spans="2:20" ht="21" customHeight="1" x14ac:dyDescent="0.25">
      <c r="B50" s="859" t="s">
        <v>3226</v>
      </c>
      <c r="C50" s="564"/>
      <c r="D50" s="475"/>
      <c r="E50" s="475"/>
      <c r="F50" s="475"/>
    </row>
    <row r="51" spans="2:20" ht="19.95" customHeight="1" x14ac:dyDescent="0.25">
      <c r="B51" s="1696" t="s">
        <v>2309</v>
      </c>
      <c r="C51" s="1696"/>
      <c r="D51" s="1696"/>
      <c r="E51" s="1696"/>
      <c r="F51" s="1696"/>
    </row>
    <row r="52" spans="2:20" ht="19.95" customHeight="1" x14ac:dyDescent="0.25">
      <c r="B52" s="1658" t="s">
        <v>3394</v>
      </c>
      <c r="C52" s="1659"/>
      <c r="E52" s="413"/>
      <c r="J52" s="492"/>
      <c r="K52" s="600"/>
      <c r="L52" s="492"/>
    </row>
    <row r="53" spans="2:20" x14ac:dyDescent="0.25">
      <c r="B53" s="1240" t="s">
        <v>1673</v>
      </c>
      <c r="C53" s="1412">
        <f>IFERROR((C72-C79)/C72,"")</f>
        <v>0.53970619544390042</v>
      </c>
      <c r="E53" s="413"/>
      <c r="J53" s="495"/>
      <c r="K53" s="601"/>
      <c r="L53" s="496"/>
    </row>
    <row r="54" spans="2:20" x14ac:dyDescent="0.25">
      <c r="B54" s="867" t="s">
        <v>111</v>
      </c>
      <c r="C54" s="1413">
        <f>IFERROR('2. Roles &amp; Pricing'!$D$289/'2. Roles &amp; Pricing'!M289,"")</f>
        <v>110.37463976945244</v>
      </c>
      <c r="E54" s="413"/>
      <c r="J54" s="495"/>
      <c r="K54" s="601"/>
      <c r="L54" s="496"/>
    </row>
    <row r="55" spans="2:20" x14ac:dyDescent="0.25">
      <c r="B55" s="1239" t="s">
        <v>2093</v>
      </c>
      <c r="C55" s="1414">
        <f>IFERROR(($C$71+$C$67*(1+C56)),"Enter Contingency % on Summary Inputs")</f>
        <v>811300</v>
      </c>
      <c r="E55" s="602"/>
      <c r="J55" s="495"/>
      <c r="K55" s="601"/>
      <c r="L55" s="496"/>
      <c r="T55" s="603"/>
    </row>
    <row r="56" spans="2:20" ht="13.95" customHeight="1" x14ac:dyDescent="0.25">
      <c r="B56" s="1567" t="s">
        <v>2079</v>
      </c>
      <c r="C56" s="1869">
        <f>'3. Financial Inputs'!C17</f>
        <v>0.05</v>
      </c>
      <c r="E56" s="484"/>
      <c r="J56" s="495"/>
      <c r="K56" s="601"/>
      <c r="L56" s="496"/>
    </row>
    <row r="57" spans="2:20" ht="13.95" customHeight="1" x14ac:dyDescent="0.25">
      <c r="B57" s="1568" t="s">
        <v>3414</v>
      </c>
      <c r="C57" s="1870"/>
      <c r="E57" s="484"/>
      <c r="J57" s="495"/>
      <c r="K57" s="601"/>
      <c r="L57" s="496"/>
    </row>
    <row r="58" spans="2:20" ht="13.95" customHeight="1" x14ac:dyDescent="0.25">
      <c r="B58" s="965" t="s">
        <v>1468</v>
      </c>
      <c r="C58" s="1415">
        <f>IF('3. Financial Inputs'!C67="",0,'3. Financial Inputs'!C67)</f>
        <v>61280</v>
      </c>
      <c r="E58" s="484"/>
      <c r="J58" s="495"/>
      <c r="K58" s="601"/>
      <c r="L58" s="496"/>
      <c r="T58" s="604"/>
    </row>
    <row r="59" spans="2:20" x14ac:dyDescent="0.25">
      <c r="B59" s="1236" t="s">
        <v>1674</v>
      </c>
      <c r="C59" s="1416">
        <f>SUM('3. Financial Inputs'!C85:C87)</f>
        <v>0</v>
      </c>
      <c r="E59" s="413"/>
      <c r="J59" s="495"/>
      <c r="K59" s="601"/>
      <c r="L59" s="496"/>
      <c r="T59" s="603"/>
    </row>
    <row r="60" spans="2:20" x14ac:dyDescent="0.25">
      <c r="B60" s="1237" t="s">
        <v>2085</v>
      </c>
      <c r="C60" s="1541">
        <f>IFERROR(C55-C58,"Incomplete Project Information")</f>
        <v>750020</v>
      </c>
      <c r="E60" s="484"/>
      <c r="J60" s="495"/>
      <c r="K60" s="601"/>
      <c r="L60" s="496"/>
      <c r="T60" s="605"/>
    </row>
    <row r="61" spans="2:20" x14ac:dyDescent="0.25">
      <c r="B61" s="1238" t="s">
        <v>2081</v>
      </c>
      <c r="C61" s="1540">
        <f>IFERROR(C60*(1+C56),"Incomplete Project Information")</f>
        <v>787521</v>
      </c>
      <c r="E61" s="413"/>
      <c r="J61" s="495"/>
      <c r="K61" s="601"/>
      <c r="L61" s="496"/>
      <c r="T61" s="603"/>
    </row>
    <row r="62" spans="2:20" ht="18" customHeight="1" x14ac:dyDescent="0.25">
      <c r="B62" s="606"/>
      <c r="E62" s="413"/>
      <c r="J62" s="495"/>
      <c r="K62" s="601"/>
      <c r="L62" s="496"/>
      <c r="T62" s="605"/>
    </row>
    <row r="63" spans="2:20" ht="18" customHeight="1" x14ac:dyDescent="0.25">
      <c r="B63" s="413"/>
      <c r="C63" s="413"/>
      <c r="D63" s="413"/>
      <c r="E63" s="413"/>
      <c r="J63" s="495"/>
      <c r="K63" s="601"/>
      <c r="L63" s="496"/>
      <c r="T63" s="605"/>
    </row>
    <row r="64" spans="2:20" ht="18" customHeight="1" x14ac:dyDescent="0.25">
      <c r="B64" s="859" t="s">
        <v>3317</v>
      </c>
      <c r="C64" s="576"/>
      <c r="D64" s="413"/>
      <c r="E64" s="1543"/>
      <c r="J64" s="495"/>
      <c r="K64" s="601"/>
      <c r="L64" s="496"/>
      <c r="T64" s="605"/>
    </row>
    <row r="65" spans="2:20" ht="28.95" customHeight="1" x14ac:dyDescent="0.25">
      <c r="B65" s="1868" t="s">
        <v>3195</v>
      </c>
      <c r="C65" s="1868"/>
      <c r="D65" s="1542"/>
      <c r="E65" s="1542"/>
      <c r="F65" s="1542"/>
      <c r="J65" s="495"/>
      <c r="K65" s="601"/>
      <c r="L65" s="496"/>
      <c r="T65" s="605"/>
    </row>
    <row r="66" spans="2:20" ht="18" customHeight="1" x14ac:dyDescent="0.25">
      <c r="B66" s="1660" t="s">
        <v>3395</v>
      </c>
      <c r="C66" s="1661"/>
      <c r="D66" s="413"/>
      <c r="E66" s="413"/>
      <c r="J66" s="495"/>
      <c r="K66" s="601"/>
      <c r="L66" s="496"/>
      <c r="T66" s="605"/>
    </row>
    <row r="67" spans="2:20" ht="18" customHeight="1" x14ac:dyDescent="0.25">
      <c r="B67" s="966" t="s">
        <v>3320</v>
      </c>
      <c r="C67" s="1417">
        <f>IFERROR('2. Roles &amp; Pricing'!D289,0)</f>
        <v>766000</v>
      </c>
      <c r="D67" s="413"/>
      <c r="E67" s="413"/>
      <c r="J67" s="495"/>
      <c r="K67" s="601"/>
      <c r="L67" s="496"/>
      <c r="T67" s="605"/>
    </row>
    <row r="68" spans="2:20" ht="18" customHeight="1" x14ac:dyDescent="0.25">
      <c r="B68" s="967" t="s">
        <v>2091</v>
      </c>
      <c r="C68" s="1419">
        <f>'3. Financial Inputs'!C77</f>
        <v>1500</v>
      </c>
      <c r="D68" s="413"/>
      <c r="E68" s="413"/>
      <c r="J68" s="495"/>
      <c r="K68" s="601"/>
      <c r="L68" s="496"/>
      <c r="T68" s="605"/>
    </row>
    <row r="69" spans="2:20" ht="18" customHeight="1" x14ac:dyDescent="0.25">
      <c r="B69" s="969" t="s">
        <v>3293</v>
      </c>
      <c r="C69" s="1420">
        <f>C67*C56</f>
        <v>38300</v>
      </c>
      <c r="D69" s="413"/>
      <c r="E69" s="413"/>
      <c r="J69" s="495"/>
      <c r="K69" s="601"/>
      <c r="L69" s="496"/>
      <c r="T69" s="605"/>
    </row>
    <row r="70" spans="2:20" ht="18" customHeight="1" x14ac:dyDescent="0.25">
      <c r="B70" s="969" t="s">
        <v>1468</v>
      </c>
      <c r="C70" s="1420">
        <f>-1*'3. Financial Inputs'!C67</f>
        <v>-61280</v>
      </c>
      <c r="D70" s="413"/>
      <c r="E70" s="413"/>
      <c r="J70" s="495"/>
      <c r="K70" s="601"/>
      <c r="L70" s="496"/>
      <c r="T70" s="605"/>
    </row>
    <row r="71" spans="2:20" x14ac:dyDescent="0.25">
      <c r="B71" s="969" t="s">
        <v>3318</v>
      </c>
      <c r="C71" s="1420">
        <f>'3. Financial Inputs'!C88</f>
        <v>7000</v>
      </c>
      <c r="D71" s="413"/>
      <c r="E71" s="413"/>
      <c r="J71" s="495"/>
      <c r="K71" s="601"/>
      <c r="L71" s="496"/>
    </row>
    <row r="72" spans="2:20" ht="18" customHeight="1" x14ac:dyDescent="0.25">
      <c r="B72" s="968" t="s">
        <v>3319</v>
      </c>
      <c r="C72" s="1421">
        <f>SUM(C67:C71)</f>
        <v>751520</v>
      </c>
      <c r="D72" s="413"/>
      <c r="E72" s="413"/>
      <c r="J72" s="495"/>
      <c r="K72" s="601"/>
      <c r="L72" s="496"/>
    </row>
    <row r="73" spans="2:20" x14ac:dyDescent="0.25">
      <c r="B73" s="1538"/>
      <c r="C73" s="1539"/>
      <c r="D73" s="413"/>
      <c r="E73" s="413"/>
      <c r="J73" s="495"/>
      <c r="K73" s="601"/>
      <c r="L73" s="496"/>
    </row>
    <row r="74" spans="2:20" ht="17.399999999999999" x14ac:dyDescent="0.25">
      <c r="B74" s="859" t="s">
        <v>3315</v>
      </c>
      <c r="C74" s="576"/>
      <c r="D74" s="413"/>
      <c r="E74" s="413"/>
      <c r="J74" s="495"/>
      <c r="K74" s="601"/>
      <c r="L74" s="496"/>
    </row>
    <row r="75" spans="2:20" ht="28.5" customHeight="1" x14ac:dyDescent="0.25">
      <c r="B75" s="1868" t="s">
        <v>3195</v>
      </c>
      <c r="C75" s="1868"/>
      <c r="D75" s="1542"/>
      <c r="E75" s="1542"/>
      <c r="F75" s="1542"/>
      <c r="J75" s="495"/>
      <c r="K75" s="601"/>
      <c r="L75" s="496"/>
    </row>
    <row r="76" spans="2:20" x14ac:dyDescent="0.25">
      <c r="B76" s="1660" t="s">
        <v>3316</v>
      </c>
      <c r="C76" s="1661"/>
      <c r="D76" s="413"/>
      <c r="E76" s="413"/>
      <c r="J76" s="495"/>
      <c r="K76" s="601"/>
      <c r="L76" s="496"/>
    </row>
    <row r="77" spans="2:20" x14ac:dyDescent="0.25">
      <c r="B77" s="967" t="s">
        <v>239</v>
      </c>
      <c r="C77" s="1418">
        <f>SUM('2. Roles &amp; Pricing'!$F$291:$F$390)</f>
        <v>343920</v>
      </c>
      <c r="D77" s="413"/>
      <c r="E77" s="413"/>
      <c r="J77" s="495"/>
      <c r="K77" s="601"/>
      <c r="L77" s="496"/>
    </row>
    <row r="78" spans="2:20" ht="13.95" customHeight="1" x14ac:dyDescent="0.25">
      <c r="B78" s="967" t="s">
        <v>2090</v>
      </c>
      <c r="C78" s="1419">
        <f>'3. Financial Inputs'!C78</f>
        <v>2000</v>
      </c>
      <c r="D78" s="413"/>
      <c r="E78" s="413"/>
      <c r="J78" s="495"/>
      <c r="K78" s="601"/>
      <c r="L78" s="496"/>
    </row>
    <row r="79" spans="2:20" ht="16.5" customHeight="1" x14ac:dyDescent="0.25">
      <c r="B79" s="968" t="s">
        <v>2092</v>
      </c>
      <c r="C79" s="1421">
        <f>SUM(C77:C78)</f>
        <v>345920</v>
      </c>
      <c r="D79" s="413"/>
      <c r="E79" s="413"/>
      <c r="J79" s="495"/>
      <c r="K79" s="601"/>
      <c r="L79" s="496"/>
    </row>
    <row r="80" spans="2:20" x14ac:dyDescent="0.25">
      <c r="B80" s="413"/>
      <c r="C80" s="413"/>
      <c r="D80" s="413"/>
      <c r="E80" s="413"/>
      <c r="J80" s="441"/>
      <c r="K80" s="442"/>
      <c r="L80" s="501"/>
    </row>
    <row r="81" spans="2:12" x14ac:dyDescent="0.25">
      <c r="B81" s="413"/>
      <c r="C81" s="413"/>
      <c r="D81" s="413"/>
      <c r="E81" s="413"/>
      <c r="F81" s="607"/>
      <c r="G81" s="501"/>
      <c r="H81" s="608"/>
      <c r="I81" s="608"/>
    </row>
    <row r="82" spans="2:12" ht="17.399999999999999" x14ac:dyDescent="0.3">
      <c r="B82" s="861" t="s">
        <v>3321</v>
      </c>
      <c r="C82" s="475"/>
      <c r="D82" s="475"/>
      <c r="E82" s="475"/>
      <c r="F82" s="475"/>
    </row>
    <row r="83" spans="2:12" x14ac:dyDescent="0.25">
      <c r="B83" s="1867"/>
      <c r="C83" s="1867"/>
      <c r="D83" s="1867"/>
      <c r="E83" s="1867"/>
      <c r="F83" s="1867"/>
      <c r="L83" s="412"/>
    </row>
    <row r="84" spans="2:12" x14ac:dyDescent="0.25">
      <c r="B84" s="1860" t="s">
        <v>188</v>
      </c>
      <c r="C84" s="1861"/>
      <c r="E84" s="429"/>
      <c r="L84" s="412"/>
    </row>
    <row r="85" spans="2:12" x14ac:dyDescent="0.25">
      <c r="B85" s="1148" t="s">
        <v>190</v>
      </c>
      <c r="C85" s="1463">
        <f>IFERROR((SUMIF('2. Roles &amp; Pricing'!W48:W147,"Offshore",'2. Roles &amp; Pricing'!D291:D390))/SUMIF('2. Roles &amp; Pricing'!W48:W147,"Offshore",'2. Roles &amp; Pricing'!M291:M390),"")</f>
        <v>48.684210526315788</v>
      </c>
      <c r="E85" s="429"/>
      <c r="L85" s="412"/>
    </row>
    <row r="86" spans="2:12" x14ac:dyDescent="0.25">
      <c r="B86" s="1149" t="s">
        <v>191</v>
      </c>
      <c r="C86" s="1422">
        <f>IFERROR((SUMIF('2. Roles &amp; Pricing'!W48:W147,"Onshore",'2. Roles &amp; Pricing'!D291:D390))/SUMIF('2. Roles &amp; Pricing'!W48:W147,"Onshore",'2. Roles &amp; Pricing'!M291:M390),"")</f>
        <v>171.66666666666666</v>
      </c>
      <c r="E86" s="429"/>
      <c r="L86" s="412"/>
    </row>
    <row r="87" spans="2:12" x14ac:dyDescent="0.25">
      <c r="B87" s="1149" t="s">
        <v>192</v>
      </c>
      <c r="C87" s="1423">
        <f>IFERROR((COUNTIF('2. Roles &amp; Pricing'!W48:W147,"Offshore")/SUM(COUNTIF('2. Roles &amp; Pricing'!W48:W147,"Onshore"),COUNTIF('2. Roles &amp; Pricing'!W48:W147,"Offshore"))),"")</f>
        <v>0.5</v>
      </c>
      <c r="E87" s="429"/>
      <c r="L87" s="412"/>
    </row>
    <row r="88" spans="2:12" x14ac:dyDescent="0.25">
      <c r="B88" s="1149" t="s">
        <v>111</v>
      </c>
      <c r="C88" s="1422">
        <f>IFERROR('2. Roles &amp; Pricing'!D289/'2. Roles &amp; Pricing'!M289,"")</f>
        <v>110.37463976945244</v>
      </c>
      <c r="E88" s="429"/>
      <c r="L88" s="412"/>
    </row>
    <row r="89" spans="2:12" x14ac:dyDescent="0.25">
      <c r="B89" s="1149" t="s">
        <v>194</v>
      </c>
      <c r="C89" s="1424">
        <f>COUNTIF('2. Roles &amp; Pricing'!$Y48:$Y147,"&gt;=21")</f>
        <v>6</v>
      </c>
      <c r="E89" s="429"/>
      <c r="L89" s="412"/>
    </row>
    <row r="90" spans="2:12" x14ac:dyDescent="0.25">
      <c r="B90" s="1149" t="s">
        <v>195</v>
      </c>
      <c r="C90" s="1424">
        <f>COUNTIFS('2. Roles &amp; Pricing'!Y48:Y147,"&lt;=20")</f>
        <v>1</v>
      </c>
      <c r="E90" s="429"/>
      <c r="L90" s="412"/>
    </row>
    <row r="91" spans="2:12" x14ac:dyDescent="0.25">
      <c r="B91" s="1149" t="s">
        <v>196</v>
      </c>
      <c r="C91" s="1425">
        <f>'2. Roles &amp; Pricing'!M289</f>
        <v>6940</v>
      </c>
      <c r="E91" s="429"/>
      <c r="L91" s="412"/>
    </row>
    <row r="92" spans="2:12" x14ac:dyDescent="0.25">
      <c r="B92" s="1150" t="s">
        <v>197</v>
      </c>
      <c r="C92" s="1426">
        <f>IFERROR(SUM(SUMIFS('2. Roles &amp; Pricing'!M291:M390,'2. Roles &amp; Pricing'!V48:V147,"7"),SUMIFS('2. Roles &amp; Pricing'!M291:M390,'2. Roles &amp; Pricing'!V48:V147,"6"))/('2. Roles &amp; Pricing'!M289),"")</f>
        <v>0</v>
      </c>
      <c r="E92" s="429"/>
      <c r="L92" s="412"/>
    </row>
    <row r="93" spans="2:12" x14ac:dyDescent="0.25">
      <c r="B93" s="1121" t="s">
        <v>198</v>
      </c>
      <c r="C93" s="1427">
        <f>COUNTA('2. Roles &amp; Pricing'!K48:K147)</f>
        <v>6</v>
      </c>
      <c r="E93" s="429"/>
      <c r="L93" s="412"/>
    </row>
    <row r="94" spans="2:12" x14ac:dyDescent="0.25">
      <c r="E94" s="429"/>
      <c r="L94" s="412"/>
    </row>
    <row r="95" spans="2:12" x14ac:dyDescent="0.25">
      <c r="E95" s="429"/>
      <c r="L95" s="412"/>
    </row>
    <row r="96" spans="2:12" x14ac:dyDescent="0.25">
      <c r="B96" s="1660" t="s">
        <v>199</v>
      </c>
      <c r="C96" s="1866"/>
      <c r="D96" s="1866"/>
      <c r="E96" s="1866"/>
      <c r="F96" s="1661"/>
      <c r="H96" s="1865"/>
      <c r="I96" s="1865"/>
      <c r="J96" s="1865"/>
    </row>
    <row r="97" spans="2:10" x14ac:dyDescent="0.25">
      <c r="B97" s="718" t="s">
        <v>200</v>
      </c>
      <c r="C97" s="719" t="s">
        <v>103</v>
      </c>
      <c r="D97" s="720" t="s">
        <v>201</v>
      </c>
      <c r="E97" s="721" t="s">
        <v>202</v>
      </c>
      <c r="F97" s="722" t="s">
        <v>227</v>
      </c>
      <c r="H97" s="603"/>
      <c r="I97" s="458"/>
      <c r="J97" s="458"/>
    </row>
    <row r="98" spans="2:10" x14ac:dyDescent="0.25">
      <c r="B98" s="1151" t="s">
        <v>203</v>
      </c>
      <c r="C98" s="1428">
        <f>SUMIF('2. Roles &amp; Pricing'!$C$48:$C$147,"CrederaUS",'2. Roles &amp; Pricing'!$M$291:$M$390)</f>
        <v>0</v>
      </c>
      <c r="D98" s="1429">
        <f>IFERROR(C98/'2. Roles &amp; Pricing'!$M$289,"")</f>
        <v>0</v>
      </c>
      <c r="E98" s="1430">
        <f>SUMIF('2. Roles &amp; Pricing'!$C$48:$C$147,"CrederaUS",'2. Roles &amp; Pricing'!$D$291:$D$390)</f>
        <v>0</v>
      </c>
      <c r="F98" s="1431">
        <f>IFERROR(E98/'2. Roles &amp; Pricing'!$D$289,"No Entity Revenue")</f>
        <v>0</v>
      </c>
      <c r="H98" s="458"/>
      <c r="I98" s="496"/>
      <c r="J98" s="508"/>
    </row>
    <row r="99" spans="2:10" x14ac:dyDescent="0.25">
      <c r="B99" s="1152" t="s">
        <v>204</v>
      </c>
      <c r="C99" s="1432">
        <f>SUMIFS('2. Roles &amp; Pricing'!$M$291:$M$390,'2. Roles &amp; Pricing'!$C$48:$C$147,"TADIndia")+SUMIFS('2. Roles &amp; Pricing'!$M$291:$M$390,'2. Roles &amp; Pricing'!$C$48:$C$147,"TADNorthAmerica")</f>
        <v>6640</v>
      </c>
      <c r="D99" s="1429">
        <f>IFERROR(C99/'2. Roles &amp; Pricing'!$M$289,"")</f>
        <v>0.95677233429394815</v>
      </c>
      <c r="E99" s="1433">
        <f>SUMIF('2. Roles &amp; Pricing'!$C$48:$C$147,"TADIndia",'2. Roles &amp; Pricing'!$D$291:$D$390)+SUMIF('2. Roles &amp; Pricing'!$C$48:$C$147,"TADNorthAmerica",'2. Roles &amp; Pricing'!$D$291:$D$390)</f>
        <v>766000</v>
      </c>
      <c r="F99" s="1434">
        <f>IFERROR(E99/'2. Roles &amp; Pricing'!$D$289,"No Entity Revenue")</f>
        <v>1</v>
      </c>
      <c r="H99" s="458"/>
      <c r="I99" s="496"/>
      <c r="J99" s="508"/>
    </row>
    <row r="100" spans="2:10" hidden="1" x14ac:dyDescent="0.25">
      <c r="B100" s="1152" t="s">
        <v>205</v>
      </c>
      <c r="C100" s="1432">
        <f>SUMIF('2. Roles &amp; Pricing'!$C$48:$C$147,"BrightGen",'2. Roles &amp; Pricing'!$M$291:$M$390)</f>
        <v>0</v>
      </c>
      <c r="D100" s="1429">
        <f>IFERROR(C100/'2. Roles &amp; Pricing'!$M$289,"")</f>
        <v>0</v>
      </c>
      <c r="E100" s="1433">
        <f>SUMIF('2. Roles &amp; Pricing'!$C$48:$C$147,"BrightGen",'2. Roles &amp; Pricing'!$D$291:$D$390)</f>
        <v>0</v>
      </c>
      <c r="F100" s="1434">
        <f>IFERROR(E100/'2. Roles &amp; Pricing'!$D$289,"No Entity Revenue")</f>
        <v>0</v>
      </c>
      <c r="H100" s="458"/>
      <c r="I100" s="496"/>
      <c r="J100" s="508"/>
    </row>
    <row r="101" spans="2:10" hidden="1" x14ac:dyDescent="0.25">
      <c r="B101" s="1153" t="s">
        <v>206</v>
      </c>
      <c r="C101" s="1432">
        <f>SUMIF('2. Roles &amp; Pricing'!$C$48:$C$147,"CrederaUK",'2. Roles &amp; Pricing'!$M$291:$M$390)</f>
        <v>0</v>
      </c>
      <c r="D101" s="1429">
        <f>IFERROR(C101/'2. Roles &amp; Pricing'!$M$289,"")</f>
        <v>0</v>
      </c>
      <c r="E101" s="1433">
        <f>SUMIF('2. Roles &amp; Pricing'!$C$48:$C$147,"CrederaUK",'2. Roles &amp; Pricing'!$D$291:$D$390)</f>
        <v>0</v>
      </c>
      <c r="F101" s="1434">
        <f>IFERROR(E101/'2. Roles &amp; Pricing'!$D$289,"No Entity Revenue")</f>
        <v>0</v>
      </c>
      <c r="H101" s="458"/>
      <c r="I101" s="496"/>
      <c r="J101" s="508"/>
    </row>
    <row r="102" spans="2:10" hidden="1" x14ac:dyDescent="0.25">
      <c r="B102" s="1153" t="s">
        <v>207</v>
      </c>
      <c r="C102" s="1432">
        <f>SUMIF('2. Roles &amp; Pricing'!$C$48:$C$147,"SmartDigital",'2. Roles &amp; Pricing'!$M$291:$M$390)</f>
        <v>0</v>
      </c>
      <c r="D102" s="1429">
        <f>IFERROR(C102/'2. Roles &amp; Pricing'!$M$289,"")</f>
        <v>0</v>
      </c>
      <c r="E102" s="1433">
        <f>SUMIF('2. Roles &amp; Pricing'!$C$48:$C$147,"SmartDigital",'2. Roles &amp; Pricing'!$D$291:$D$390)</f>
        <v>0</v>
      </c>
      <c r="F102" s="1434">
        <f>IFERROR(E102/'2. Roles &amp; Pricing'!$D$289,"No Entity Revenue")</f>
        <v>0</v>
      </c>
      <c r="H102" s="458"/>
      <c r="I102" s="496"/>
      <c r="J102" s="508"/>
    </row>
    <row r="103" spans="2:10" x14ac:dyDescent="0.25">
      <c r="B103" s="1154" t="s">
        <v>208</v>
      </c>
      <c r="C103" s="1435">
        <f>SUMIFS('2. Roles &amp; Pricing'!$M$291:$M$390,'2. Roles &amp; Pricing'!$C$48:$C$147,"CrederaIndia")+SUMIFS('2. Roles &amp; Pricing'!$M$291:$M$390,'2. Roles &amp; Pricing'!$C$48:$C$147,"CrederaLATAM")</f>
        <v>0</v>
      </c>
      <c r="D103" s="1429">
        <f>IFERROR(C103/'2. Roles &amp; Pricing'!$M$289,"")</f>
        <v>0</v>
      </c>
      <c r="E103" s="1433">
        <f>SUMIF('2. Roles &amp; Pricing'!$C$48:$C$147,"CrederaLATAM",'2. Roles &amp; Pricing'!$D$291:$D$390)+SUMIF('2. Roles &amp; Pricing'!$C$48:$C$147,"CrederaIndia",'2. Roles &amp; Pricing'!$D$291:$D$390)</f>
        <v>0</v>
      </c>
      <c r="F103" s="1434">
        <f>IFERROR(E103/'2. Roles &amp; Pricing'!$D$289,"No Entity Revenue")</f>
        <v>0</v>
      </c>
      <c r="H103" s="458"/>
      <c r="I103" s="496"/>
      <c r="J103" s="508"/>
    </row>
    <row r="104" spans="2:10" hidden="1" x14ac:dyDescent="0.25">
      <c r="B104" s="1153" t="s">
        <v>209</v>
      </c>
      <c r="C104" s="1436" t="s">
        <v>210</v>
      </c>
      <c r="D104" s="1437" t="s">
        <v>210</v>
      </c>
      <c r="E104" s="1438" t="s">
        <v>210</v>
      </c>
      <c r="F104" s="1439" t="s">
        <v>210</v>
      </c>
      <c r="H104" s="458"/>
      <c r="I104" s="496"/>
      <c r="J104" s="508"/>
    </row>
    <row r="105" spans="2:10" hidden="1" x14ac:dyDescent="0.25">
      <c r="B105" s="1155" t="s">
        <v>211</v>
      </c>
      <c r="C105" s="1440">
        <f>SUMIF('2. Roles &amp; Pricing'!$C$48:$C$147,"Areteans",'2. Roles &amp; Pricing'!$AG$48:$AG$147)</f>
        <v>0</v>
      </c>
      <c r="D105" s="1441" t="str">
        <f>IFERROR(C105/'2. Roles &amp; Pricing'!#REF!,"")</f>
        <v/>
      </c>
      <c r="E105" s="1442">
        <f>SUMIF('2. Roles &amp; Pricing'!$C$48:$C$147,"Areteans",'2. Roles &amp; Pricing'!$D$291:$D$390)</f>
        <v>0</v>
      </c>
      <c r="F105" s="1443">
        <f>IFERROR(E105/'2. Roles &amp; Pricing'!$D$289,"")</f>
        <v>0</v>
      </c>
      <c r="H105" s="458"/>
      <c r="I105" s="496"/>
      <c r="J105" s="508"/>
    </row>
    <row r="106" spans="2:10" x14ac:dyDescent="0.25">
      <c r="B106" s="609"/>
      <c r="C106" s="610"/>
      <c r="D106" s="611"/>
      <c r="E106" s="612"/>
      <c r="F106" s="613"/>
      <c r="H106" s="458"/>
      <c r="I106" s="496"/>
      <c r="J106" s="508"/>
    </row>
    <row r="107" spans="2:10" x14ac:dyDescent="0.25">
      <c r="B107" s="1862" t="s">
        <v>226</v>
      </c>
      <c r="C107" s="1863"/>
      <c r="D107" s="1864"/>
      <c r="E107" s="612"/>
      <c r="F107" s="613"/>
      <c r="H107" s="458"/>
      <c r="I107" s="496"/>
      <c r="J107" s="508"/>
    </row>
    <row r="108" spans="2:10" x14ac:dyDescent="0.25">
      <c r="B108" s="723" t="s">
        <v>228</v>
      </c>
      <c r="C108" s="720" t="s">
        <v>103</v>
      </c>
      <c r="D108" s="720" t="s">
        <v>201</v>
      </c>
      <c r="E108" s="612"/>
      <c r="F108" s="613"/>
      <c r="H108" s="458"/>
      <c r="I108" s="496"/>
      <c r="J108" s="508"/>
    </row>
    <row r="109" spans="2:10" x14ac:dyDescent="0.25">
      <c r="B109" s="986" t="s">
        <v>1736</v>
      </c>
      <c r="C109" s="1444">
        <f>IFERROR(SUMIF('2. Roles &amp; Pricing'!$N$48:$N$147,0,'2. Roles &amp; Pricing'!$M$291:$M$390),"")</f>
        <v>300</v>
      </c>
      <c r="D109" s="1445">
        <f>IFERROR(C109/'2. Roles &amp; Pricing'!$M$289,"")</f>
        <v>4.3227665706051875E-2</v>
      </c>
      <c r="E109" s="612"/>
      <c r="F109" s="613"/>
      <c r="H109" s="458"/>
      <c r="I109" s="496"/>
      <c r="J109" s="508"/>
    </row>
    <row r="110" spans="2:10" x14ac:dyDescent="0.25">
      <c r="B110" s="978" t="s">
        <v>229</v>
      </c>
      <c r="C110" s="1446">
        <f>IFERROR(SUMIF('2. Roles &amp; Pricing'!$N$48:$N$147,1,'2. Roles &amp; Pricing'!$M$291:$M$390),"")</f>
        <v>0</v>
      </c>
      <c r="D110" s="1447">
        <f>IFERROR(C110/'2. Roles &amp; Pricing'!$M$289,"")</f>
        <v>0</v>
      </c>
      <c r="E110" s="612"/>
      <c r="F110" s="613"/>
      <c r="H110" s="458"/>
      <c r="I110" s="496"/>
      <c r="J110" s="508"/>
    </row>
    <row r="111" spans="2:10" x14ac:dyDescent="0.25">
      <c r="B111" s="978" t="s">
        <v>113</v>
      </c>
      <c r="C111" s="1446">
        <f>IFERROR(SUMIF('2. Roles &amp; Pricing'!$N$48:$N$147,2,'2. Roles &amp; Pricing'!$M$291:$M$390),"")</f>
        <v>5440</v>
      </c>
      <c r="D111" s="1447">
        <f>IFERROR(C111/'2. Roles &amp; Pricing'!$M$289,"")</f>
        <v>0.78386167146974062</v>
      </c>
      <c r="E111" s="612"/>
      <c r="F111" s="613"/>
      <c r="H111" s="458"/>
      <c r="I111" s="496"/>
      <c r="J111" s="508"/>
    </row>
    <row r="112" spans="2:10" x14ac:dyDescent="0.25">
      <c r="B112" s="978" t="s">
        <v>114</v>
      </c>
      <c r="C112" s="1446">
        <f>IFERROR(SUMIF('2. Roles &amp; Pricing'!$N$48:$N$147,3,'2. Roles &amp; Pricing'!$M$291:$M$390),"")</f>
        <v>1200</v>
      </c>
      <c r="D112" s="1447">
        <f>IFERROR(C112/'2. Roles &amp; Pricing'!$M$289,"")</f>
        <v>0.1729106628242075</v>
      </c>
      <c r="E112" s="612"/>
      <c r="F112" s="613"/>
      <c r="H112" s="458"/>
      <c r="I112" s="496"/>
      <c r="J112" s="508"/>
    </row>
    <row r="113" spans="2:16" x14ac:dyDescent="0.25">
      <c r="B113" s="978" t="s">
        <v>115</v>
      </c>
      <c r="C113" s="1446">
        <f>IFERROR(SUMIF('2. Roles &amp; Pricing'!$N$48:$N$147,4,'2. Roles &amp; Pricing'!$M$291:$M$390),"")</f>
        <v>0</v>
      </c>
      <c r="D113" s="1447">
        <f>IFERROR(C113/'2. Roles &amp; Pricing'!$M$289,"")</f>
        <v>0</v>
      </c>
      <c r="E113" s="612"/>
      <c r="F113" s="613"/>
      <c r="H113" s="458"/>
      <c r="I113" s="496"/>
      <c r="J113" s="508"/>
    </row>
    <row r="114" spans="2:16" x14ac:dyDescent="0.25">
      <c r="B114" s="978" t="s">
        <v>116</v>
      </c>
      <c r="C114" s="1446">
        <f>IFERROR(SUMIF('2. Roles &amp; Pricing'!$N$48:$N$147,5,'2. Roles &amp; Pricing'!$M$291:$M$390),"")</f>
        <v>0</v>
      </c>
      <c r="D114" s="1447">
        <f>IFERROR(C114/'2. Roles &amp; Pricing'!$M$289,"")</f>
        <v>0</v>
      </c>
      <c r="K114" s="413"/>
      <c r="L114" s="413"/>
      <c r="M114" s="413"/>
      <c r="N114" s="413"/>
      <c r="O114" s="413"/>
      <c r="P114" s="413"/>
    </row>
    <row r="115" spans="2:16" x14ac:dyDescent="0.25">
      <c r="B115" s="978" t="s">
        <v>117</v>
      </c>
      <c r="C115" s="1446">
        <f>IFERROR(SUMIF('2. Roles &amp; Pricing'!$N$48:$N$147,6,'2. Roles &amp; Pricing'!$M$291:$M$390),"")</f>
        <v>0</v>
      </c>
      <c r="D115" s="1447">
        <f>IFERROR(C115/'2. Roles &amp; Pricing'!$M$289,"")</f>
        <v>0</v>
      </c>
      <c r="K115" s="413"/>
      <c r="L115" s="413"/>
      <c r="M115" s="413"/>
      <c r="N115" s="413"/>
      <c r="O115" s="413"/>
      <c r="P115" s="413"/>
    </row>
    <row r="116" spans="2:16" x14ac:dyDescent="0.25">
      <c r="B116" s="979" t="s">
        <v>230</v>
      </c>
      <c r="C116" s="1448">
        <f>IFERROR(SUMIF('2. Roles &amp; Pricing'!$V$48:$V$147,7,'2. Roles &amp; Pricing'!$M$291:$M$390),"")</f>
        <v>0</v>
      </c>
      <c r="D116" s="1449">
        <f>IFERROR(C116/'2. Roles &amp; Pricing'!$M$289,"")</f>
        <v>0</v>
      </c>
      <c r="K116" s="413"/>
      <c r="L116" s="413"/>
      <c r="M116" s="413"/>
      <c r="N116" s="413"/>
      <c r="O116" s="413"/>
      <c r="P116" s="413"/>
    </row>
    <row r="117" spans="2:16" x14ac:dyDescent="0.25">
      <c r="B117" s="413"/>
      <c r="C117" s="413"/>
      <c r="D117" s="413"/>
      <c r="E117" s="413"/>
      <c r="F117" s="413"/>
      <c r="G117" s="413"/>
      <c r="H117" s="413"/>
      <c r="I117" s="413"/>
      <c r="J117" s="413"/>
      <c r="K117" s="413"/>
      <c r="L117" s="413"/>
      <c r="M117" s="413"/>
      <c r="N117" s="413"/>
      <c r="O117" s="413"/>
      <c r="P117" s="413"/>
    </row>
    <row r="118" spans="2:16" x14ac:dyDescent="0.25">
      <c r="B118" s="413"/>
      <c r="C118" s="413"/>
      <c r="D118" s="413"/>
      <c r="E118" s="413"/>
      <c r="F118" s="413"/>
      <c r="G118" s="413"/>
      <c r="H118" s="413"/>
      <c r="I118" s="413"/>
      <c r="J118" s="413"/>
      <c r="K118" s="413"/>
      <c r="L118" s="413"/>
      <c r="M118" s="413"/>
      <c r="N118" s="413"/>
      <c r="O118" s="413"/>
      <c r="P118" s="413"/>
    </row>
    <row r="119" spans="2:16" ht="17.399999999999999" x14ac:dyDescent="0.25">
      <c r="B119" s="859" t="s">
        <v>3322</v>
      </c>
      <c r="C119" s="563"/>
      <c r="D119" s="563"/>
      <c r="E119" s="564"/>
      <c r="F119" s="564"/>
      <c r="G119" s="564"/>
      <c r="I119" s="413"/>
      <c r="J119" s="413"/>
      <c r="K119" s="413"/>
      <c r="L119" s="413"/>
      <c r="M119" s="413"/>
      <c r="N119" s="413"/>
      <c r="O119" s="413"/>
      <c r="P119" s="413"/>
    </row>
    <row r="120" spans="2:16" ht="27.6" x14ac:dyDescent="0.25">
      <c r="B120" s="1545" t="s">
        <v>3323</v>
      </c>
      <c r="C120" s="1545"/>
      <c r="D120" s="1545"/>
      <c r="E120" s="1545"/>
      <c r="F120" s="1545"/>
      <c r="G120" s="1545"/>
      <c r="H120" s="1545"/>
      <c r="I120" s="413"/>
      <c r="J120" s="413"/>
      <c r="K120" s="413"/>
      <c r="L120" s="413"/>
      <c r="M120" s="413"/>
      <c r="N120" s="413"/>
      <c r="O120" s="413"/>
      <c r="P120" s="413"/>
    </row>
    <row r="121" spans="2:16" x14ac:dyDescent="0.25">
      <c r="B121" s="413"/>
      <c r="C121" s="413"/>
      <c r="D121" s="413"/>
      <c r="E121" s="413"/>
      <c r="F121" s="413"/>
      <c r="G121" s="413"/>
      <c r="H121" s="413"/>
      <c r="I121" s="413"/>
      <c r="J121" s="413"/>
      <c r="K121" s="413"/>
      <c r="L121" s="413"/>
      <c r="M121" s="413"/>
      <c r="N121" s="413"/>
      <c r="O121" s="413"/>
      <c r="P121" s="413"/>
    </row>
    <row r="122" spans="2:16" x14ac:dyDescent="0.25">
      <c r="B122" s="413" t="s">
        <v>1673</v>
      </c>
      <c r="C122" s="413"/>
      <c r="D122" s="413"/>
      <c r="E122" s="413"/>
      <c r="F122" s="413"/>
      <c r="G122" s="413"/>
      <c r="H122" s="413"/>
      <c r="I122" s="413"/>
      <c r="J122" s="413"/>
      <c r="K122" s="413"/>
      <c r="L122" s="413"/>
      <c r="M122" s="413"/>
      <c r="N122" s="413"/>
      <c r="O122" s="413"/>
      <c r="P122" s="413"/>
    </row>
    <row r="123" spans="2:16" x14ac:dyDescent="0.25">
      <c r="B123" s="413" t="s">
        <v>3422</v>
      </c>
      <c r="C123" s="413"/>
      <c r="D123" s="413"/>
      <c r="E123" s="413"/>
      <c r="F123" s="413"/>
      <c r="G123" s="413"/>
      <c r="H123" s="413"/>
      <c r="I123" s="413"/>
      <c r="J123" s="413"/>
      <c r="K123" s="413"/>
      <c r="L123" s="413"/>
      <c r="M123" s="413"/>
      <c r="N123" s="413"/>
      <c r="O123" s="413"/>
      <c r="P123" s="413"/>
    </row>
    <row r="124" spans="2:16" x14ac:dyDescent="0.25">
      <c r="B124" s="413" t="s">
        <v>3421</v>
      </c>
      <c r="C124" s="413"/>
      <c r="D124" s="413"/>
      <c r="E124" s="413"/>
      <c r="F124" s="413"/>
      <c r="G124" s="413"/>
      <c r="H124" s="413"/>
      <c r="I124" s="413"/>
      <c r="J124" s="413"/>
      <c r="K124" s="413"/>
      <c r="L124" s="413"/>
      <c r="M124" s="413"/>
      <c r="N124" s="413"/>
      <c r="O124" s="413"/>
      <c r="P124" s="413"/>
    </row>
    <row r="125" spans="2:16" x14ac:dyDescent="0.25">
      <c r="B125" s="413" t="s">
        <v>3423</v>
      </c>
      <c r="C125" s="413"/>
      <c r="D125" s="413"/>
      <c r="E125" s="413"/>
      <c r="F125" s="413"/>
      <c r="G125" s="413"/>
      <c r="H125" s="413"/>
      <c r="I125" s="413"/>
      <c r="J125" s="413"/>
      <c r="K125" s="413"/>
      <c r="L125" s="413"/>
      <c r="M125" s="413"/>
      <c r="N125" s="413"/>
      <c r="O125" s="413"/>
      <c r="P125" s="413"/>
    </row>
    <row r="126" spans="2:16" x14ac:dyDescent="0.25">
      <c r="B126" s="413"/>
      <c r="C126" s="413"/>
      <c r="D126" s="413"/>
      <c r="E126" s="413"/>
      <c r="F126" s="413"/>
      <c r="G126" s="413"/>
      <c r="H126" s="413"/>
      <c r="I126" s="413"/>
      <c r="J126" s="413"/>
      <c r="K126" s="413"/>
      <c r="L126" s="413"/>
      <c r="M126" s="413"/>
      <c r="N126" s="413"/>
      <c r="O126" s="413"/>
      <c r="P126" s="413"/>
    </row>
    <row r="127" spans="2:16" x14ac:dyDescent="0.25">
      <c r="B127" s="413" t="s">
        <v>173</v>
      </c>
      <c r="C127" s="413"/>
      <c r="D127" s="413"/>
      <c r="E127" s="413"/>
      <c r="F127" s="413"/>
      <c r="G127" s="413"/>
      <c r="H127" s="413"/>
      <c r="I127" s="413"/>
      <c r="J127" s="413"/>
      <c r="K127" s="413"/>
      <c r="L127" s="413"/>
      <c r="M127" s="413"/>
      <c r="N127" s="413"/>
      <c r="O127" s="413"/>
      <c r="P127" s="413"/>
    </row>
    <row r="128" spans="2:16" x14ac:dyDescent="0.25">
      <c r="B128" s="413"/>
      <c r="C128" s="413"/>
      <c r="D128" s="413"/>
      <c r="E128" s="413"/>
      <c r="F128" s="413"/>
      <c r="G128" s="413"/>
      <c r="H128" s="413"/>
      <c r="I128" s="413"/>
      <c r="J128" s="413"/>
      <c r="K128" s="413"/>
      <c r="L128" s="413"/>
      <c r="M128" s="413"/>
      <c r="N128" s="413"/>
      <c r="O128" s="413"/>
      <c r="P128" s="413"/>
    </row>
    <row r="129" spans="2:16" x14ac:dyDescent="0.25">
      <c r="B129" s="413"/>
      <c r="C129" s="413"/>
      <c r="D129" s="413"/>
      <c r="E129" s="413"/>
      <c r="F129" s="413"/>
      <c r="G129" s="413"/>
      <c r="H129" s="413"/>
      <c r="I129" s="413"/>
      <c r="J129" s="413"/>
      <c r="K129" s="413"/>
      <c r="L129" s="413"/>
      <c r="M129" s="413"/>
      <c r="N129" s="413"/>
      <c r="O129" s="413"/>
      <c r="P129" s="413"/>
    </row>
    <row r="130" spans="2:16" x14ac:dyDescent="0.25">
      <c r="B130" s="413"/>
      <c r="C130" s="413"/>
      <c r="D130" s="413"/>
      <c r="E130" s="413"/>
      <c r="F130" s="413"/>
      <c r="G130" s="413"/>
      <c r="H130" s="413"/>
      <c r="I130" s="413"/>
      <c r="J130" s="413"/>
      <c r="K130" s="413"/>
      <c r="L130" s="413"/>
      <c r="M130" s="413"/>
      <c r="N130" s="413"/>
      <c r="O130" s="413"/>
      <c r="P130" s="413"/>
    </row>
    <row r="131" spans="2:16" x14ac:dyDescent="0.25">
      <c r="B131" s="413"/>
      <c r="C131" s="413"/>
      <c r="D131" s="413"/>
      <c r="E131" s="413"/>
      <c r="F131" s="413"/>
      <c r="G131" s="413"/>
      <c r="H131" s="413"/>
      <c r="I131" s="413"/>
      <c r="J131" s="413"/>
      <c r="K131" s="413"/>
      <c r="L131" s="413"/>
      <c r="M131" s="413"/>
      <c r="N131" s="413"/>
      <c r="O131" s="413"/>
      <c r="P131" s="413"/>
    </row>
    <row r="132" spans="2:16" x14ac:dyDescent="0.25">
      <c r="B132" s="413"/>
      <c r="C132" s="413"/>
      <c r="D132" s="413"/>
      <c r="E132" s="413"/>
      <c r="F132" s="413"/>
      <c r="G132" s="413"/>
      <c r="H132" s="413"/>
      <c r="I132" s="413"/>
      <c r="J132" s="413"/>
      <c r="K132" s="413"/>
      <c r="L132" s="413"/>
      <c r="M132" s="413"/>
      <c r="N132" s="413"/>
      <c r="O132" s="413"/>
      <c r="P132" s="413"/>
    </row>
    <row r="133" spans="2:16" x14ac:dyDescent="0.25">
      <c r="B133" s="413"/>
      <c r="C133" s="413"/>
      <c r="D133" s="413"/>
      <c r="E133" s="413"/>
      <c r="F133" s="413"/>
      <c r="G133" s="413"/>
      <c r="H133" s="413"/>
      <c r="I133" s="413"/>
      <c r="J133" s="413"/>
      <c r="K133" s="413"/>
      <c r="L133" s="413"/>
      <c r="M133" s="413"/>
      <c r="N133" s="413"/>
      <c r="O133" s="413"/>
      <c r="P133" s="413"/>
    </row>
    <row r="134" spans="2:16" x14ac:dyDescent="0.25">
      <c r="B134" s="413"/>
      <c r="C134" s="413"/>
      <c r="D134" s="413"/>
      <c r="E134" s="413"/>
      <c r="F134" s="413"/>
      <c r="G134" s="413"/>
      <c r="H134" s="413"/>
      <c r="I134" s="413"/>
      <c r="J134" s="413"/>
      <c r="K134" s="413"/>
      <c r="L134" s="413"/>
      <c r="M134" s="413"/>
      <c r="N134" s="413"/>
      <c r="O134" s="413"/>
      <c r="P134" s="413"/>
    </row>
    <row r="135" spans="2:16" x14ac:dyDescent="0.25">
      <c r="B135" s="413"/>
      <c r="C135" s="413"/>
      <c r="D135" s="413"/>
      <c r="E135" s="413"/>
      <c r="F135" s="413"/>
      <c r="G135" s="413"/>
      <c r="H135" s="413"/>
      <c r="I135" s="413"/>
      <c r="J135" s="413"/>
      <c r="K135" s="413"/>
      <c r="L135" s="413"/>
      <c r="M135" s="413"/>
      <c r="N135" s="413"/>
      <c r="O135" s="413"/>
      <c r="P135" s="413"/>
    </row>
    <row r="136" spans="2:16" x14ac:dyDescent="0.25">
      <c r="B136" s="413"/>
      <c r="C136" s="413"/>
      <c r="D136" s="413"/>
      <c r="E136" s="413"/>
      <c r="F136" s="413"/>
      <c r="G136" s="413"/>
      <c r="H136" s="413"/>
      <c r="I136" s="413"/>
      <c r="J136" s="413"/>
      <c r="K136" s="413"/>
      <c r="L136" s="413"/>
      <c r="M136" s="413"/>
      <c r="N136" s="413"/>
      <c r="O136" s="413"/>
      <c r="P136" s="413"/>
    </row>
    <row r="137" spans="2:16" x14ac:dyDescent="0.25">
      <c r="B137" s="413"/>
      <c r="C137" s="413"/>
      <c r="D137" s="413"/>
      <c r="E137" s="413"/>
      <c r="F137" s="413"/>
      <c r="G137" s="413"/>
      <c r="H137" s="413"/>
      <c r="I137" s="413"/>
      <c r="J137" s="413"/>
      <c r="K137" s="413"/>
      <c r="L137" s="413"/>
      <c r="M137" s="413"/>
      <c r="N137" s="413"/>
      <c r="O137" s="413"/>
      <c r="P137" s="413"/>
    </row>
    <row r="138" spans="2:16" x14ac:dyDescent="0.25">
      <c r="B138" s="413"/>
      <c r="C138" s="413"/>
      <c r="D138" s="413"/>
      <c r="E138" s="413"/>
      <c r="F138" s="413"/>
      <c r="G138" s="413"/>
      <c r="H138" s="413"/>
      <c r="I138" s="413"/>
      <c r="J138" s="413"/>
      <c r="K138" s="413"/>
      <c r="L138" s="413"/>
      <c r="M138" s="413"/>
      <c r="N138" s="413"/>
      <c r="O138" s="413"/>
      <c r="P138" s="413"/>
    </row>
    <row r="139" spans="2:16" x14ac:dyDescent="0.25">
      <c r="B139" s="413"/>
      <c r="C139" s="413"/>
      <c r="D139" s="413"/>
      <c r="E139" s="413"/>
      <c r="F139" s="413"/>
      <c r="G139" s="413"/>
      <c r="H139" s="413"/>
      <c r="I139" s="413"/>
      <c r="J139" s="413"/>
      <c r="K139" s="413"/>
      <c r="L139" s="413"/>
      <c r="M139" s="413"/>
      <c r="N139" s="413"/>
      <c r="O139" s="413"/>
      <c r="P139" s="413"/>
    </row>
    <row r="140" spans="2:16" x14ac:dyDescent="0.25">
      <c r="B140" s="413"/>
      <c r="C140" s="413"/>
      <c r="D140" s="413"/>
      <c r="E140" s="413"/>
      <c r="F140" s="413"/>
      <c r="G140" s="413"/>
      <c r="H140" s="413"/>
      <c r="I140" s="413"/>
      <c r="J140" s="413"/>
      <c r="K140" s="413"/>
      <c r="L140" s="413"/>
      <c r="M140" s="413"/>
      <c r="N140" s="413"/>
      <c r="O140" s="413"/>
      <c r="P140" s="413"/>
    </row>
    <row r="141" spans="2:16" x14ac:dyDescent="0.25">
      <c r="B141" s="413"/>
      <c r="C141" s="413"/>
      <c r="D141" s="413"/>
      <c r="E141" s="413"/>
      <c r="F141" s="413"/>
      <c r="G141" s="413"/>
      <c r="H141" s="413"/>
      <c r="I141" s="413"/>
      <c r="J141" s="413"/>
      <c r="K141" s="413"/>
      <c r="L141" s="413"/>
      <c r="M141" s="413"/>
      <c r="N141" s="413"/>
      <c r="O141" s="413"/>
      <c r="P141" s="413"/>
    </row>
    <row r="142" spans="2:16" x14ac:dyDescent="0.25">
      <c r="B142" s="413"/>
      <c r="C142" s="413"/>
      <c r="D142" s="413"/>
      <c r="E142" s="413"/>
      <c r="F142" s="413"/>
      <c r="G142" s="413"/>
      <c r="H142" s="413"/>
      <c r="I142" s="413"/>
      <c r="J142" s="413"/>
      <c r="K142" s="413"/>
      <c r="L142" s="413"/>
      <c r="M142" s="413"/>
      <c r="N142" s="413"/>
      <c r="O142" s="413"/>
      <c r="P142" s="413"/>
    </row>
    <row r="143" spans="2:16" x14ac:dyDescent="0.25">
      <c r="B143" s="413"/>
      <c r="C143" s="413"/>
      <c r="D143" s="413"/>
      <c r="E143" s="413"/>
      <c r="F143" s="413"/>
      <c r="G143" s="413"/>
      <c r="H143" s="413"/>
      <c r="I143" s="413"/>
      <c r="J143" s="413"/>
      <c r="K143" s="413"/>
      <c r="L143" s="413"/>
      <c r="M143" s="413"/>
      <c r="N143" s="413"/>
      <c r="O143" s="413"/>
      <c r="P143" s="413"/>
    </row>
    <row r="144" spans="2:16" x14ac:dyDescent="0.25">
      <c r="B144" s="413"/>
      <c r="C144" s="413"/>
      <c r="D144" s="413"/>
      <c r="E144" s="413"/>
      <c r="F144" s="413"/>
      <c r="G144" s="413"/>
      <c r="H144" s="413"/>
      <c r="I144" s="413"/>
      <c r="J144" s="413"/>
      <c r="K144" s="413"/>
      <c r="L144" s="413"/>
      <c r="M144" s="413"/>
      <c r="N144" s="413"/>
      <c r="O144" s="413"/>
      <c r="P144" s="413"/>
    </row>
    <row r="145" spans="2:16" x14ac:dyDescent="0.25">
      <c r="B145" s="413"/>
      <c r="C145" s="413"/>
      <c r="D145" s="413"/>
      <c r="E145" s="413"/>
      <c r="F145" s="413"/>
      <c r="G145" s="413"/>
      <c r="H145" s="413"/>
      <c r="I145" s="413"/>
      <c r="J145" s="413"/>
      <c r="K145" s="413"/>
      <c r="L145" s="413"/>
      <c r="M145" s="413"/>
      <c r="N145" s="413"/>
      <c r="O145" s="413"/>
      <c r="P145" s="413"/>
    </row>
    <row r="146" spans="2:16" x14ac:dyDescent="0.25">
      <c r="B146" s="413"/>
      <c r="C146" s="413"/>
      <c r="D146" s="413"/>
      <c r="E146" s="413"/>
      <c r="F146" s="413"/>
      <c r="G146" s="413"/>
      <c r="H146" s="413"/>
      <c r="I146" s="413"/>
      <c r="J146" s="413"/>
      <c r="K146" s="413"/>
      <c r="L146" s="413"/>
      <c r="M146" s="413"/>
      <c r="N146" s="413"/>
      <c r="O146" s="413"/>
      <c r="P146" s="413"/>
    </row>
    <row r="147" spans="2:16" x14ac:dyDescent="0.25">
      <c r="B147" s="413"/>
      <c r="C147" s="413"/>
      <c r="D147" s="413"/>
      <c r="E147" s="413"/>
      <c r="F147" s="413"/>
      <c r="G147" s="413"/>
      <c r="H147" s="413"/>
      <c r="I147" s="413"/>
      <c r="J147" s="413"/>
      <c r="K147" s="413"/>
      <c r="L147" s="413"/>
      <c r="M147" s="413"/>
      <c r="N147" s="413"/>
      <c r="O147" s="413"/>
      <c r="P147" s="413"/>
    </row>
    <row r="148" spans="2:16" x14ac:dyDescent="0.25">
      <c r="B148" s="413"/>
      <c r="C148" s="413"/>
      <c r="D148" s="413"/>
      <c r="E148" s="413"/>
      <c r="F148" s="413"/>
      <c r="G148" s="413"/>
      <c r="H148" s="413"/>
      <c r="I148" s="413"/>
      <c r="J148" s="413"/>
      <c r="K148" s="413"/>
      <c r="L148" s="413"/>
      <c r="M148" s="413"/>
      <c r="N148" s="413"/>
      <c r="O148" s="413"/>
      <c r="P148" s="413"/>
    </row>
    <row r="149" spans="2:16" x14ac:dyDescent="0.25">
      <c r="B149" s="413"/>
      <c r="C149" s="413"/>
      <c r="D149" s="413"/>
      <c r="E149" s="413"/>
      <c r="F149" s="413"/>
      <c r="G149" s="413"/>
      <c r="H149" s="413"/>
      <c r="I149" s="413"/>
      <c r="J149" s="413"/>
      <c r="K149" s="413"/>
      <c r="L149" s="413"/>
      <c r="M149" s="413"/>
      <c r="N149" s="413"/>
      <c r="O149" s="413"/>
      <c r="P149" s="413"/>
    </row>
    <row r="150" spans="2:16" x14ac:dyDescent="0.25">
      <c r="B150" s="413"/>
      <c r="C150" s="413"/>
      <c r="D150" s="413"/>
      <c r="E150" s="413"/>
      <c r="F150" s="413"/>
      <c r="G150" s="413"/>
      <c r="H150" s="413"/>
      <c r="I150" s="413"/>
      <c r="J150" s="413"/>
      <c r="K150" s="413"/>
      <c r="L150" s="413"/>
      <c r="M150" s="413"/>
      <c r="N150" s="413"/>
      <c r="O150" s="413"/>
      <c r="P150" s="413"/>
    </row>
    <row r="151" spans="2:16" x14ac:dyDescent="0.25">
      <c r="B151" s="413"/>
      <c r="C151" s="413"/>
      <c r="D151" s="413"/>
      <c r="E151" s="413"/>
      <c r="F151" s="413"/>
      <c r="G151" s="413"/>
      <c r="H151" s="413"/>
      <c r="I151" s="413"/>
      <c r="J151" s="413"/>
      <c r="K151" s="413"/>
      <c r="L151" s="413"/>
      <c r="M151" s="413"/>
      <c r="N151" s="413"/>
      <c r="O151" s="413"/>
      <c r="P151" s="413"/>
    </row>
    <row r="152" spans="2:16" x14ac:dyDescent="0.25">
      <c r="B152" s="413"/>
      <c r="C152" s="413"/>
      <c r="D152" s="413"/>
      <c r="E152" s="413"/>
      <c r="F152" s="413"/>
      <c r="G152" s="413"/>
      <c r="H152" s="413"/>
      <c r="I152" s="413"/>
      <c r="J152" s="413"/>
      <c r="K152" s="413"/>
      <c r="L152" s="413"/>
      <c r="M152" s="413"/>
      <c r="N152" s="413"/>
      <c r="O152" s="413"/>
      <c r="P152" s="413"/>
    </row>
    <row r="153" spans="2:16" ht="17.399999999999999" x14ac:dyDescent="0.25">
      <c r="B153" s="859" t="s">
        <v>2289</v>
      </c>
      <c r="C153" s="475"/>
      <c r="D153" s="475"/>
      <c r="E153" s="475"/>
      <c r="F153" s="475"/>
      <c r="K153" s="413"/>
      <c r="L153" s="413"/>
      <c r="M153" s="413"/>
      <c r="N153" s="413"/>
      <c r="O153" s="413"/>
      <c r="P153" s="413"/>
    </row>
    <row r="154" spans="2:16" x14ac:dyDescent="0.25">
      <c r="B154" s="413"/>
      <c r="C154" s="413"/>
      <c r="D154" s="413"/>
      <c r="E154" s="413"/>
      <c r="F154" s="413"/>
      <c r="G154" s="413"/>
      <c r="H154" s="413"/>
      <c r="I154" s="413"/>
      <c r="J154" s="413"/>
      <c r="K154" s="413"/>
      <c r="L154" s="413"/>
      <c r="M154" s="413"/>
      <c r="N154" s="413"/>
      <c r="O154" s="413"/>
      <c r="P154" s="413"/>
    </row>
    <row r="155" spans="2:16" ht="20.25" customHeight="1" x14ac:dyDescent="0.25">
      <c r="B155" s="987" t="str">
        <f>'2. Roles &amp; Pricing'!D399</f>
        <v>Select Approach Option</v>
      </c>
      <c r="C155" s="415"/>
      <c r="F155" s="413"/>
      <c r="G155" s="413"/>
      <c r="H155" s="413"/>
      <c r="I155" s="413"/>
      <c r="J155" s="413"/>
      <c r="K155" s="413"/>
      <c r="L155" s="413"/>
      <c r="M155" s="413"/>
      <c r="N155" s="413"/>
      <c r="O155" s="413"/>
      <c r="P155" s="413"/>
    </row>
    <row r="156" spans="2:16" x14ac:dyDescent="0.25">
      <c r="B156" s="955" t="s">
        <v>212</v>
      </c>
      <c r="C156" s="980" t="s">
        <v>213</v>
      </c>
      <c r="D156" s="981" t="s">
        <v>107</v>
      </c>
      <c r="E156" s="982" t="s">
        <v>108</v>
      </c>
      <c r="F156" s="413"/>
      <c r="G156" s="413"/>
      <c r="H156" s="413"/>
      <c r="I156" s="413"/>
      <c r="J156" s="413"/>
      <c r="K156" s="413"/>
      <c r="L156" s="413"/>
      <c r="M156" s="413"/>
      <c r="N156" s="413"/>
      <c r="O156" s="413"/>
      <c r="P156" s="413"/>
    </row>
    <row r="157" spans="2:16" ht="21" customHeight="1" x14ac:dyDescent="0.25">
      <c r="B157" s="983" t="str">
        <f>'2. Roles &amp; Pricing'!C401</f>
        <v>[Enter Estimated Bucket 1]</v>
      </c>
      <c r="C157" s="1450" t="str">
        <f>'2. Roles &amp; Pricing'!D401</f>
        <v xml:space="preserve"> </v>
      </c>
      <c r="D157" s="1451">
        <f>SUMIF('2. Roles &amp; Pricing'!$AB$48:$AB$147,'4. Summary &amp; Totals'!B157,'2. Roles &amp; Pricing'!$F$291:$F$390)</f>
        <v>0</v>
      </c>
      <c r="E157" s="1452">
        <f>SUMIF('2. Roles &amp; Pricing'!$AB$48:$AB$147,'4. Summary &amp; Totals'!B157,'2. Roles &amp; Pricing'!$D$291:$D$390)</f>
        <v>0</v>
      </c>
      <c r="F157" s="413"/>
      <c r="G157" s="413"/>
      <c r="H157" s="413"/>
      <c r="I157" s="413"/>
      <c r="J157" s="413"/>
      <c r="K157" s="413"/>
      <c r="L157" s="413"/>
      <c r="M157" s="413"/>
      <c r="N157" s="413"/>
      <c r="O157" s="413"/>
      <c r="P157" s="413"/>
    </row>
    <row r="158" spans="2:16" x14ac:dyDescent="0.25">
      <c r="B158" s="984" t="str">
        <f>'2. Roles &amp; Pricing'!C402</f>
        <v>[Enter Estimated Bucket 2]</v>
      </c>
      <c r="C158" s="1446" t="str">
        <f>'2. Roles &amp; Pricing'!D402</f>
        <v xml:space="preserve"> </v>
      </c>
      <c r="D158" s="1453">
        <f>SUMIF('2. Roles &amp; Pricing'!$AB$48:$AB$147,'4. Summary &amp; Totals'!B158,'2. Roles &amp; Pricing'!$F$291:$F$390)</f>
        <v>0</v>
      </c>
      <c r="E158" s="1454">
        <f>SUMIF('2. Roles &amp; Pricing'!$AB$48:$AB$147,'4. Summary &amp; Totals'!B158,'2. Roles &amp; Pricing'!$D$291:$D$390)</f>
        <v>0</v>
      </c>
      <c r="F158" s="413"/>
      <c r="G158" s="413"/>
      <c r="H158" s="413"/>
      <c r="I158" s="413"/>
      <c r="J158" s="413"/>
      <c r="K158" s="413"/>
      <c r="L158" s="413"/>
      <c r="M158" s="413"/>
      <c r="N158" s="413"/>
      <c r="O158" s="413"/>
      <c r="P158" s="413"/>
    </row>
    <row r="159" spans="2:16" x14ac:dyDescent="0.25">
      <c r="B159" s="984" t="str">
        <f>'2. Roles &amp; Pricing'!C403</f>
        <v>[Enter Estimated Bucket 3]</v>
      </c>
      <c r="C159" s="1446" t="str">
        <f>'2. Roles &amp; Pricing'!D403</f>
        <v xml:space="preserve"> </v>
      </c>
      <c r="D159" s="1453">
        <f>SUMIF('2. Roles &amp; Pricing'!$AB$48:$AB$147,'4. Summary &amp; Totals'!B159,'2. Roles &amp; Pricing'!$F$291:$F$390)</f>
        <v>0</v>
      </c>
      <c r="E159" s="1454">
        <f>SUMIF('2. Roles &amp; Pricing'!$AB$48:$AB$147,'4. Summary &amp; Totals'!B159,'2. Roles &amp; Pricing'!$D$291:$D$390)</f>
        <v>0</v>
      </c>
      <c r="F159" s="413"/>
      <c r="G159" s="413"/>
      <c r="H159" s="413"/>
      <c r="I159" s="413"/>
      <c r="J159" s="413"/>
      <c r="K159" s="413"/>
      <c r="L159" s="413"/>
      <c r="M159" s="413"/>
      <c r="N159" s="413"/>
      <c r="O159" s="413"/>
      <c r="P159" s="413"/>
    </row>
    <row r="160" spans="2:16" x14ac:dyDescent="0.25">
      <c r="B160" s="984" t="str">
        <f>'2. Roles &amp; Pricing'!C404</f>
        <v>[Enter Estimated Bucket 4]</v>
      </c>
      <c r="C160" s="1446" t="str">
        <f>'2. Roles &amp; Pricing'!D404</f>
        <v xml:space="preserve"> </v>
      </c>
      <c r="D160" s="1453">
        <f>SUMIF('2. Roles &amp; Pricing'!$AB$48:$AB$147,'4. Summary &amp; Totals'!B160,'2. Roles &amp; Pricing'!$F$291:$F$390)</f>
        <v>0</v>
      </c>
      <c r="E160" s="1454">
        <f>SUMIF('2. Roles &amp; Pricing'!$AB$48:$AB$147,'4. Summary &amp; Totals'!B160,'2. Roles &amp; Pricing'!$D$291:$D$390)</f>
        <v>0</v>
      </c>
      <c r="F160" s="413"/>
      <c r="G160" s="413"/>
      <c r="H160" s="413"/>
      <c r="I160" s="413"/>
      <c r="J160" s="413"/>
      <c r="K160" s="413"/>
      <c r="L160" s="413"/>
      <c r="M160" s="413"/>
      <c r="N160" s="413"/>
      <c r="O160" s="413"/>
      <c r="P160" s="413"/>
    </row>
    <row r="161" spans="2:16" x14ac:dyDescent="0.25">
      <c r="B161" s="984" t="str">
        <f>'2. Roles &amp; Pricing'!C405</f>
        <v>[Enter Estimated Bucket 5]</v>
      </c>
      <c r="C161" s="1446" t="str">
        <f>'2. Roles &amp; Pricing'!D405</f>
        <v xml:space="preserve"> </v>
      </c>
      <c r="D161" s="1453">
        <f>SUMIF('2. Roles &amp; Pricing'!$AB$48:$AB$147,'4. Summary &amp; Totals'!B161,'2. Roles &amp; Pricing'!$F$291:$F$390)</f>
        <v>0</v>
      </c>
      <c r="E161" s="1454">
        <f>SUMIF('2. Roles &amp; Pricing'!$AB$48:$AB$147,'4. Summary &amp; Totals'!B161,'2. Roles &amp; Pricing'!$D$291:$D$390)</f>
        <v>0</v>
      </c>
      <c r="F161" s="413"/>
      <c r="G161" s="413"/>
      <c r="H161" s="413"/>
      <c r="I161" s="413"/>
      <c r="J161" s="413"/>
      <c r="K161" s="413"/>
      <c r="L161" s="413"/>
      <c r="M161" s="413"/>
      <c r="N161" s="413"/>
      <c r="O161" s="413"/>
      <c r="P161" s="413"/>
    </row>
    <row r="162" spans="2:16" x14ac:dyDescent="0.25">
      <c r="B162" s="984" t="str">
        <f>'2. Roles &amp; Pricing'!C406</f>
        <v>[Enter Estimated Bucket 6]</v>
      </c>
      <c r="C162" s="1446" t="str">
        <f>'2. Roles &amp; Pricing'!D406</f>
        <v xml:space="preserve"> </v>
      </c>
      <c r="D162" s="1453">
        <f>SUMIF('2. Roles &amp; Pricing'!$AB$48:$AB$147,'4. Summary &amp; Totals'!B162,'2. Roles &amp; Pricing'!$F$291:$F$390)</f>
        <v>0</v>
      </c>
      <c r="E162" s="1454">
        <f>SUMIF('2. Roles &amp; Pricing'!$AB$48:$AB$147,'4. Summary &amp; Totals'!B162,'2. Roles &amp; Pricing'!$D$291:$D$390)</f>
        <v>0</v>
      </c>
      <c r="F162" s="413"/>
      <c r="G162" s="413"/>
      <c r="H162" s="413"/>
      <c r="I162" s="413"/>
      <c r="J162" s="413"/>
      <c r="K162" s="413"/>
      <c r="L162" s="413"/>
      <c r="M162" s="413"/>
      <c r="N162" s="413"/>
      <c r="O162" s="413"/>
      <c r="P162" s="413"/>
    </row>
    <row r="163" spans="2:16" x14ac:dyDescent="0.25">
      <c r="B163" s="984" t="str">
        <f>'2. Roles &amp; Pricing'!C407</f>
        <v>[Enter Estimated Bucket 7]</v>
      </c>
      <c r="C163" s="1446" t="str">
        <f>'2. Roles &amp; Pricing'!D407</f>
        <v xml:space="preserve"> </v>
      </c>
      <c r="D163" s="1453">
        <f>SUMIF('2. Roles &amp; Pricing'!$AB$48:$AB$147,'4. Summary &amp; Totals'!B163,'2. Roles &amp; Pricing'!$F$291:$F$390)</f>
        <v>0</v>
      </c>
      <c r="E163" s="1454">
        <f>SUMIF('2. Roles &amp; Pricing'!$AB$48:$AB$147,'4. Summary &amp; Totals'!B163,'2. Roles &amp; Pricing'!$D$291:$D$390)</f>
        <v>0</v>
      </c>
      <c r="F163" s="413"/>
      <c r="G163" s="413"/>
      <c r="H163" s="413"/>
      <c r="I163" s="413"/>
      <c r="J163" s="413"/>
      <c r="K163" s="413"/>
      <c r="L163" s="413"/>
      <c r="M163" s="413"/>
      <c r="N163" s="413"/>
      <c r="O163" s="413"/>
      <c r="P163" s="413"/>
    </row>
    <row r="164" spans="2:16" ht="13.05" customHeight="1" x14ac:dyDescent="0.25">
      <c r="B164" s="984" t="str">
        <f>'2. Roles &amp; Pricing'!C408</f>
        <v>[Enter Estimated Bucket 8]</v>
      </c>
      <c r="C164" s="1446" t="str">
        <f>'2. Roles &amp; Pricing'!D408</f>
        <v xml:space="preserve"> </v>
      </c>
      <c r="D164" s="1453">
        <f>SUMIF('2. Roles &amp; Pricing'!$AB$48:$AB$147,'4. Summary &amp; Totals'!B164,'2. Roles &amp; Pricing'!$F$291:$F$390)</f>
        <v>0</v>
      </c>
      <c r="E164" s="1454">
        <f>SUMIF('2. Roles &amp; Pricing'!$AB$48:$AB$147,'4. Summary &amp; Totals'!B164,'2. Roles &amp; Pricing'!$D$291:$D$390)</f>
        <v>0</v>
      </c>
      <c r="F164" s="413"/>
      <c r="G164" s="413"/>
      <c r="H164" s="413"/>
      <c r="I164" s="413"/>
      <c r="J164" s="413"/>
      <c r="K164" s="413"/>
      <c r="L164" s="413"/>
      <c r="M164" s="413"/>
      <c r="N164" s="413"/>
      <c r="O164" s="413"/>
      <c r="P164" s="413"/>
    </row>
    <row r="165" spans="2:16" ht="15" customHeight="1" x14ac:dyDescent="0.25">
      <c r="B165" s="984" t="str">
        <f>'2. Roles &amp; Pricing'!C409</f>
        <v>[Enter Estimated Bucket 9]</v>
      </c>
      <c r="C165" s="1446" t="str">
        <f>'2. Roles &amp; Pricing'!D409</f>
        <v xml:space="preserve"> </v>
      </c>
      <c r="D165" s="1453">
        <f>SUMIF('2. Roles &amp; Pricing'!$AB$48:$AB$147,'4. Summary &amp; Totals'!B165,'2. Roles &amp; Pricing'!$F$291:$F$390)</f>
        <v>0</v>
      </c>
      <c r="E165" s="1454">
        <f>SUMIF('2. Roles &amp; Pricing'!$AB$48:$AB$147,'4. Summary &amp; Totals'!B165,'2. Roles &amp; Pricing'!$D$291:$D$390)</f>
        <v>0</v>
      </c>
      <c r="F165" s="413"/>
      <c r="G165" s="413"/>
      <c r="H165" s="413"/>
      <c r="I165" s="413"/>
      <c r="J165" s="413"/>
      <c r="K165" s="413"/>
      <c r="L165" s="413"/>
      <c r="M165" s="413"/>
      <c r="N165" s="413"/>
      <c r="O165" s="413"/>
      <c r="P165" s="413"/>
    </row>
    <row r="166" spans="2:16" x14ac:dyDescent="0.25">
      <c r="B166" s="984" t="str">
        <f>'2. Roles &amp; Pricing'!C410</f>
        <v>[Enter Estimated Bucket 10]</v>
      </c>
      <c r="C166" s="1446" t="str">
        <f>'2. Roles &amp; Pricing'!D410</f>
        <v xml:space="preserve"> </v>
      </c>
      <c r="D166" s="1453">
        <f>SUMIF('2. Roles &amp; Pricing'!$AB$48:$AB$147,'4. Summary &amp; Totals'!B166,'2. Roles &amp; Pricing'!$F$291:$F$390)</f>
        <v>0</v>
      </c>
      <c r="E166" s="1454">
        <f>SUMIF('2. Roles &amp; Pricing'!$AB$48:$AB$147,'4. Summary &amp; Totals'!B166,'2. Roles &amp; Pricing'!$D$291:$D$390)</f>
        <v>0</v>
      </c>
      <c r="F166" s="413"/>
      <c r="G166" s="413"/>
      <c r="H166" s="413"/>
      <c r="I166" s="413"/>
      <c r="J166" s="413"/>
      <c r="K166" s="413"/>
      <c r="L166" s="413"/>
      <c r="M166" s="413"/>
      <c r="N166" s="413"/>
      <c r="O166" s="413"/>
      <c r="P166" s="413"/>
    </row>
    <row r="167" spans="2:16" x14ac:dyDescent="0.25">
      <c r="B167" s="984" t="str">
        <f>'2. Roles &amp; Pricing'!C411</f>
        <v>[Enter Estimated Bucket 11]</v>
      </c>
      <c r="C167" s="1446" t="str">
        <f>'2. Roles &amp; Pricing'!D411</f>
        <v xml:space="preserve"> </v>
      </c>
      <c r="D167" s="1453">
        <f>SUMIF('2. Roles &amp; Pricing'!$AB$48:$AB$147,'4. Summary &amp; Totals'!B167,'2. Roles &amp; Pricing'!$F$291:$F$390)</f>
        <v>0</v>
      </c>
      <c r="E167" s="1454">
        <f>SUMIF('2. Roles &amp; Pricing'!$AB$48:$AB$147,'4. Summary &amp; Totals'!B167,'2. Roles &amp; Pricing'!$D$291:$D$390)</f>
        <v>0</v>
      </c>
      <c r="F167" s="413"/>
      <c r="G167" s="413"/>
      <c r="H167" s="413"/>
      <c r="I167" s="413"/>
      <c r="J167" s="413"/>
      <c r="K167" s="413"/>
      <c r="L167" s="413"/>
      <c r="M167" s="413"/>
      <c r="N167" s="413"/>
      <c r="O167" s="413"/>
      <c r="P167" s="413"/>
    </row>
    <row r="168" spans="2:16" x14ac:dyDescent="0.25">
      <c r="B168" s="984" t="str">
        <f>'2. Roles &amp; Pricing'!C412</f>
        <v>[Enter Estimated Bucket 12]</v>
      </c>
      <c r="C168" s="1446" t="str">
        <f>'2. Roles &amp; Pricing'!D412</f>
        <v xml:space="preserve"> </v>
      </c>
      <c r="D168" s="1453">
        <f>SUMIF('2. Roles &amp; Pricing'!$AB$48:$AB$147,'4. Summary &amp; Totals'!B168,'2. Roles &amp; Pricing'!$F$291:$F$390)</f>
        <v>0</v>
      </c>
      <c r="E168" s="1454">
        <f>SUMIF('2. Roles &amp; Pricing'!$AB$48:$AB$147,'4. Summary &amp; Totals'!B168,'2. Roles &amp; Pricing'!$D$291:$D$390)</f>
        <v>0</v>
      </c>
      <c r="F168" s="413"/>
      <c r="G168" s="413"/>
      <c r="H168" s="413"/>
      <c r="I168" s="413"/>
      <c r="J168" s="413"/>
      <c r="K168" s="413"/>
      <c r="L168" s="413"/>
      <c r="M168" s="413"/>
      <c r="N168" s="413"/>
      <c r="O168" s="413"/>
      <c r="P168" s="413"/>
    </row>
    <row r="169" spans="2:16" x14ac:dyDescent="0.25">
      <c r="B169" s="984" t="str">
        <f>'2. Roles &amp; Pricing'!C413</f>
        <v>[Enter Estimated Bucket 13]</v>
      </c>
      <c r="C169" s="1446" t="str">
        <f>'2. Roles &amp; Pricing'!D413</f>
        <v xml:space="preserve"> </v>
      </c>
      <c r="D169" s="1453">
        <f>SUMIF('2. Roles &amp; Pricing'!$AB$48:$AB$147,'4. Summary &amp; Totals'!B169,'2. Roles &amp; Pricing'!$F$291:$F$390)</f>
        <v>0</v>
      </c>
      <c r="E169" s="1454">
        <f>SUMIF('2. Roles &amp; Pricing'!$AB$48:$AB$147,'4. Summary &amp; Totals'!B169,'2. Roles &amp; Pricing'!$D$291:$D$390)</f>
        <v>0</v>
      </c>
      <c r="F169" s="413"/>
      <c r="G169" s="413"/>
      <c r="H169" s="413"/>
      <c r="I169" s="413"/>
      <c r="J169" s="413"/>
      <c r="K169" s="413"/>
      <c r="L169" s="413"/>
      <c r="M169" s="413"/>
      <c r="N169" s="413"/>
      <c r="O169" s="413"/>
      <c r="P169" s="413"/>
    </row>
    <row r="170" spans="2:16" x14ac:dyDescent="0.25">
      <c r="B170" s="984" t="str">
        <f>'2. Roles &amp; Pricing'!C414</f>
        <v>[Enter Estimated Bucket 14]</v>
      </c>
      <c r="C170" s="1446" t="str">
        <f>'2. Roles &amp; Pricing'!D414</f>
        <v xml:space="preserve"> </v>
      </c>
      <c r="D170" s="1453">
        <f>SUMIF('2. Roles &amp; Pricing'!$AB$48:$AB$147,'4. Summary &amp; Totals'!B170,'2. Roles &amp; Pricing'!$F$291:$F$390)</f>
        <v>0</v>
      </c>
      <c r="E170" s="1454">
        <f>SUMIF('2. Roles &amp; Pricing'!$AB$48:$AB$147,'4. Summary &amp; Totals'!B170,'2. Roles &amp; Pricing'!$D$291:$D$390)</f>
        <v>0</v>
      </c>
      <c r="F170" s="413"/>
      <c r="G170" s="413"/>
      <c r="H170" s="413"/>
      <c r="I170" s="413"/>
      <c r="J170" s="413"/>
      <c r="K170" s="413"/>
      <c r="L170" s="413"/>
      <c r="M170" s="413"/>
      <c r="N170" s="413"/>
      <c r="O170" s="413"/>
      <c r="P170" s="413"/>
    </row>
    <row r="171" spans="2:16" x14ac:dyDescent="0.25">
      <c r="B171" s="984" t="str">
        <f>'2. Roles &amp; Pricing'!C415</f>
        <v>[Enter Estimated Bucket 15]</v>
      </c>
      <c r="C171" s="1446" t="str">
        <f>'2. Roles &amp; Pricing'!D415</f>
        <v xml:space="preserve"> </v>
      </c>
      <c r="D171" s="1453">
        <f>SUMIF('2. Roles &amp; Pricing'!$AB$48:$AB$147,'4. Summary &amp; Totals'!B171,'2. Roles &amp; Pricing'!$F$291:$F$390)</f>
        <v>0</v>
      </c>
      <c r="E171" s="1454">
        <f>SUMIF('2. Roles &amp; Pricing'!$AB$48:$AB$147,'4. Summary &amp; Totals'!B171,'2. Roles &amp; Pricing'!$D$291:$D$390)</f>
        <v>0</v>
      </c>
      <c r="F171" s="413"/>
      <c r="G171" s="413"/>
      <c r="H171" s="413"/>
      <c r="I171" s="413"/>
      <c r="J171" s="413"/>
      <c r="K171" s="413"/>
      <c r="L171" s="413"/>
      <c r="M171" s="413"/>
      <c r="N171" s="413"/>
      <c r="O171" s="413"/>
      <c r="P171" s="413"/>
    </row>
    <row r="172" spans="2:16" x14ac:dyDescent="0.25">
      <c r="B172" s="984" t="str">
        <f>'2. Roles &amp; Pricing'!C416</f>
        <v>[Enter Estimated Bucket 16]</v>
      </c>
      <c r="C172" s="1446" t="str">
        <f>'2. Roles &amp; Pricing'!D416</f>
        <v xml:space="preserve"> </v>
      </c>
      <c r="D172" s="1453">
        <f>SUMIF('2. Roles &amp; Pricing'!$AB$48:$AB$147,'4. Summary &amp; Totals'!B172,'2. Roles &amp; Pricing'!$F$291:$F$390)</f>
        <v>0</v>
      </c>
      <c r="E172" s="1454">
        <f>SUMIF('2. Roles &amp; Pricing'!$AB$48:$AB$147,'4. Summary &amp; Totals'!B172,'2. Roles &amp; Pricing'!$D$291:$D$390)</f>
        <v>0</v>
      </c>
      <c r="F172" s="413"/>
      <c r="G172" s="413"/>
      <c r="H172" s="413"/>
      <c r="I172" s="413"/>
      <c r="J172" s="413"/>
      <c r="K172" s="413"/>
      <c r="L172" s="413"/>
      <c r="M172" s="413"/>
      <c r="N172" s="413"/>
      <c r="O172" s="413"/>
      <c r="P172" s="413"/>
    </row>
    <row r="173" spans="2:16" x14ac:dyDescent="0.25">
      <c r="B173" s="984" t="str">
        <f>'2. Roles &amp; Pricing'!C417</f>
        <v>[Enter Estimated Bucket 17]</v>
      </c>
      <c r="C173" s="1446" t="str">
        <f>'2. Roles &amp; Pricing'!D417</f>
        <v xml:space="preserve"> </v>
      </c>
      <c r="D173" s="1453">
        <f>SUMIF('2. Roles &amp; Pricing'!$AB$48:$AB$147,'4. Summary &amp; Totals'!B173,'2. Roles &amp; Pricing'!$F$291:$F$390)</f>
        <v>0</v>
      </c>
      <c r="E173" s="1454">
        <f>SUMIF('2. Roles &amp; Pricing'!$AB$48:$AB$147,'4. Summary &amp; Totals'!B173,'2. Roles &amp; Pricing'!$D$291:$D$390)</f>
        <v>0</v>
      </c>
      <c r="F173" s="413"/>
      <c r="G173" s="413"/>
      <c r="H173" s="413"/>
      <c r="I173" s="413"/>
      <c r="J173" s="413"/>
      <c r="K173" s="413"/>
      <c r="L173" s="413"/>
      <c r="M173" s="413"/>
      <c r="N173" s="413"/>
      <c r="O173" s="413"/>
      <c r="P173" s="413"/>
    </row>
    <row r="174" spans="2:16" x14ac:dyDescent="0.25">
      <c r="B174" s="984" t="str">
        <f>'2. Roles &amp; Pricing'!C418</f>
        <v>[Enter Estimated Bucket 18]</v>
      </c>
      <c r="C174" s="1446" t="str">
        <f>'2. Roles &amp; Pricing'!D418</f>
        <v xml:space="preserve"> </v>
      </c>
      <c r="D174" s="1453">
        <f>SUMIF('2. Roles &amp; Pricing'!$AB$48:$AB$147,'4. Summary &amp; Totals'!B174,'2. Roles &amp; Pricing'!$F$291:$F$390)</f>
        <v>0</v>
      </c>
      <c r="E174" s="1454">
        <f>SUMIF('2. Roles &amp; Pricing'!$AB$48:$AB$147,'4. Summary &amp; Totals'!B174,'2. Roles &amp; Pricing'!$D$291:$D$390)</f>
        <v>0</v>
      </c>
      <c r="F174" s="413"/>
      <c r="G174" s="413"/>
      <c r="H174" s="413"/>
      <c r="I174" s="413"/>
      <c r="J174" s="413"/>
      <c r="K174" s="413"/>
      <c r="L174" s="413"/>
      <c r="M174" s="413"/>
      <c r="N174" s="413"/>
      <c r="O174" s="413"/>
      <c r="P174" s="413"/>
    </row>
    <row r="175" spans="2:16" x14ac:dyDescent="0.25">
      <c r="B175" s="984" t="str">
        <f>'2. Roles &amp; Pricing'!C419</f>
        <v>[Enter Estimated Bucket 19]</v>
      </c>
      <c r="C175" s="1446" t="str">
        <f>'2. Roles &amp; Pricing'!D419</f>
        <v xml:space="preserve"> </v>
      </c>
      <c r="D175" s="1453">
        <f>SUMIF('2. Roles &amp; Pricing'!$AB$48:$AB$147,'4. Summary &amp; Totals'!B175,'2. Roles &amp; Pricing'!$F$291:$F$390)</f>
        <v>0</v>
      </c>
      <c r="E175" s="1454">
        <f>SUMIF('2. Roles &amp; Pricing'!$AB$48:$AB$147,'4. Summary &amp; Totals'!B175,'2. Roles &amp; Pricing'!$D$291:$D$390)</f>
        <v>0</v>
      </c>
      <c r="F175" s="413"/>
      <c r="G175" s="413"/>
      <c r="H175" s="413"/>
      <c r="I175" s="413"/>
      <c r="J175" s="413"/>
      <c r="K175" s="413"/>
      <c r="L175" s="413"/>
      <c r="M175" s="413"/>
      <c r="N175" s="413"/>
      <c r="O175" s="413"/>
      <c r="P175" s="413"/>
    </row>
    <row r="176" spans="2:16" x14ac:dyDescent="0.25">
      <c r="B176" s="985" t="str">
        <f>'2. Roles &amp; Pricing'!C420</f>
        <v>[Enter Estimated Bucket 20]</v>
      </c>
      <c r="C176" s="1448" t="str">
        <f>'2. Roles &amp; Pricing'!D420</f>
        <v xml:space="preserve"> </v>
      </c>
      <c r="D176" s="1455">
        <f>SUMIF('2. Roles &amp; Pricing'!$AB$48:$AB$147,'4. Summary &amp; Totals'!B176,'2. Roles &amp; Pricing'!$F$291:$F$390)</f>
        <v>0</v>
      </c>
      <c r="E176" s="1456">
        <f>SUMIF('2. Roles &amp; Pricing'!$AB$48:$AB$147,'4. Summary &amp; Totals'!B176,'2. Roles &amp; Pricing'!$D$291:$D$390)</f>
        <v>0</v>
      </c>
      <c r="F176" s="413"/>
      <c r="G176" s="413"/>
      <c r="H176" s="413"/>
      <c r="I176" s="413"/>
      <c r="J176" s="413"/>
      <c r="K176" s="413"/>
      <c r="L176" s="413"/>
      <c r="M176" s="413"/>
      <c r="N176" s="413"/>
      <c r="O176" s="413"/>
      <c r="P176" s="413"/>
    </row>
    <row r="177" spans="2:16" x14ac:dyDescent="0.25">
      <c r="B177" s="413"/>
      <c r="C177" s="413"/>
      <c r="D177" s="413"/>
      <c r="E177" s="413"/>
      <c r="F177" s="413"/>
      <c r="G177" s="413"/>
      <c r="H177" s="413"/>
      <c r="I177" s="413"/>
      <c r="J177" s="413"/>
      <c r="K177" s="413"/>
      <c r="L177" s="413"/>
      <c r="M177" s="413"/>
      <c r="N177" s="413"/>
      <c r="O177" s="413"/>
      <c r="P177" s="413"/>
    </row>
    <row r="178" spans="2:16" x14ac:dyDescent="0.25">
      <c r="B178" s="413"/>
      <c r="C178" s="413"/>
      <c r="D178" s="413"/>
      <c r="E178" s="413"/>
      <c r="F178" s="413"/>
      <c r="G178" s="413"/>
      <c r="H178" s="413"/>
      <c r="I178" s="413"/>
      <c r="J178" s="413"/>
      <c r="K178" s="413"/>
      <c r="L178" s="413"/>
      <c r="M178" s="413"/>
      <c r="N178" s="413"/>
      <c r="O178" s="413"/>
      <c r="P178" s="413"/>
    </row>
    <row r="179" spans="2:16" x14ac:dyDescent="0.25">
      <c r="B179" s="413"/>
      <c r="C179" s="413"/>
      <c r="D179" s="413"/>
      <c r="E179" s="413"/>
      <c r="F179" s="413"/>
      <c r="G179" s="413"/>
      <c r="H179" s="413"/>
      <c r="I179" s="413"/>
      <c r="J179" s="413"/>
      <c r="K179" s="413"/>
      <c r="L179" s="413"/>
      <c r="M179" s="413"/>
      <c r="N179" s="413"/>
      <c r="O179" s="413"/>
      <c r="P179" s="413"/>
    </row>
    <row r="180" spans="2:16" x14ac:dyDescent="0.25">
      <c r="B180" s="413"/>
      <c r="C180" s="413"/>
      <c r="D180" s="413"/>
      <c r="E180" s="413"/>
      <c r="F180" s="413"/>
      <c r="G180" s="413"/>
      <c r="H180" s="413"/>
      <c r="I180" s="413"/>
      <c r="J180" s="413"/>
      <c r="K180" s="413"/>
      <c r="L180" s="413"/>
      <c r="M180" s="413"/>
      <c r="N180" s="413"/>
      <c r="O180" s="413"/>
      <c r="P180" s="413"/>
    </row>
    <row r="181" spans="2:16" x14ac:dyDescent="0.25">
      <c r="B181" s="413"/>
      <c r="C181" s="413"/>
      <c r="D181" s="413"/>
      <c r="E181" s="413"/>
      <c r="F181" s="413"/>
      <c r="G181" s="413"/>
      <c r="H181" s="413"/>
      <c r="I181" s="413"/>
      <c r="J181" s="413"/>
      <c r="K181" s="413"/>
      <c r="L181" s="413"/>
      <c r="M181" s="413"/>
      <c r="N181" s="413"/>
      <c r="O181" s="413"/>
      <c r="P181" s="413"/>
    </row>
    <row r="182" spans="2:16" x14ac:dyDescent="0.25">
      <c r="B182" s="413"/>
      <c r="C182" s="413"/>
      <c r="D182" s="413"/>
      <c r="E182" s="413"/>
      <c r="F182" s="413"/>
      <c r="G182" s="413"/>
      <c r="H182" s="413"/>
      <c r="I182" s="413"/>
      <c r="J182" s="413"/>
      <c r="K182" s="413"/>
      <c r="L182" s="413"/>
      <c r="M182" s="413"/>
      <c r="N182" s="413"/>
      <c r="O182" s="413"/>
      <c r="P182" s="413"/>
    </row>
    <row r="183" spans="2:16" x14ac:dyDescent="0.25">
      <c r="B183" s="614"/>
      <c r="C183" s="614"/>
      <c r="D183" s="614"/>
      <c r="E183" s="413"/>
      <c r="F183" s="413"/>
      <c r="G183" s="413"/>
      <c r="H183" s="413"/>
      <c r="I183" s="413"/>
      <c r="J183" s="413"/>
      <c r="K183" s="413"/>
      <c r="L183" s="413"/>
      <c r="M183" s="413"/>
      <c r="N183" s="413"/>
      <c r="O183" s="413"/>
      <c r="P183" s="413"/>
    </row>
    <row r="184" spans="2:16" x14ac:dyDescent="0.25">
      <c r="B184" s="615"/>
      <c r="C184" s="616"/>
      <c r="D184" s="616"/>
      <c r="E184" s="616"/>
      <c r="F184" s="413"/>
      <c r="G184" s="413"/>
      <c r="H184" s="413"/>
      <c r="I184" s="413"/>
      <c r="J184" s="413"/>
      <c r="K184" s="413"/>
      <c r="L184" s="413"/>
      <c r="M184" s="413"/>
      <c r="N184" s="413"/>
      <c r="O184" s="413"/>
      <c r="P184" s="413"/>
    </row>
    <row r="185" spans="2:16" x14ac:dyDescent="0.25">
      <c r="B185" s="616"/>
      <c r="C185" s="617"/>
      <c r="D185" s="617"/>
      <c r="E185" s="617"/>
      <c r="F185" s="413"/>
      <c r="G185" s="413"/>
      <c r="H185" s="413"/>
      <c r="I185" s="413"/>
      <c r="J185" s="413"/>
      <c r="K185" s="413"/>
      <c r="L185" s="413"/>
      <c r="M185" s="413"/>
      <c r="N185" s="413"/>
      <c r="O185" s="413"/>
      <c r="P185" s="413"/>
    </row>
    <row r="186" spans="2:16" x14ac:dyDescent="0.25">
      <c r="B186" s="616"/>
      <c r="C186" s="617"/>
      <c r="D186" s="617"/>
      <c r="E186" s="617"/>
      <c r="F186" s="413"/>
      <c r="G186" s="413"/>
      <c r="H186" s="413"/>
      <c r="I186" s="413"/>
      <c r="J186" s="413"/>
      <c r="K186" s="413"/>
      <c r="L186" s="413"/>
      <c r="M186" s="413"/>
      <c r="N186" s="413"/>
      <c r="O186" s="413"/>
      <c r="P186" s="413"/>
    </row>
    <row r="187" spans="2:16" x14ac:dyDescent="0.25">
      <c r="B187" s="616"/>
      <c r="C187" s="617"/>
      <c r="D187" s="617"/>
      <c r="E187" s="617"/>
      <c r="F187" s="413"/>
      <c r="G187" s="413"/>
      <c r="H187" s="413"/>
      <c r="I187" s="413"/>
      <c r="J187" s="413"/>
    </row>
    <row r="188" spans="2:16" x14ac:dyDescent="0.25">
      <c r="B188" s="458"/>
      <c r="C188" s="508"/>
      <c r="D188" s="508"/>
      <c r="E188" s="508"/>
    </row>
    <row r="189" spans="2:16" x14ac:dyDescent="0.25">
      <c r="B189" s="458"/>
      <c r="C189" s="508"/>
      <c r="D189" s="508"/>
      <c r="E189" s="508"/>
    </row>
    <row r="190" spans="2:16" x14ac:dyDescent="0.25">
      <c r="B190" s="458"/>
      <c r="C190" s="508"/>
      <c r="D190" s="508"/>
      <c r="E190" s="508"/>
    </row>
    <row r="191" spans="2:16" x14ac:dyDescent="0.25">
      <c r="B191" s="458"/>
      <c r="C191" s="508"/>
      <c r="D191" s="508"/>
      <c r="E191" s="508"/>
    </row>
  </sheetData>
  <sheetProtection sort="0" autoFilter="0" pivotTables="0"/>
  <mergeCells count="26">
    <mergeCell ref="B35:C35"/>
    <mergeCell ref="B44:C44"/>
    <mergeCell ref="J1:L1"/>
    <mergeCell ref="B2:C2"/>
    <mergeCell ref="E11:F11"/>
    <mergeCell ref="E15:F15"/>
    <mergeCell ref="B11:C11"/>
    <mergeCell ref="B7:F7"/>
    <mergeCell ref="B10:F10"/>
    <mergeCell ref="B42:F42"/>
    <mergeCell ref="B32:F32"/>
    <mergeCell ref="B33:F33"/>
    <mergeCell ref="B40:F40"/>
    <mergeCell ref="B41:F41"/>
    <mergeCell ref="B84:C84"/>
    <mergeCell ref="B51:F51"/>
    <mergeCell ref="B52:C52"/>
    <mergeCell ref="B107:D107"/>
    <mergeCell ref="H96:J96"/>
    <mergeCell ref="B66:C66"/>
    <mergeCell ref="B96:F96"/>
    <mergeCell ref="B83:F83"/>
    <mergeCell ref="B76:C76"/>
    <mergeCell ref="B65:C65"/>
    <mergeCell ref="C56:C57"/>
    <mergeCell ref="B75:C75"/>
  </mergeCells>
  <conditionalFormatting sqref="B53:B55 C54 B56:C56 B57:B61 C58:C60 F81 B84">
    <cfRule type="cellIs" dxfId="68" priority="62" operator="equal">
      <formula>"Onshore"</formula>
    </cfRule>
    <cfRule type="cellIs" dxfId="67" priority="63" operator="equal">
      <formula>"Onsite"</formula>
    </cfRule>
    <cfRule type="cellIs" dxfId="66" priority="64" operator="equal">
      <formula>"Onsite"</formula>
    </cfRule>
    <cfRule type="cellIs" dxfId="65" priority="65" operator="equal">
      <formula>"Onshore"</formula>
    </cfRule>
  </conditionalFormatting>
  <conditionalFormatting sqref="C53">
    <cfRule type="cellIs" dxfId="64" priority="1" operator="lessThan">
      <formula>0.47</formula>
    </cfRule>
  </conditionalFormatting>
  <conditionalFormatting sqref="E3">
    <cfRule type="expression" dxfId="63" priority="186">
      <formula>$E$3="ROPE Ready for Upload"</formula>
    </cfRule>
    <cfRule type="expression" dxfId="62" priority="187">
      <formula>$E$3="ROPE INCOMPLETE -- WILL NOT UPLOAD"</formula>
    </cfRule>
  </conditionalFormatting>
  <conditionalFormatting sqref="J53:J79">
    <cfRule type="beginsWith" dxfId="61" priority="43" operator="beginsWith" text="[">
      <formula>LEFT(J53,LEN("["))="["</formula>
    </cfRule>
  </conditionalFormatting>
  <conditionalFormatting sqref="K53:K70">
    <cfRule type="expression" dxfId="60" priority="174">
      <formula>#REF!="%"</formula>
    </cfRule>
  </conditionalFormatting>
  <conditionalFormatting sqref="K71:K73">
    <cfRule type="expression" dxfId="59" priority="213">
      <formula>$I22="%"</formula>
    </cfRule>
  </conditionalFormatting>
  <conditionalFormatting sqref="K74 K76:K77">
    <cfRule type="expression" dxfId="58" priority="206">
      <formula>#REF!="%"</formula>
    </cfRule>
  </conditionalFormatting>
  <conditionalFormatting sqref="K75">
    <cfRule type="expression" dxfId="57" priority="45">
      <formula>$I25="%"</formula>
    </cfRule>
  </conditionalFormatting>
  <conditionalFormatting sqref="K78">
    <cfRule type="expression" dxfId="56" priority="202">
      <formula>$I25="%"</formula>
    </cfRule>
  </conditionalFormatting>
  <conditionalFormatting sqref="K79">
    <cfRule type="expression" dxfId="55" priority="211">
      <formula>$I28="%"</formula>
    </cfRule>
  </conditionalFormatting>
  <conditionalFormatting sqref="L53:L70">
    <cfRule type="expression" dxfId="54" priority="176">
      <formula>#REF!="Hrs"</formula>
    </cfRule>
  </conditionalFormatting>
  <conditionalFormatting sqref="L71:L73">
    <cfRule type="expression" dxfId="53" priority="219">
      <formula>$I22="Hrs"</formula>
    </cfRule>
  </conditionalFormatting>
  <conditionalFormatting sqref="L74 L76:L77">
    <cfRule type="expression" dxfId="52" priority="208">
      <formula>#REF!="Hrs"</formula>
    </cfRule>
  </conditionalFormatting>
  <conditionalFormatting sqref="L75">
    <cfRule type="expression" dxfId="51" priority="44">
      <formula>$I25="Hrs"</formula>
    </cfRule>
  </conditionalFormatting>
  <conditionalFormatting sqref="L78">
    <cfRule type="expression" dxfId="50" priority="204">
      <formula>$I25="Hrs"</formula>
    </cfRule>
  </conditionalFormatting>
  <conditionalFormatting sqref="L79">
    <cfRule type="expression" dxfId="49" priority="212">
      <formula>$I28="Hrs"</formula>
    </cfRule>
  </conditionalFormatting>
  <hyperlinks>
    <hyperlink ref="B57" location="'3. Financial Inputs'!C17" display="(Please see 3. Financial Inputs to edit Contingency)" xr:uid="{97D4430C-E31C-4339-AF3B-6788D2801C4E}"/>
  </hyperlink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2AC06-E6F2-4680-A912-8AECDD40E3A0}">
  <sheetPr codeName="Sheet15">
    <tabColor theme="3" tint="0.89999084444715716"/>
    <pageSetUpPr autoPageBreaks="0"/>
  </sheetPr>
  <dimension ref="A1:ET35"/>
  <sheetViews>
    <sheetView showGridLines="0" zoomScale="69" zoomScaleNormal="100" workbookViewId="0">
      <pane ySplit="4" topLeftCell="A25" activePane="bottomLeft" state="frozen"/>
      <selection activeCell="G20" sqref="G20"/>
      <selection pane="bottomLeft" activeCell="B1" sqref="B1:B1048576"/>
    </sheetView>
  </sheetViews>
  <sheetFormatPr defaultColWidth="8.44140625" defaultRowHeight="13.8" x14ac:dyDescent="0.25"/>
  <cols>
    <col min="1" max="1" width="4.44140625" style="395" customWidth="1"/>
    <col min="2" max="2" width="22.77734375" style="395" hidden="1" customWidth="1"/>
    <col min="3" max="3" width="29.44140625" style="395" customWidth="1"/>
    <col min="4" max="4" width="98.44140625" style="395" bestFit="1" customWidth="1"/>
    <col min="5" max="5" width="69.21875" style="395" customWidth="1"/>
    <col min="6" max="6" width="8.44140625" style="395"/>
    <col min="7" max="7" width="17.44140625" style="395" bestFit="1" customWidth="1"/>
    <col min="8" max="16384" width="8.44140625" style="395"/>
  </cols>
  <sheetData>
    <row r="1" spans="1:150" s="469" customFormat="1" ht="12" customHeight="1" x14ac:dyDescent="0.25"/>
    <row r="2" spans="1:150" s="469" customFormat="1" ht="25.8" x14ac:dyDescent="0.25">
      <c r="C2" s="625" t="s">
        <v>2262</v>
      </c>
      <c r="E2" s="622" t="s">
        <v>2241</v>
      </c>
    </row>
    <row r="3" spans="1:150" s="469" customFormat="1" x14ac:dyDescent="0.25">
      <c r="C3" s="1874" t="s">
        <v>2304</v>
      </c>
      <c r="D3" s="1874"/>
      <c r="E3" s="735" t="str">
        <f>'2. Roles &amp; Pricing'!L3</f>
        <v>ROPE Ready for Upload</v>
      </c>
    </row>
    <row r="4" spans="1:150" s="469" customFormat="1" ht="13.05" customHeight="1" x14ac:dyDescent="0.25">
      <c r="C4" s="1874"/>
      <c r="D4" s="1874"/>
    </row>
    <row r="5" spans="1:150" s="526" customFormat="1" ht="7.05" customHeight="1" x14ac:dyDescent="0.25"/>
    <row r="6" spans="1:150" ht="17.399999999999999" x14ac:dyDescent="0.25">
      <c r="C6" s="740" t="s">
        <v>2</v>
      </c>
      <c r="D6" s="403"/>
      <c r="E6" s="403"/>
    </row>
    <row r="7" spans="1:150" x14ac:dyDescent="0.25">
      <c r="C7" s="1879" t="s">
        <v>3284</v>
      </c>
      <c r="D7" s="1879"/>
      <c r="E7" s="1879"/>
    </row>
    <row r="8" spans="1:150" x14ac:dyDescent="0.25">
      <c r="C8" s="1880" t="s">
        <v>3285</v>
      </c>
      <c r="D8" s="1880"/>
      <c r="E8" s="1880"/>
    </row>
    <row r="9" spans="1:150" x14ac:dyDescent="0.25">
      <c r="C9" s="1880" t="s">
        <v>3286</v>
      </c>
      <c r="D9" s="1880"/>
      <c r="E9" s="1880"/>
    </row>
    <row r="10" spans="1:150" x14ac:dyDescent="0.25">
      <c r="C10" s="1241"/>
      <c r="D10" s="1241"/>
      <c r="E10" s="1241"/>
    </row>
    <row r="11" spans="1:150" s="478" customFormat="1" ht="27" customHeight="1" thickBot="1" x14ac:dyDescent="0.3">
      <c r="A11" s="395"/>
      <c r="B11" s="395"/>
      <c r="C11" s="1161" t="s">
        <v>2340</v>
      </c>
      <c r="D11" s="475"/>
      <c r="E11" s="475"/>
      <c r="F11" s="475"/>
      <c r="G11" s="475"/>
      <c r="H11" s="475"/>
      <c r="I11" s="475"/>
      <c r="J11" s="475"/>
      <c r="K11" s="475"/>
      <c r="L11" s="475"/>
      <c r="M11" s="475"/>
      <c r="N11" s="475"/>
      <c r="O11" s="475"/>
      <c r="P11" s="475"/>
      <c r="Q11" s="475"/>
      <c r="R11" s="475"/>
      <c r="S11" s="475"/>
      <c r="T11" s="475"/>
      <c r="U11" s="475"/>
      <c r="V11" s="475"/>
      <c r="W11" s="475"/>
      <c r="X11" s="475"/>
      <c r="Y11" s="475"/>
      <c r="Z11" s="475"/>
      <c r="AA11" s="475"/>
      <c r="AB11" s="475"/>
      <c r="AC11" s="475"/>
      <c r="AD11" s="475"/>
      <c r="AE11" s="403"/>
      <c r="AF11" s="476"/>
      <c r="AG11" s="477"/>
      <c r="AH11" s="477"/>
      <c r="AI11" s="395"/>
      <c r="AJ11" s="475"/>
      <c r="AK11" s="475"/>
      <c r="AL11" s="475"/>
      <c r="AM11" s="475"/>
      <c r="AN11" s="475"/>
      <c r="AO11" s="475"/>
      <c r="AP11" s="475"/>
      <c r="AQ11" s="475"/>
      <c r="AR11" s="475"/>
      <c r="AS11" s="475"/>
      <c r="AT11" s="475"/>
      <c r="AU11" s="475"/>
      <c r="AV11" s="475"/>
      <c r="AW11" s="475"/>
      <c r="AX11" s="475"/>
      <c r="AY11" s="475"/>
      <c r="AZ11" s="475"/>
      <c r="BA11" s="475"/>
      <c r="BB11" s="475"/>
      <c r="BC11" s="475"/>
      <c r="BD11" s="475"/>
      <c r="BE11" s="475"/>
      <c r="BF11" s="475"/>
      <c r="BG11" s="475"/>
      <c r="BH11" s="475"/>
      <c r="BI11" s="475"/>
      <c r="BJ11" s="475"/>
      <c r="BK11" s="475"/>
      <c r="BL11" s="475"/>
      <c r="BM11" s="475"/>
      <c r="BN11" s="475"/>
      <c r="BO11" s="475"/>
      <c r="BP11" s="475"/>
      <c r="BQ11" s="475"/>
      <c r="BR11" s="475"/>
      <c r="BS11" s="475"/>
      <c r="BT11" s="475"/>
      <c r="BU11" s="475"/>
      <c r="BV11" s="475"/>
      <c r="BW11" s="475"/>
      <c r="BX11" s="475"/>
      <c r="BY11" s="475"/>
      <c r="BZ11" s="475"/>
      <c r="CA11" s="475"/>
      <c r="CB11" s="475"/>
      <c r="CC11" s="475"/>
      <c r="CD11" s="475"/>
      <c r="CE11" s="475"/>
      <c r="CF11" s="475"/>
      <c r="CG11" s="475"/>
      <c r="CH11" s="475"/>
      <c r="CI11" s="475"/>
      <c r="CJ11" s="475"/>
      <c r="CK11" s="475"/>
      <c r="CL11" s="475"/>
      <c r="CM11" s="475"/>
      <c r="CN11" s="475"/>
      <c r="CO11" s="475"/>
      <c r="CP11" s="475"/>
      <c r="CQ11" s="475"/>
      <c r="CR11" s="475"/>
      <c r="CS11" s="475"/>
      <c r="CT11" s="475"/>
      <c r="CU11" s="475"/>
      <c r="CV11" s="475"/>
      <c r="CW11" s="475"/>
      <c r="CX11" s="475"/>
      <c r="CY11" s="475"/>
      <c r="CZ11" s="475"/>
      <c r="DA11" s="475"/>
      <c r="DB11" s="475"/>
      <c r="DC11" s="475"/>
      <c r="DD11" s="475"/>
      <c r="DE11" s="475"/>
      <c r="DF11" s="475"/>
      <c r="DG11" s="475"/>
      <c r="DH11" s="475"/>
      <c r="DI11" s="475"/>
      <c r="DJ11" s="475"/>
      <c r="DK11" s="475"/>
      <c r="DL11" s="475"/>
      <c r="DM11" s="475"/>
      <c r="DN11" s="475"/>
      <c r="DO11" s="475"/>
      <c r="DP11" s="475"/>
      <c r="DQ11" s="475"/>
      <c r="DR11" s="475"/>
      <c r="DS11" s="475"/>
      <c r="DT11" s="475"/>
      <c r="DU11" s="475"/>
      <c r="DV11" s="475"/>
      <c r="DW11" s="475"/>
      <c r="DX11" s="475"/>
      <c r="DY11" s="475"/>
      <c r="DZ11" s="475"/>
      <c r="EA11" s="475"/>
      <c r="EB11" s="475"/>
      <c r="EC11" s="475"/>
      <c r="ED11" s="475"/>
      <c r="EE11" s="475"/>
      <c r="EF11" s="475"/>
      <c r="EG11" s="475"/>
      <c r="EH11" s="475"/>
      <c r="EI11" s="475"/>
      <c r="EJ11" s="475"/>
      <c r="EK11" s="475"/>
      <c r="EL11" s="475"/>
      <c r="EM11" s="475"/>
      <c r="EN11" s="475"/>
      <c r="EO11" s="475"/>
      <c r="EP11" s="475"/>
      <c r="EQ11" s="475"/>
      <c r="ER11" s="475"/>
      <c r="ES11" s="475"/>
      <c r="ET11" s="475"/>
    </row>
    <row r="13" spans="1:150" ht="22.5" customHeight="1" x14ac:dyDescent="0.25">
      <c r="C13" s="1660" t="s">
        <v>2161</v>
      </c>
      <c r="D13" s="1661"/>
    </row>
    <row r="14" spans="1:150" ht="24.45" customHeight="1" x14ac:dyDescent="0.25">
      <c r="C14" s="1875" t="str">
        <f>IF(COUNTIF(B21:B99,"FAIL")&gt;0,"ROPE Not Ready for Upload","ROPE Ready for Upload")</f>
        <v>ROPE Ready for Upload</v>
      </c>
      <c r="D14" s="1877" t="str">
        <f>IF(C14="ROPE Not Ready for Upload","Please see below list to determine what inputs are needed for your ROPE to upload successfully","")</f>
        <v/>
      </c>
    </row>
    <row r="15" spans="1:150" ht="30.45" customHeight="1" x14ac:dyDescent="0.25">
      <c r="C15" s="1876"/>
      <c r="D15" s="1878"/>
    </row>
    <row r="16" spans="1:150" ht="19.95" customHeight="1" x14ac:dyDescent="0.25"/>
    <row r="17" spans="1:150" s="478" customFormat="1" ht="27" customHeight="1" thickBot="1" x14ac:dyDescent="0.3">
      <c r="A17" s="395"/>
      <c r="B17" s="395"/>
      <c r="C17" s="1161" t="s">
        <v>2341</v>
      </c>
      <c r="D17" s="475"/>
      <c r="E17" s="475"/>
      <c r="F17" s="475"/>
      <c r="G17" s="475"/>
      <c r="H17" s="475"/>
      <c r="I17" s="475"/>
      <c r="J17" s="475"/>
      <c r="K17" s="475"/>
      <c r="L17" s="475"/>
      <c r="M17" s="475"/>
      <c r="N17" s="475"/>
      <c r="O17" s="475"/>
      <c r="P17" s="475"/>
      <c r="Q17" s="475"/>
      <c r="R17" s="475"/>
      <c r="S17" s="475"/>
      <c r="T17" s="475"/>
      <c r="U17" s="475"/>
      <c r="V17" s="475"/>
      <c r="W17" s="475"/>
      <c r="X17" s="475"/>
      <c r="Y17" s="475"/>
      <c r="Z17" s="475"/>
      <c r="AA17" s="475"/>
      <c r="AB17" s="475"/>
      <c r="AC17" s="475"/>
      <c r="AD17" s="475"/>
      <c r="AE17" s="403"/>
      <c r="AF17" s="476"/>
      <c r="AG17" s="477"/>
      <c r="AH17" s="477"/>
      <c r="AI17" s="395"/>
      <c r="AJ17" s="475"/>
      <c r="AK17" s="475"/>
      <c r="AL17" s="475"/>
      <c r="AM17" s="475"/>
      <c r="AN17" s="475"/>
      <c r="AO17" s="475"/>
      <c r="AP17" s="475"/>
      <c r="AQ17" s="475"/>
      <c r="AR17" s="475"/>
      <c r="AS17" s="475"/>
      <c r="AT17" s="475"/>
      <c r="AU17" s="475"/>
      <c r="AV17" s="475"/>
      <c r="AW17" s="475"/>
      <c r="AX17" s="475"/>
      <c r="AY17" s="475"/>
      <c r="AZ17" s="475"/>
      <c r="BA17" s="475"/>
      <c r="BB17" s="475"/>
      <c r="BC17" s="475"/>
      <c r="BD17" s="475"/>
      <c r="BE17" s="475"/>
      <c r="BF17" s="475"/>
      <c r="BG17" s="475"/>
      <c r="BH17" s="475"/>
      <c r="BI17" s="475"/>
      <c r="BJ17" s="475"/>
      <c r="BK17" s="475"/>
      <c r="BL17" s="475"/>
      <c r="BM17" s="475"/>
      <c r="BN17" s="475"/>
      <c r="BO17" s="475"/>
      <c r="BP17" s="475"/>
      <c r="BQ17" s="475"/>
      <c r="BR17" s="475"/>
      <c r="BS17" s="475"/>
      <c r="BT17" s="475"/>
      <c r="BU17" s="475"/>
      <c r="BV17" s="475"/>
      <c r="BW17" s="475"/>
      <c r="BX17" s="475"/>
      <c r="BY17" s="475"/>
      <c r="BZ17" s="475"/>
      <c r="CA17" s="475"/>
      <c r="CB17" s="475"/>
      <c r="CC17" s="475"/>
      <c r="CD17" s="475"/>
      <c r="CE17" s="475"/>
      <c r="CF17" s="475"/>
      <c r="CG17" s="475"/>
      <c r="CH17" s="475"/>
      <c r="CI17" s="475"/>
      <c r="CJ17" s="475"/>
      <c r="CK17" s="475"/>
      <c r="CL17" s="475"/>
      <c r="CM17" s="475"/>
      <c r="CN17" s="475"/>
      <c r="CO17" s="475"/>
      <c r="CP17" s="475"/>
      <c r="CQ17" s="475"/>
      <c r="CR17" s="475"/>
      <c r="CS17" s="475"/>
      <c r="CT17" s="475"/>
      <c r="CU17" s="475"/>
      <c r="CV17" s="475"/>
      <c r="CW17" s="475"/>
      <c r="CX17" s="475"/>
      <c r="CY17" s="475"/>
      <c r="CZ17" s="475"/>
      <c r="DA17" s="475"/>
      <c r="DB17" s="475"/>
      <c r="DC17" s="475"/>
      <c r="DD17" s="475"/>
      <c r="DE17" s="475"/>
      <c r="DF17" s="475"/>
      <c r="DG17" s="475"/>
      <c r="DH17" s="475"/>
      <c r="DI17" s="475"/>
      <c r="DJ17" s="475"/>
      <c r="DK17" s="475"/>
      <c r="DL17" s="475"/>
      <c r="DM17" s="475"/>
      <c r="DN17" s="475"/>
      <c r="DO17" s="475"/>
      <c r="DP17" s="475"/>
      <c r="DQ17" s="475"/>
      <c r="DR17" s="475"/>
      <c r="DS17" s="475"/>
      <c r="DT17" s="475"/>
      <c r="DU17" s="475"/>
      <c r="DV17" s="475"/>
      <c r="DW17" s="475"/>
      <c r="DX17" s="475"/>
      <c r="DY17" s="475"/>
      <c r="DZ17" s="475"/>
      <c r="EA17" s="475"/>
      <c r="EB17" s="475"/>
      <c r="EC17" s="475"/>
      <c r="ED17" s="475"/>
      <c r="EE17" s="475"/>
      <c r="EF17" s="475"/>
      <c r="EG17" s="475"/>
      <c r="EH17" s="475"/>
      <c r="EI17" s="475"/>
      <c r="EJ17" s="475"/>
      <c r="EK17" s="475"/>
      <c r="EL17" s="475"/>
      <c r="EM17" s="475"/>
      <c r="EN17" s="475"/>
      <c r="EO17" s="475"/>
      <c r="EP17" s="475"/>
      <c r="EQ17" s="475"/>
      <c r="ER17" s="475"/>
      <c r="ES17" s="475"/>
      <c r="ET17" s="475"/>
    </row>
    <row r="19" spans="1:150" x14ac:dyDescent="0.25">
      <c r="C19" s="1660" t="s">
        <v>2182</v>
      </c>
      <c r="D19" s="1866"/>
      <c r="E19" s="1661"/>
    </row>
    <row r="20" spans="1:150" s="407" customFormat="1" ht="25.05" customHeight="1" x14ac:dyDescent="0.3">
      <c r="B20" s="407" t="s">
        <v>2072</v>
      </c>
      <c r="C20" s="1242" t="s">
        <v>2075</v>
      </c>
      <c r="D20" s="1242" t="s">
        <v>1879</v>
      </c>
      <c r="E20" s="1242" t="s">
        <v>2074</v>
      </c>
    </row>
    <row r="21" spans="1:150" ht="27" customHeight="1" x14ac:dyDescent="0.25">
      <c r="B21" s="624" t="str">
        <f>IF('1. Project Inputs'!C19="Select Entity","FAIL","PASS")</f>
        <v>PASS</v>
      </c>
      <c r="C21" s="994" t="s">
        <v>3573</v>
      </c>
      <c r="D21" s="995" t="s">
        <v>2380</v>
      </c>
      <c r="E21" s="996" t="s">
        <v>3690</v>
      </c>
    </row>
    <row r="22" spans="1:150" ht="30" customHeight="1" x14ac:dyDescent="0.25">
      <c r="B22" s="624" t="str">
        <f>IF('1. Project Inputs'!C22="Enter Project Code","FAIL","PASS")</f>
        <v>PASS</v>
      </c>
      <c r="C22" s="990" t="s">
        <v>2064</v>
      </c>
      <c r="D22" s="988" t="s">
        <v>2381</v>
      </c>
      <c r="E22" s="991" t="s">
        <v>3689</v>
      </c>
    </row>
    <row r="23" spans="1:150" ht="37.950000000000003" customHeight="1" x14ac:dyDescent="0.25">
      <c r="B23" s="624" t="str">
        <f>IF('1. Project Inputs'!C24="Select Project Type","FAIL","PASS")</f>
        <v>PASS</v>
      </c>
      <c r="C23" s="990" t="s">
        <v>23</v>
      </c>
      <c r="D23" s="989" t="s">
        <v>2382</v>
      </c>
      <c r="E23" s="992" t="s">
        <v>2302</v>
      </c>
    </row>
    <row r="24" spans="1:150" ht="55.5" customHeight="1" x14ac:dyDescent="0.25">
      <c r="B24" s="624" t="str">
        <f>IF('1. Project Inputs'!C25="Select Type","FAIL","PASS")</f>
        <v>PASS</v>
      </c>
      <c r="C24" s="990" t="s">
        <v>2065</v>
      </c>
      <c r="D24" s="989" t="s">
        <v>3206</v>
      </c>
      <c r="E24" s="992" t="s">
        <v>2073</v>
      </c>
    </row>
    <row r="25" spans="1:150" ht="55.05" customHeight="1" x14ac:dyDescent="0.25">
      <c r="B25" s="624" t="str">
        <f>IF('1. Project Inputs'!C27="Enter Start Date","FAIL","PASS")</f>
        <v>PASS</v>
      </c>
      <c r="C25" s="990" t="s">
        <v>1890</v>
      </c>
      <c r="D25" s="988" t="s">
        <v>2383</v>
      </c>
      <c r="E25" s="992" t="s">
        <v>2391</v>
      </c>
    </row>
    <row r="26" spans="1:150" ht="57.45" customHeight="1" x14ac:dyDescent="0.25">
      <c r="B26" s="624" t="str">
        <f>IF('1. Project Inputs'!C28="Select Type","FAIL","PASS")</f>
        <v>PASS</v>
      </c>
      <c r="C26" s="990" t="s">
        <v>27</v>
      </c>
      <c r="D26" s="988" t="s">
        <v>2384</v>
      </c>
      <c r="E26" s="992" t="s">
        <v>3198</v>
      </c>
    </row>
    <row r="27" spans="1:150" ht="59.55" customHeight="1" x14ac:dyDescent="0.25">
      <c r="B27" s="624" t="str">
        <f>IF('1. Project Inputs'!C29="Enter Project Durations (Wks)","FAIL","PASS")</f>
        <v>PASS</v>
      </c>
      <c r="C27" s="990" t="s">
        <v>2066</v>
      </c>
      <c r="D27" s="989" t="s">
        <v>2385</v>
      </c>
      <c r="E27" s="992" t="s">
        <v>2390</v>
      </c>
    </row>
    <row r="28" spans="1:150" ht="96.6" x14ac:dyDescent="0.25">
      <c r="B28" s="624" t="str">
        <f>IF(AND('1. Project Inputs'!C25="Client Custom Rates",ISBLANK('1. Project Inputs'!C26)),"FAIL","PASS")</f>
        <v>PASS</v>
      </c>
      <c r="C28" s="990" t="s">
        <v>2067</v>
      </c>
      <c r="D28" s="989" t="s">
        <v>2386</v>
      </c>
      <c r="E28" s="992" t="s">
        <v>2392</v>
      </c>
    </row>
    <row r="29" spans="1:150" ht="55.2" x14ac:dyDescent="0.25">
      <c r="B29" s="624" t="str">
        <f>IF('1. Project Inputs'!C18="Enter Client","FAIL","PASS")</f>
        <v>PASS</v>
      </c>
      <c r="C29" s="990" t="s">
        <v>2068</v>
      </c>
      <c r="D29" s="988" t="s">
        <v>2387</v>
      </c>
      <c r="E29" s="992" t="s">
        <v>2393</v>
      </c>
    </row>
    <row r="30" spans="1:150" ht="55.2" x14ac:dyDescent="0.25">
      <c r="B30" s="624" t="str">
        <f>IF(ISBLANK('1. Project Inputs'!C26)=TRUE,"PASS",IF(_xlfn.XLOOKUP('1. Project Inputs'!C26,'Client Rate Cards'!$B$8:$B$1938,'Client Rate Cards'!$A$8:$A$1938)&lt;&gt;'1. Project Inputs'!C18,"FAIL","PASS"))</f>
        <v>PASS</v>
      </c>
      <c r="C30" s="990" t="s">
        <v>2237</v>
      </c>
      <c r="D30" s="988" t="s">
        <v>2071</v>
      </c>
      <c r="E30" s="992" t="s">
        <v>2393</v>
      </c>
    </row>
    <row r="31" spans="1:150" ht="41.4" x14ac:dyDescent="0.25">
      <c r="B31" s="624" t="str">
        <f>IF(COUNTA('2. Roles &amp; Pricing'!K48:K148)&lt;1,"FAIL","PASS")</f>
        <v>PASS</v>
      </c>
      <c r="C31" s="990" t="s">
        <v>2069</v>
      </c>
      <c r="D31" s="988" t="s">
        <v>2388</v>
      </c>
      <c r="E31" s="992" t="s">
        <v>2076</v>
      </c>
    </row>
    <row r="32" spans="1:150" ht="27.6" x14ac:dyDescent="0.25">
      <c r="B32" s="624" t="str">
        <f>IF('2. Roles &amp; Pricing'!M289&lt;1,"FAIL","PASS")</f>
        <v>PASS</v>
      </c>
      <c r="C32" s="990" t="s">
        <v>2070</v>
      </c>
      <c r="D32" s="988" t="s">
        <v>2389</v>
      </c>
      <c r="E32" s="992" t="s">
        <v>2077</v>
      </c>
    </row>
    <row r="33" spans="2:5" ht="27.6" x14ac:dyDescent="0.25">
      <c r="B33" s="624" t="str">
        <f>IF('3. Financial Inputs'!C17="Enter Contingency %","FAIL","PASS")</f>
        <v>PASS</v>
      </c>
      <c r="C33" s="990" t="s">
        <v>3293</v>
      </c>
      <c r="D33" s="988" t="s">
        <v>3294</v>
      </c>
      <c r="E33" s="992" t="s">
        <v>3295</v>
      </c>
    </row>
    <row r="34" spans="2:5" ht="49.05" customHeight="1" x14ac:dyDescent="0.25">
      <c r="C34" s="990" t="s">
        <v>2268</v>
      </c>
      <c r="D34" s="1315" t="s">
        <v>3170</v>
      </c>
      <c r="E34" s="992" t="s">
        <v>3171</v>
      </c>
    </row>
    <row r="35" spans="2:5" ht="41.4" x14ac:dyDescent="0.25">
      <c r="B35" s="395" t="str">
        <f>IF('1. Project Inputs'!C29="Enter Duration (Wks)","FAIL","PASS")</f>
        <v>PASS</v>
      </c>
      <c r="C35" s="993" t="s">
        <v>2066</v>
      </c>
      <c r="D35" s="1382" t="s">
        <v>3184</v>
      </c>
      <c r="E35" s="1383" t="s">
        <v>3185</v>
      </c>
    </row>
  </sheetData>
  <mergeCells count="8">
    <mergeCell ref="C3:D4"/>
    <mergeCell ref="C19:E19"/>
    <mergeCell ref="C14:C15"/>
    <mergeCell ref="D14:D15"/>
    <mergeCell ref="C13:D13"/>
    <mergeCell ref="C7:E7"/>
    <mergeCell ref="C8:E8"/>
    <mergeCell ref="C9:E9"/>
  </mergeCells>
  <conditionalFormatting sqref="C14">
    <cfRule type="cellIs" dxfId="48" priority="3" operator="equal">
      <formula>"ROPE Ready for Upload"</formula>
    </cfRule>
    <cfRule type="cellIs" dxfId="47" priority="4" operator="equal">
      <formula>"ROPE Not Ready for Upload"</formula>
    </cfRule>
  </conditionalFormatting>
  <conditionalFormatting sqref="C21:C35">
    <cfRule type="expression" dxfId="46" priority="5">
      <formula>$B21="FAIL"</formula>
    </cfRule>
  </conditionalFormatting>
  <conditionalFormatting sqref="E3">
    <cfRule type="expression" dxfId="45" priority="1">
      <formula>$E$3="ROPE Ready for Upload"</formula>
    </cfRule>
    <cfRule type="expression" dxfId="44" priority="2">
      <formula>$E$3="ROPE INCOMPLETE -- WILL NOT UPLOAD"</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67E8C-4750-4F39-B89B-3C861A0AD6A4}">
  <sheetPr codeName="Sheet16">
    <tabColor theme="3" tint="0.89999084444715716"/>
    <pageSetUpPr autoPageBreaks="0"/>
  </sheetPr>
  <dimension ref="B1:T143"/>
  <sheetViews>
    <sheetView showGridLines="0" zoomScale="112" zoomScaleNormal="91" workbookViewId="0">
      <pane ySplit="4" topLeftCell="A23" activePane="bottomLeft" state="frozen"/>
      <selection activeCell="E15" sqref="E15:F16"/>
      <selection pane="bottomLeft" activeCell="C26" sqref="C26:H26"/>
    </sheetView>
  </sheetViews>
  <sheetFormatPr defaultColWidth="9.21875" defaultRowHeight="13.8" outlineLevelCol="1" x14ac:dyDescent="0.25"/>
  <cols>
    <col min="1" max="1" width="5" style="749" customWidth="1"/>
    <col min="2" max="2" width="39.44140625" style="749" customWidth="1"/>
    <col min="3" max="3" width="11" style="749" customWidth="1"/>
    <col min="4" max="4" width="10.21875" style="749" customWidth="1"/>
    <col min="5" max="5" width="10.77734375" style="749" customWidth="1"/>
    <col min="6" max="6" width="8.77734375" style="749" customWidth="1"/>
    <col min="7" max="7" width="19" style="749" customWidth="1"/>
    <col min="8" max="8" width="13.44140625" style="749" customWidth="1"/>
    <col min="9" max="9" width="24.44140625" style="749" customWidth="1"/>
    <col min="10" max="10" width="15.21875" style="749" bestFit="1" customWidth="1"/>
    <col min="11" max="11" width="24.44140625" style="749" customWidth="1"/>
    <col min="12" max="12" width="33.21875" style="749" customWidth="1"/>
    <col min="13" max="13" width="9.21875" style="749"/>
    <col min="14" max="14" width="45.44140625" style="749" bestFit="1" customWidth="1"/>
    <col min="15" max="15" width="9.21875" style="749"/>
    <col min="16" max="17" width="36.21875" style="632" customWidth="1" outlineLevel="1"/>
    <col min="18" max="18" width="21.77734375" style="395" customWidth="1" outlineLevel="1"/>
    <col min="19" max="19" width="9.21875" style="395"/>
    <col min="20" max="16384" width="9.21875" style="749"/>
  </cols>
  <sheetData>
    <row r="1" spans="2:19" s="744" customFormat="1" ht="6" customHeight="1" x14ac:dyDescent="0.25">
      <c r="B1" s="472"/>
      <c r="C1" s="472"/>
      <c r="D1" s="472"/>
      <c r="E1" s="472"/>
      <c r="F1" s="472"/>
      <c r="P1" s="745"/>
      <c r="Q1" s="745"/>
      <c r="R1" s="469"/>
      <c r="S1" s="469"/>
    </row>
    <row r="2" spans="2:19" s="744" customFormat="1" ht="25.8" x14ac:dyDescent="0.25">
      <c r="B2" s="862" t="s">
        <v>2284</v>
      </c>
      <c r="C2" s="862"/>
      <c r="D2" s="862"/>
      <c r="E2" s="862"/>
      <c r="F2" s="862"/>
      <c r="I2" s="1693" t="s">
        <v>0</v>
      </c>
      <c r="J2" s="1697"/>
      <c r="K2" s="1937"/>
      <c r="L2" s="622" t="s">
        <v>2241</v>
      </c>
      <c r="P2" s="745"/>
      <c r="Q2" s="745"/>
      <c r="R2" s="469"/>
      <c r="S2" s="469"/>
    </row>
    <row r="3" spans="2:19" s="744" customFormat="1" ht="41.4" x14ac:dyDescent="0.25">
      <c r="B3" s="1946" t="s">
        <v>2305</v>
      </c>
      <c r="C3" s="1946"/>
      <c r="D3" s="1946"/>
      <c r="E3" s="1946"/>
      <c r="F3" s="1946"/>
      <c r="G3" s="1946"/>
      <c r="H3" s="1947"/>
      <c r="I3" s="834" t="s">
        <v>1887</v>
      </c>
      <c r="J3" s="833" t="s">
        <v>2261</v>
      </c>
      <c r="K3" s="835" t="s">
        <v>1889</v>
      </c>
      <c r="L3" s="746" t="str">
        <f>'2. Roles &amp; Pricing'!L3</f>
        <v>ROPE Ready for Upload</v>
      </c>
      <c r="P3" s="745"/>
      <c r="Q3" s="745"/>
      <c r="R3" s="469"/>
      <c r="S3" s="469"/>
    </row>
    <row r="4" spans="2:19" s="744" customFormat="1" ht="7.95" customHeight="1" x14ac:dyDescent="0.25">
      <c r="B4" s="747"/>
      <c r="C4" s="747"/>
      <c r="D4" s="747"/>
      <c r="E4" s="747"/>
      <c r="F4" s="747"/>
      <c r="J4" s="734"/>
      <c r="P4" s="745"/>
      <c r="Q4" s="745"/>
      <c r="R4" s="469"/>
      <c r="S4" s="469"/>
    </row>
    <row r="5" spans="2:19" s="407" customFormat="1" ht="19.95" customHeight="1" x14ac:dyDescent="0.25">
      <c r="B5" s="740" t="s">
        <v>2</v>
      </c>
      <c r="C5" s="740"/>
      <c r="D5" s="740"/>
      <c r="E5" s="740"/>
      <c r="F5" s="740"/>
      <c r="G5" s="402"/>
      <c r="H5" s="402"/>
      <c r="I5" s="402"/>
      <c r="J5" s="574"/>
      <c r="P5" s="852"/>
      <c r="Q5" s="852"/>
      <c r="R5" s="406"/>
      <c r="S5" s="406"/>
    </row>
    <row r="6" spans="2:19" s="406" customFormat="1" ht="21" customHeight="1" x14ac:dyDescent="0.3">
      <c r="B6" s="1953" t="s">
        <v>3684</v>
      </c>
      <c r="C6" s="1953"/>
      <c r="D6" s="1953"/>
      <c r="E6" s="1597"/>
      <c r="F6" s="1597"/>
      <c r="J6" s="1598"/>
      <c r="P6" s="852"/>
      <c r="Q6" s="852"/>
    </row>
    <row r="7" spans="2:19" s="407" customFormat="1" ht="15" customHeight="1" x14ac:dyDescent="0.25">
      <c r="B7" s="1951" t="s">
        <v>3686</v>
      </c>
      <c r="C7" s="1951"/>
      <c r="D7" s="1951"/>
      <c r="E7" s="1951"/>
      <c r="F7" s="1951"/>
      <c r="G7" s="1951"/>
      <c r="H7" s="1951"/>
      <c r="I7" s="1951"/>
      <c r="J7" s="1951"/>
      <c r="P7" s="852"/>
      <c r="Q7" s="852"/>
      <c r="R7" s="406"/>
      <c r="S7" s="406"/>
    </row>
    <row r="8" spans="2:19" s="407" customFormat="1" ht="25.95" customHeight="1" x14ac:dyDescent="0.25">
      <c r="B8" s="1951"/>
      <c r="C8" s="1951"/>
      <c r="D8" s="1951"/>
      <c r="E8" s="1951"/>
      <c r="F8" s="1951"/>
      <c r="G8" s="1951"/>
      <c r="H8" s="1951"/>
      <c r="I8" s="1951"/>
      <c r="J8" s="1951"/>
      <c r="P8" s="852"/>
      <c r="Q8" s="852"/>
      <c r="R8" s="406"/>
      <c r="S8" s="406"/>
    </row>
    <row r="9" spans="2:19" s="407" customFormat="1" ht="15" customHeight="1" x14ac:dyDescent="0.25">
      <c r="B9" s="853"/>
      <c r="C9" s="853"/>
      <c r="D9" s="853"/>
      <c r="E9" s="853"/>
      <c r="F9" s="853"/>
      <c r="G9" s="853"/>
      <c r="H9" s="853"/>
      <c r="I9" s="853"/>
      <c r="J9" s="853"/>
      <c r="P9" s="852"/>
      <c r="Q9" s="852"/>
      <c r="R9" s="406"/>
      <c r="S9" s="406"/>
    </row>
    <row r="10" spans="2:19" ht="24" customHeight="1" x14ac:dyDescent="0.25">
      <c r="B10" s="756" t="s">
        <v>1885</v>
      </c>
      <c r="C10" s="756"/>
      <c r="D10" s="756"/>
      <c r="E10" s="756"/>
      <c r="F10" s="756"/>
      <c r="G10" s="748"/>
      <c r="H10" s="748"/>
      <c r="I10" s="748"/>
      <c r="J10" s="748"/>
    </row>
    <row r="11" spans="2:19" x14ac:dyDescent="0.25">
      <c r="B11" s="1952" t="s">
        <v>3284</v>
      </c>
      <c r="C11" s="1952"/>
      <c r="D11" s="1952"/>
      <c r="E11" s="444"/>
      <c r="F11" s="444"/>
    </row>
    <row r="12" spans="2:19" x14ac:dyDescent="0.25">
      <c r="B12" s="1948" t="s">
        <v>2288</v>
      </c>
      <c r="C12" s="1949"/>
      <c r="D12" s="1949"/>
      <c r="E12" s="1949"/>
      <c r="F12" s="1950"/>
      <c r="G12" s="1551"/>
      <c r="H12" s="1551"/>
      <c r="I12" s="1551"/>
      <c r="J12" s="1551"/>
    </row>
    <row r="13" spans="2:19" s="411" customFormat="1" x14ac:dyDescent="0.25">
      <c r="B13" s="873" t="s">
        <v>1304</v>
      </c>
      <c r="C13" s="1959" t="str">
        <f>'1. Project Inputs'!C18</f>
        <v>C Spire</v>
      </c>
      <c r="D13" s="1959"/>
      <c r="E13" s="1959"/>
      <c r="F13" s="1960"/>
      <c r="M13" s="1954"/>
      <c r="N13" s="1954"/>
      <c r="P13" s="632"/>
      <c r="Q13" s="632"/>
      <c r="R13" s="395"/>
      <c r="S13" s="395"/>
    </row>
    <row r="14" spans="2:19" s="411" customFormat="1" x14ac:dyDescent="0.25">
      <c r="B14" s="869" t="s">
        <v>1886</v>
      </c>
      <c r="C14" s="1955" t="s">
        <v>4</v>
      </c>
      <c r="D14" s="1955"/>
      <c r="E14" s="1955"/>
      <c r="F14" s="1956"/>
      <c r="M14" s="476"/>
      <c r="N14" s="476"/>
      <c r="O14" s="632"/>
      <c r="P14" s="395"/>
      <c r="Q14" s="395"/>
    </row>
    <row r="15" spans="2:19" s="411" customFormat="1" x14ac:dyDescent="0.25">
      <c r="B15" s="869" t="s">
        <v>1888</v>
      </c>
      <c r="C15" s="1955" t="s">
        <v>4</v>
      </c>
      <c r="D15" s="1955"/>
      <c r="E15" s="1955"/>
      <c r="F15" s="1956"/>
      <c r="M15" s="476"/>
      <c r="N15" s="476"/>
      <c r="P15" s="632"/>
      <c r="Q15" s="632"/>
      <c r="R15" s="395"/>
      <c r="S15" s="395"/>
    </row>
    <row r="16" spans="2:19" s="411" customFormat="1" x14ac:dyDescent="0.25">
      <c r="B16" s="869" t="s">
        <v>22</v>
      </c>
      <c r="C16" s="1957" t="str">
        <f>'1. Project Inputs'!C23</f>
        <v>Test Digital Project</v>
      </c>
      <c r="D16" s="1957"/>
      <c r="E16" s="1957"/>
      <c r="F16" s="1958"/>
      <c r="M16" s="476"/>
      <c r="N16" s="476"/>
      <c r="P16" s="632"/>
      <c r="Q16" s="632"/>
      <c r="R16" s="395"/>
      <c r="S16" s="395"/>
    </row>
    <row r="17" spans="2:19" s="411" customFormat="1" x14ac:dyDescent="0.25">
      <c r="B17" s="869" t="s">
        <v>23</v>
      </c>
      <c r="C17" s="1938" t="str">
        <f>'1. Project Inputs'!C24</f>
        <v>Digital - Systems Implementation</v>
      </c>
      <c r="D17" s="1938"/>
      <c r="E17" s="1938"/>
      <c r="F17" s="1939"/>
      <c r="P17" s="632"/>
      <c r="Q17" s="632"/>
      <c r="R17" s="395"/>
      <c r="S17" s="395"/>
    </row>
    <row r="18" spans="2:19" s="411" customFormat="1" x14ac:dyDescent="0.25">
      <c r="B18" s="869" t="s">
        <v>49</v>
      </c>
      <c r="C18" s="1938" t="str">
        <f>'1. Project Inputs'!C25</f>
        <v>Standard Rates</v>
      </c>
      <c r="D18" s="1938"/>
      <c r="E18" s="1938"/>
      <c r="F18" s="1939"/>
      <c r="P18" s="632"/>
      <c r="Q18" s="632"/>
      <c r="R18" s="395"/>
      <c r="S18" s="395"/>
    </row>
    <row r="19" spans="2:19" s="411" customFormat="1" x14ac:dyDescent="0.25">
      <c r="B19" s="869" t="s">
        <v>1890</v>
      </c>
      <c r="C19" s="1940">
        <f>'1. Project Inputs'!C27</f>
        <v>45916</v>
      </c>
      <c r="D19" s="1940"/>
      <c r="E19" s="1940"/>
      <c r="F19" s="1941"/>
      <c r="P19" s="632"/>
      <c r="Q19" s="632"/>
      <c r="R19" s="395"/>
      <c r="S19" s="395"/>
    </row>
    <row r="20" spans="2:19" s="411" customFormat="1" x14ac:dyDescent="0.25">
      <c r="B20" s="876" t="s">
        <v>50</v>
      </c>
      <c r="C20" s="1942">
        <f>'1. Project Inputs'!C29</f>
        <v>30</v>
      </c>
      <c r="D20" s="1943"/>
      <c r="E20" s="1943"/>
      <c r="F20" s="1944"/>
      <c r="P20" s="632"/>
      <c r="Q20" s="632"/>
      <c r="R20" s="395"/>
      <c r="S20" s="395"/>
    </row>
    <row r="21" spans="2:19" x14ac:dyDescent="0.25">
      <c r="B21" s="581"/>
      <c r="C21" s="581"/>
      <c r="D21" s="581"/>
      <c r="E21" s="581"/>
      <c r="F21" s="581"/>
      <c r="G21" s="750"/>
    </row>
    <row r="22" spans="2:19" ht="24" customHeight="1" x14ac:dyDescent="0.25">
      <c r="B22" s="756" t="s">
        <v>1891</v>
      </c>
      <c r="C22" s="756"/>
      <c r="D22" s="756"/>
      <c r="E22" s="756"/>
      <c r="F22" s="756"/>
      <c r="G22" s="748"/>
      <c r="H22" s="748"/>
      <c r="I22" s="748"/>
      <c r="J22" s="748"/>
    </row>
    <row r="23" spans="2:19" ht="33" customHeight="1" x14ac:dyDescent="0.25">
      <c r="B23" s="1945" t="s">
        <v>2394</v>
      </c>
      <c r="C23" s="1945"/>
      <c r="D23" s="1945"/>
      <c r="E23" s="1945"/>
      <c r="F23" s="1945"/>
      <c r="G23" s="1945"/>
      <c r="H23" s="1945"/>
      <c r="I23" s="1945"/>
      <c r="J23" s="1945"/>
    </row>
    <row r="24" spans="2:19" ht="22.05" customHeight="1" x14ac:dyDescent="0.25">
      <c r="B24" s="1611" t="s">
        <v>2370</v>
      </c>
      <c r="C24" s="1961" t="s">
        <v>1892</v>
      </c>
      <c r="D24" s="1962"/>
      <c r="E24" s="1962"/>
      <c r="F24" s="1962"/>
      <c r="G24" s="1962"/>
      <c r="H24" s="1963"/>
      <c r="I24" s="1612" t="s">
        <v>3682</v>
      </c>
      <c r="J24" s="1612" t="s">
        <v>1893</v>
      </c>
      <c r="K24" s="1613"/>
      <c r="L24" s="1614"/>
      <c r="S24" s="754"/>
    </row>
    <row r="25" spans="2:19" ht="22.05" customHeight="1" x14ac:dyDescent="0.25">
      <c r="B25" s="1605" t="s">
        <v>1894</v>
      </c>
      <c r="C25" s="1992"/>
      <c r="D25" s="1992"/>
      <c r="E25" s="1992"/>
      <c r="F25" s="1992"/>
      <c r="G25" s="1593"/>
      <c r="H25" s="1593"/>
      <c r="I25" s="1593"/>
      <c r="J25" s="1593"/>
      <c r="K25" s="1593"/>
      <c r="L25" s="1606"/>
      <c r="S25" s="412"/>
    </row>
    <row r="26" spans="2:19" ht="19.95" customHeight="1" x14ac:dyDescent="0.25">
      <c r="B26" s="998" t="s">
        <v>109</v>
      </c>
      <c r="C26" s="1896">
        <f>'4. Summary &amp; Totals'!C61</f>
        <v>787521</v>
      </c>
      <c r="D26" s="1897"/>
      <c r="E26" s="1897"/>
      <c r="F26" s="1897"/>
      <c r="G26" s="1897"/>
      <c r="H26" s="1898"/>
      <c r="I26" s="1601"/>
      <c r="J26" s="1894"/>
      <c r="K26" s="1894"/>
      <c r="L26" s="1895"/>
    </row>
    <row r="27" spans="2:19" ht="19.95" customHeight="1" x14ac:dyDescent="0.25">
      <c r="B27" s="999" t="s">
        <v>1673</v>
      </c>
      <c r="C27" s="1899">
        <f>'4. Summary &amp; Totals'!C37</f>
        <v>0.53970619544390042</v>
      </c>
      <c r="D27" s="1900"/>
      <c r="E27" s="1900"/>
      <c r="F27" s="1900"/>
      <c r="G27" s="1900"/>
      <c r="H27" s="1901"/>
      <c r="I27" s="1599"/>
      <c r="J27" s="1882"/>
      <c r="K27" s="1882"/>
      <c r="L27" s="1883"/>
    </row>
    <row r="28" spans="2:19" ht="19.95" customHeight="1" x14ac:dyDescent="0.25">
      <c r="B28" s="999" t="s">
        <v>3400</v>
      </c>
      <c r="C28" s="1902" t="s">
        <v>3687</v>
      </c>
      <c r="D28" s="1903"/>
      <c r="E28" s="1903"/>
      <c r="F28" s="1903"/>
      <c r="G28" s="1903"/>
      <c r="H28" s="1904"/>
      <c r="I28" s="1599"/>
      <c r="J28" s="1882"/>
      <c r="K28" s="1882"/>
      <c r="L28" s="1883"/>
    </row>
    <row r="29" spans="2:19" ht="19.95" customHeight="1" x14ac:dyDescent="0.25">
      <c r="B29" s="1547"/>
      <c r="C29" s="1905" t="s">
        <v>1895</v>
      </c>
      <c r="D29" s="1906"/>
      <c r="E29" s="1906"/>
      <c r="F29" s="1907"/>
      <c r="G29" s="1905" t="s">
        <v>1896</v>
      </c>
      <c r="H29" s="1911"/>
      <c r="I29" s="1600"/>
      <c r="J29" s="1882"/>
      <c r="K29" s="1882"/>
      <c r="L29" s="1883"/>
    </row>
    <row r="30" spans="2:19" ht="19.95" customHeight="1" x14ac:dyDescent="0.25">
      <c r="B30" s="999" t="s">
        <v>1897</v>
      </c>
      <c r="C30" s="1908">
        <f>'4. Summary &amp; Totals'!C54</f>
        <v>110.37463976945244</v>
      </c>
      <c r="D30" s="1909"/>
      <c r="E30" s="1909"/>
      <c r="F30" s="1910"/>
      <c r="G30" s="1912">
        <f>'2. Roles &amp; Pricing'!F289/'2. Roles &amp; Pricing'!M289</f>
        <v>49.556195965417871</v>
      </c>
      <c r="H30" s="1913"/>
      <c r="I30" s="1599" t="str">
        <f>IF(OR(C30="",E30=""),"MISSING INFO","")</f>
        <v>MISSING INFO</v>
      </c>
      <c r="J30" s="1882"/>
      <c r="K30" s="1882"/>
      <c r="L30" s="1883"/>
    </row>
    <row r="31" spans="2:19" ht="19.95" customHeight="1" x14ac:dyDescent="0.25">
      <c r="B31" s="999" t="s">
        <v>1898</v>
      </c>
      <c r="C31" s="1908">
        <f>'4. Summary &amp; Totals'!C86</f>
        <v>171.66666666666666</v>
      </c>
      <c r="D31" s="1909"/>
      <c r="E31" s="1909"/>
      <c r="F31" s="1910"/>
      <c r="G31" s="1912">
        <f>SUMIFS('2. Roles &amp; Pricing'!$F$291:$F$390,'2. Roles &amp; Pricing'!$W$48:$W$147,"Onshore")/SUMIFS('2. Roles &amp; Pricing'!$M$291:$M$390,'2. Roles &amp; Pricing'!$W$48:$W$147,"Onshore")</f>
        <v>81.666666666666671</v>
      </c>
      <c r="H31" s="1913"/>
      <c r="I31" s="1599" t="str">
        <f>IF(OR(C31="",E31=""),"MISSING INFO","")</f>
        <v>MISSING INFO</v>
      </c>
      <c r="J31" s="1882"/>
      <c r="K31" s="1882"/>
      <c r="L31" s="1883"/>
    </row>
    <row r="32" spans="2:19" ht="19.95" customHeight="1" x14ac:dyDescent="0.25">
      <c r="B32" s="1000" t="s">
        <v>1899</v>
      </c>
      <c r="C32" s="1996">
        <f>'4. Summary &amp; Totals'!C85</f>
        <v>48.684210526315788</v>
      </c>
      <c r="D32" s="1997"/>
      <c r="E32" s="1997"/>
      <c r="F32" s="1998"/>
      <c r="G32" s="1994">
        <f>IFERROR(SUMIFS('2. Roles &amp; Pricing'!$F$291:$F$390,'2. Roles &amp; Pricing'!$W$48:$W$147,"Offshore")/SUMIFS('2. Roles &amp; Pricing'!$M$291:$M$390,'2. Roles &amp; Pricing'!$W$48:$W$147,"Offshore"),"")</f>
        <v>16.421052631578949</v>
      </c>
      <c r="H32" s="1995"/>
      <c r="I32" s="1602"/>
      <c r="J32" s="1928"/>
      <c r="K32" s="1928"/>
      <c r="L32" s="1929"/>
    </row>
    <row r="33" spans="2:12" x14ac:dyDescent="0.25">
      <c r="B33" s="1001"/>
      <c r="C33" s="1001"/>
      <c r="D33" s="1001"/>
      <c r="E33" s="1001"/>
      <c r="F33" s="1001"/>
      <c r="G33" s="1002"/>
      <c r="H33" s="1003"/>
      <c r="I33" s="1003"/>
      <c r="J33" s="1003"/>
    </row>
    <row r="34" spans="2:12" ht="22.05" customHeight="1" x14ac:dyDescent="0.25">
      <c r="B34" s="1974" t="s">
        <v>1900</v>
      </c>
      <c r="C34" s="1982"/>
      <c r="D34" s="1982"/>
      <c r="E34" s="1982"/>
      <c r="F34" s="1982"/>
      <c r="G34" s="1982"/>
      <c r="H34" s="1982"/>
      <c r="I34" s="1993"/>
      <c r="J34" s="1964"/>
      <c r="K34" s="1949"/>
      <c r="L34" s="1950"/>
    </row>
    <row r="35" spans="2:12" ht="22.05" customHeight="1" x14ac:dyDescent="0.25">
      <c r="B35" s="1603" t="s">
        <v>1901</v>
      </c>
      <c r="C35" s="1986" t="str">
        <f>'1. Project Inputs'!C28</f>
        <v>T&amp;M</v>
      </c>
      <c r="D35" s="1987"/>
      <c r="E35" s="1987"/>
      <c r="F35" s="1987"/>
      <c r="G35" s="1987"/>
      <c r="H35" s="1988"/>
      <c r="I35" s="1604" t="str">
        <f>IFERROR(IF(VLOOKUP(C35,P75:R78,3,0)=0,"",VLOOKUP(C35,P75:R78,3,0)),"MISSING INFO")</f>
        <v>MISSING INFO</v>
      </c>
      <c r="J35" s="1965"/>
      <c r="K35" s="1966"/>
      <c r="L35" s="1967"/>
    </row>
    <row r="36" spans="2:12" ht="22.05" customHeight="1" x14ac:dyDescent="0.25">
      <c r="B36" s="1000" t="s">
        <v>1902</v>
      </c>
      <c r="C36" s="1989">
        <f>'4. Summary &amp; Totals'!C56</f>
        <v>0.05</v>
      </c>
      <c r="D36" s="1990"/>
      <c r="E36" s="1990"/>
      <c r="F36" s="1990"/>
      <c r="G36" s="1990"/>
      <c r="H36" s="1991"/>
      <c r="I36" s="1004" t="str">
        <f>IF(C36="","MISSING INFO",IFERROR(IF(C36&lt;VLOOKUP(C35,P75:Q78,2,0),"&lt;"&amp;TEXT(VLOOKUP(C35,P75:Q78,2,0),"0%"),""),"MISSING INFO"))</f>
        <v>MISSING INFO</v>
      </c>
      <c r="J36" s="1918"/>
      <c r="K36" s="1919"/>
      <c r="L36" s="1920"/>
    </row>
    <row r="37" spans="2:12" x14ac:dyDescent="0.25">
      <c r="B37" s="751"/>
      <c r="C37" s="751"/>
      <c r="D37" s="751"/>
      <c r="E37" s="751"/>
      <c r="F37" s="751"/>
      <c r="G37" s="752"/>
      <c r="H37" s="753"/>
      <c r="I37" s="753"/>
      <c r="J37" s="753"/>
    </row>
    <row r="38" spans="2:12" ht="24" customHeight="1" x14ac:dyDescent="0.25">
      <c r="B38" s="1924" t="s">
        <v>1903</v>
      </c>
      <c r="C38" s="1925"/>
      <c r="D38" s="1925"/>
      <c r="E38" s="1925"/>
      <c r="F38" s="1925"/>
      <c r="G38" s="1925"/>
      <c r="H38" s="1925"/>
      <c r="I38" s="1925"/>
      <c r="J38" s="1925"/>
      <c r="K38" s="1925"/>
      <c r="L38" s="1926"/>
    </row>
    <row r="39" spans="2:12" ht="25.05" customHeight="1" x14ac:dyDescent="0.25">
      <c r="B39" s="998" t="s">
        <v>1904</v>
      </c>
      <c r="C39" s="1884">
        <f>COUNTA('2. Roles &amp; Pricing'!$K$48:$K$147)</f>
        <v>6</v>
      </c>
      <c r="D39" s="1885"/>
      <c r="E39" s="1885"/>
      <c r="F39" s="1885"/>
      <c r="G39" s="1885"/>
      <c r="H39" s="1886"/>
      <c r="I39" s="1005" t="str">
        <f>IF(G39="","MISSING INFO","")</f>
        <v>MISSING INFO</v>
      </c>
      <c r="J39" s="1893"/>
      <c r="K39" s="1894"/>
      <c r="L39" s="1895"/>
    </row>
    <row r="40" spans="2:12" ht="30" customHeight="1" x14ac:dyDescent="0.25">
      <c r="B40" s="999" t="s">
        <v>1905</v>
      </c>
      <c r="C40" s="1887" t="s">
        <v>216</v>
      </c>
      <c r="D40" s="1888"/>
      <c r="E40" s="1888"/>
      <c r="F40" s="1888"/>
      <c r="G40" s="1888"/>
      <c r="H40" s="1889"/>
      <c r="I40" s="997" t="str">
        <f>IFERROR(IF(VLOOKUP(C40,P82:R83,3,0)=0,"",VLOOKUP(C40,P82:R83,3,0)),"MISSING INFO")</f>
        <v>MISSING INFO</v>
      </c>
      <c r="J40" s="1881"/>
      <c r="K40" s="1882"/>
      <c r="L40" s="1883"/>
    </row>
    <row r="41" spans="2:12" ht="14.55" customHeight="1" x14ac:dyDescent="0.25">
      <c r="B41" s="999" t="s">
        <v>1907</v>
      </c>
      <c r="C41" s="1890" t="str">
        <f>IF(SUM(G42:G49)&lt;&gt;0,SUM(G42:G49),"")</f>
        <v/>
      </c>
      <c r="D41" s="1891"/>
      <c r="E41" s="1891"/>
      <c r="F41" s="1891"/>
      <c r="G41" s="1891"/>
      <c r="H41" s="1892"/>
      <c r="I41" s="997" t="str">
        <f>IF(H41="","MISSING INFO",IF(H41&lt;Q85,"&lt;"&amp;TEXT(Q85,"0%"),""))</f>
        <v>MISSING INFO</v>
      </c>
      <c r="J41" s="1881"/>
      <c r="K41" s="1882"/>
      <c r="L41" s="1883"/>
    </row>
    <row r="42" spans="2:12" x14ac:dyDescent="0.25">
      <c r="B42" s="1006"/>
      <c r="C42" s="1968" t="s">
        <v>3401</v>
      </c>
      <c r="D42" s="1969"/>
      <c r="E42" s="1970" t="s">
        <v>119</v>
      </c>
      <c r="F42" s="1971"/>
      <c r="G42" s="1972" t="s">
        <v>1929</v>
      </c>
      <c r="H42" s="1973"/>
      <c r="I42" s="1555"/>
      <c r="J42" s="1881"/>
      <c r="K42" s="1882"/>
      <c r="L42" s="1883"/>
    </row>
    <row r="43" spans="2:12" ht="21" customHeight="1" x14ac:dyDescent="0.25">
      <c r="B43" s="1006"/>
      <c r="C43" s="1557" t="s">
        <v>2101</v>
      </c>
      <c r="D43" s="1557" t="s">
        <v>3402</v>
      </c>
      <c r="E43" s="1557" t="s">
        <v>2101</v>
      </c>
      <c r="F43" s="1557" t="s">
        <v>3402</v>
      </c>
      <c r="G43" s="1557" t="s">
        <v>2101</v>
      </c>
      <c r="H43" s="1557" t="s">
        <v>3402</v>
      </c>
      <c r="I43" s="1555"/>
      <c r="J43" s="1881"/>
      <c r="K43" s="1882"/>
      <c r="L43" s="1883"/>
    </row>
    <row r="44" spans="2:12" ht="21" customHeight="1" x14ac:dyDescent="0.25">
      <c r="B44" s="999" t="s">
        <v>1908</v>
      </c>
      <c r="C44" s="1557"/>
      <c r="D44" s="1557"/>
      <c r="E44" s="1557"/>
      <c r="F44" s="1557"/>
      <c r="G44" s="1557"/>
      <c r="H44" s="1557"/>
      <c r="I44" s="1555"/>
      <c r="J44" s="1881"/>
      <c r="K44" s="1882"/>
      <c r="L44" s="1883"/>
    </row>
    <row r="45" spans="2:12" ht="21" customHeight="1" x14ac:dyDescent="0.25">
      <c r="B45" s="999" t="s">
        <v>3403</v>
      </c>
      <c r="C45" s="1557"/>
      <c r="D45" s="1557"/>
      <c r="E45" s="1557"/>
      <c r="F45" s="1557"/>
      <c r="G45" s="1557"/>
      <c r="H45" s="1557"/>
      <c r="I45" s="1555"/>
      <c r="J45" s="1881"/>
      <c r="K45" s="1882"/>
      <c r="L45" s="1883"/>
    </row>
    <row r="46" spans="2:12" ht="21" customHeight="1" x14ac:dyDescent="0.25">
      <c r="B46" s="999" t="s">
        <v>3404</v>
      </c>
      <c r="C46" s="1557"/>
      <c r="D46" s="1557"/>
      <c r="E46" s="1557"/>
      <c r="F46" s="1557"/>
      <c r="G46" s="1557"/>
      <c r="H46" s="1557"/>
      <c r="I46" s="1555"/>
      <c r="J46" s="1881"/>
      <c r="K46" s="1882"/>
      <c r="L46" s="1883"/>
    </row>
    <row r="47" spans="2:12" ht="21" customHeight="1" x14ac:dyDescent="0.25">
      <c r="B47" s="999" t="s">
        <v>3405</v>
      </c>
      <c r="C47" s="1552"/>
      <c r="D47" s="1552"/>
      <c r="E47" s="1552"/>
      <c r="F47" s="1552"/>
      <c r="G47" s="1553"/>
      <c r="H47" s="1554"/>
      <c r="I47" s="1555"/>
      <c r="J47" s="1881"/>
      <c r="K47" s="1882"/>
      <c r="L47" s="1883"/>
    </row>
    <row r="48" spans="2:12" ht="21" customHeight="1" x14ac:dyDescent="0.25">
      <c r="B48" s="999" t="s">
        <v>3406</v>
      </c>
      <c r="C48" s="1552"/>
      <c r="D48" s="1552"/>
      <c r="E48" s="1552"/>
      <c r="F48" s="1552"/>
      <c r="G48" s="1553"/>
      <c r="H48" s="1554"/>
      <c r="I48" s="1555"/>
      <c r="J48" s="1881"/>
      <c r="K48" s="1882"/>
      <c r="L48" s="1883"/>
    </row>
    <row r="49" spans="2:12" ht="21" customHeight="1" x14ac:dyDescent="0.25">
      <c r="B49" s="999" t="s">
        <v>3407</v>
      </c>
      <c r="C49" s="1552"/>
      <c r="D49" s="1552"/>
      <c r="E49" s="1552"/>
      <c r="F49" s="1552"/>
      <c r="G49" s="1553"/>
      <c r="H49" s="1554"/>
      <c r="I49" s="1555"/>
      <c r="J49" s="1881"/>
      <c r="K49" s="1882"/>
      <c r="L49" s="1883"/>
    </row>
    <row r="50" spans="2:12" ht="45" customHeight="1" x14ac:dyDescent="0.25">
      <c r="B50" s="1000" t="s">
        <v>3408</v>
      </c>
      <c r="C50" s="1548"/>
      <c r="D50" s="1548"/>
      <c r="E50" s="1548"/>
      <c r="F50" s="1548"/>
      <c r="G50" s="1917"/>
      <c r="H50" s="1917"/>
      <c r="I50" s="1556"/>
      <c r="J50" s="1927"/>
      <c r="K50" s="1928"/>
      <c r="L50" s="1929"/>
    </row>
    <row r="51" spans="2:12" x14ac:dyDescent="0.25">
      <c r="B51" s="411"/>
      <c r="C51" s="411"/>
      <c r="D51" s="411"/>
      <c r="E51" s="411"/>
      <c r="F51" s="411"/>
      <c r="G51" s="411"/>
      <c r="H51" s="411"/>
      <c r="I51" s="411"/>
      <c r="J51" s="411"/>
    </row>
    <row r="52" spans="2:12" ht="24" customHeight="1" x14ac:dyDescent="0.25">
      <c r="B52" s="1974" t="s">
        <v>1909</v>
      </c>
      <c r="C52" s="1982"/>
      <c r="D52" s="1982"/>
      <c r="E52" s="1982"/>
      <c r="F52" s="1983"/>
      <c r="G52" s="1559"/>
      <c r="H52" s="1559"/>
      <c r="I52" s="1559"/>
      <c r="J52" s="1559"/>
    </row>
    <row r="53" spans="2:12" ht="45" customHeight="1" x14ac:dyDescent="0.25">
      <c r="B53" s="998" t="s">
        <v>1910</v>
      </c>
      <c r="C53" s="1976" t="s">
        <v>216</v>
      </c>
      <c r="D53" s="1977"/>
      <c r="E53" s="1977"/>
      <c r="F53" s="1978"/>
      <c r="G53" s="1560"/>
      <c r="H53" s="1560"/>
      <c r="I53" s="1561"/>
      <c r="J53" s="1562"/>
    </row>
    <row r="54" spans="2:12" ht="45" customHeight="1" x14ac:dyDescent="0.25">
      <c r="B54" s="1000" t="s">
        <v>1911</v>
      </c>
      <c r="C54" s="1979" t="s">
        <v>216</v>
      </c>
      <c r="D54" s="1980"/>
      <c r="E54" s="1980"/>
      <c r="F54" s="1981"/>
      <c r="G54" s="1560"/>
      <c r="H54" s="1560"/>
      <c r="I54" s="1561"/>
      <c r="J54" s="1562"/>
    </row>
    <row r="55" spans="2:12" ht="15" customHeight="1" x14ac:dyDescent="0.25">
      <c r="B55" s="751"/>
      <c r="C55" s="751"/>
      <c r="D55" s="751"/>
      <c r="E55" s="751"/>
      <c r="F55" s="751"/>
      <c r="G55" s="753"/>
      <c r="H55" s="411"/>
      <c r="I55" s="411"/>
      <c r="J55" s="753"/>
    </row>
    <row r="56" spans="2:12" ht="25.05" customHeight="1" x14ac:dyDescent="0.25">
      <c r="B56" s="1974" t="s">
        <v>1912</v>
      </c>
      <c r="C56" s="1975"/>
      <c r="D56" s="1975"/>
      <c r="E56" s="1975"/>
      <c r="F56" s="1975"/>
      <c r="G56" s="1926"/>
      <c r="H56" s="1559"/>
      <c r="I56" s="1559"/>
      <c r="J56" s="1559"/>
    </row>
    <row r="57" spans="2:12" ht="30" customHeight="1" x14ac:dyDescent="0.25">
      <c r="B57" s="1558" t="s">
        <v>1913</v>
      </c>
      <c r="C57" s="1984" t="s">
        <v>2297</v>
      </c>
      <c r="D57" s="1985"/>
      <c r="E57" s="1985"/>
      <c r="F57" s="1985"/>
      <c r="G57" s="1564" t="str">
        <f>IFERROR(IF(VLOOKUP(C57,P102:R103,3,0)=0,"",VLOOKUP(C57,P102:R103,3,0)),"MISSING INFO")</f>
        <v>MISSING INFO</v>
      </c>
      <c r="H57" s="1560"/>
      <c r="I57" s="1560"/>
      <c r="J57" s="1563"/>
    </row>
    <row r="58" spans="2:12" x14ac:dyDescent="0.25">
      <c r="B58" s="1558" t="s">
        <v>1914</v>
      </c>
      <c r="C58" s="1930" t="s">
        <v>2296</v>
      </c>
      <c r="D58" s="1931"/>
      <c r="E58" s="1931"/>
      <c r="F58" s="1931"/>
      <c r="G58" s="1565" t="str">
        <f>IFERROR(IF(VLOOKUP(C58,P105:R107,3,0)=0,"",VLOOKUP(C58,P105:R107,3,0)),"MISSING INFO")</f>
        <v>MISSING INFO</v>
      </c>
      <c r="H58" s="1560"/>
      <c r="I58" s="1560"/>
      <c r="J58" s="1563"/>
    </row>
    <row r="59" spans="2:12" ht="24" customHeight="1" x14ac:dyDescent="0.25">
      <c r="B59" s="1558" t="s">
        <v>1915</v>
      </c>
      <c r="C59" s="1930" t="s">
        <v>2298</v>
      </c>
      <c r="D59" s="1931"/>
      <c r="E59" s="1931"/>
      <c r="F59" s="1931"/>
      <c r="G59" s="1565" t="str">
        <f>IFERROR(IF(VLOOKUP(C59,P109:R111,3,0)=0,"",VLOOKUP(C59,P109:R111,3,0)),"MISSING INFO")</f>
        <v>MISSING INFO</v>
      </c>
      <c r="H59" s="1560"/>
      <c r="I59" s="1560"/>
      <c r="J59" s="1562"/>
    </row>
    <row r="60" spans="2:12" ht="13.95" customHeight="1" x14ac:dyDescent="0.25">
      <c r="B60" s="1558" t="s">
        <v>3409</v>
      </c>
      <c r="C60" s="1930" t="s">
        <v>2300</v>
      </c>
      <c r="D60" s="1931"/>
      <c r="E60" s="1931"/>
      <c r="F60" s="1931"/>
      <c r="G60" s="1565" t="str">
        <f>IFERROR(IF(VLOOKUP(C60,P115:R121,3,0)=0,"",VLOOKUP(C60,P115:R121,3,0)),"MISSING INFO")</f>
        <v>MISSING INFO</v>
      </c>
      <c r="H60" s="1560"/>
      <c r="I60" s="1560"/>
      <c r="J60" s="1563"/>
    </row>
    <row r="61" spans="2:12" ht="13.95" customHeight="1" x14ac:dyDescent="0.25">
      <c r="B61" s="1558" t="s">
        <v>3410</v>
      </c>
      <c r="C61" s="1930" t="s">
        <v>2299</v>
      </c>
      <c r="D61" s="1931"/>
      <c r="E61" s="1931"/>
      <c r="F61" s="1931"/>
      <c r="G61" s="1565" t="str">
        <f>IFERROR(IF(VLOOKUP(C61,P123:R124,3,0)=0,"",VLOOKUP(C61,P123:R124,3,0)),"MISSING INFO")</f>
        <v>MISSING INFO</v>
      </c>
      <c r="H61" s="1560"/>
      <c r="I61" s="1560"/>
      <c r="J61" s="1563"/>
    </row>
    <row r="62" spans="2:12" x14ac:dyDescent="0.25">
      <c r="B62" s="1558" t="s">
        <v>1916</v>
      </c>
      <c r="C62" s="1930" t="s">
        <v>2299</v>
      </c>
      <c r="D62" s="1931"/>
      <c r="E62" s="1931"/>
      <c r="F62" s="1931"/>
      <c r="G62" s="1565"/>
      <c r="H62" s="1560"/>
      <c r="I62" s="1560"/>
      <c r="J62" s="1563"/>
    </row>
    <row r="63" spans="2:12" x14ac:dyDescent="0.25">
      <c r="B63" s="1558" t="s">
        <v>3411</v>
      </c>
      <c r="C63" s="1932" t="s">
        <v>216</v>
      </c>
      <c r="D63" s="1933"/>
      <c r="E63" s="1933"/>
      <c r="F63" s="1933"/>
      <c r="G63" s="1566"/>
      <c r="H63" s="1560"/>
      <c r="I63" s="1560"/>
      <c r="J63" s="1563"/>
    </row>
    <row r="65" spans="2:18" ht="17.399999999999999" x14ac:dyDescent="0.25">
      <c r="B65" s="756" t="s">
        <v>1917</v>
      </c>
      <c r="C65" s="756"/>
      <c r="D65" s="756"/>
      <c r="E65" s="756"/>
      <c r="F65" s="756"/>
      <c r="G65" s="748"/>
      <c r="H65" s="748"/>
      <c r="I65" s="748"/>
      <c r="J65" s="748"/>
    </row>
    <row r="66" spans="2:18" x14ac:dyDescent="0.25">
      <c r="B66" s="581"/>
      <c r="C66" s="581"/>
      <c r="D66" s="581"/>
      <c r="E66" s="581"/>
      <c r="F66" s="581"/>
      <c r="G66" s="750"/>
    </row>
    <row r="67" spans="2:18" x14ac:dyDescent="0.25">
      <c r="B67" s="1156" t="s">
        <v>1918</v>
      </c>
      <c r="C67" s="1934" t="s">
        <v>1919</v>
      </c>
      <c r="D67" s="1935"/>
      <c r="E67" s="1935"/>
      <c r="F67" s="1936"/>
      <c r="G67" s="1915" t="s">
        <v>1919</v>
      </c>
      <c r="H67" s="1915"/>
      <c r="I67" s="1915"/>
      <c r="J67" s="1916"/>
    </row>
    <row r="68" spans="2:18" ht="42" customHeight="1" x14ac:dyDescent="0.25">
      <c r="B68" s="1160" t="str" cm="1">
        <f t="array" ref="B68">IF(COUNTIF(I26:I61,"="&amp;"MISSING INFO")&gt;0,P143,IF(SUMPRODUCT(--(LEN(I26:I61)))&gt;0,P141,P142))</f>
        <v>Missing Information</v>
      </c>
      <c r="C68" s="1549"/>
      <c r="D68" s="1549"/>
      <c r="E68" s="1549"/>
      <c r="F68" s="1549"/>
      <c r="G68" s="1921" t="str">
        <f>VLOOKUP(B68,P141:Q143,2,0)</f>
        <v>Complete all required fields above to clear all "MISSING INFO" error messages.</v>
      </c>
      <c r="H68" s="1922"/>
      <c r="I68" s="1922"/>
      <c r="J68" s="1923"/>
    </row>
    <row r="69" spans="2:18" s="395" customFormat="1" x14ac:dyDescent="0.25">
      <c r="B69" s="1157"/>
      <c r="C69" s="1550"/>
      <c r="D69" s="1550"/>
      <c r="E69" s="1550"/>
      <c r="F69" s="1550"/>
      <c r="G69" s="1158"/>
      <c r="H69" s="1158"/>
      <c r="I69" s="1158"/>
      <c r="J69" s="1158"/>
      <c r="P69" s="116" t="s">
        <v>1920</v>
      </c>
      <c r="Q69" s="116" t="s">
        <v>1921</v>
      </c>
      <c r="R69" s="117" t="s">
        <v>1922</v>
      </c>
    </row>
    <row r="70" spans="2:18" s="395" customFormat="1" x14ac:dyDescent="0.25">
      <c r="B70" s="556"/>
      <c r="C70" s="556"/>
      <c r="D70" s="556"/>
      <c r="E70" s="556"/>
      <c r="F70" s="556"/>
      <c r="G70" s="1159"/>
      <c r="H70" s="1159"/>
      <c r="I70" s="1159"/>
      <c r="J70" s="1159"/>
      <c r="P70" s="118" t="s">
        <v>109</v>
      </c>
      <c r="Q70" s="119">
        <v>2000000</v>
      </c>
      <c r="R70" s="120"/>
    </row>
    <row r="71" spans="2:18" s="395" customFormat="1" x14ac:dyDescent="0.25">
      <c r="B71" s="749"/>
      <c r="C71" s="749"/>
      <c r="D71" s="749"/>
      <c r="E71" s="749"/>
      <c r="F71" s="749"/>
      <c r="G71" s="749"/>
      <c r="H71" s="749"/>
      <c r="I71" s="749"/>
      <c r="J71" s="749"/>
      <c r="P71" s="118" t="s">
        <v>112</v>
      </c>
      <c r="Q71" s="121">
        <v>0.45</v>
      </c>
      <c r="R71" s="120"/>
    </row>
    <row r="73" spans="2:18" s="395" customFormat="1" x14ac:dyDescent="0.25">
      <c r="B73" s="749"/>
      <c r="C73" s="749"/>
      <c r="D73" s="749"/>
      <c r="E73" s="749"/>
      <c r="F73" s="749"/>
      <c r="P73" s="1914" t="s">
        <v>1901</v>
      </c>
      <c r="Q73" s="1914"/>
      <c r="R73" s="123"/>
    </row>
    <row r="74" spans="2:18" s="395" customFormat="1" ht="27.6" x14ac:dyDescent="0.25">
      <c r="B74" s="749"/>
      <c r="C74" s="749"/>
      <c r="D74" s="749"/>
      <c r="E74" s="749"/>
      <c r="F74" s="749"/>
      <c r="P74" s="116" t="s">
        <v>1901</v>
      </c>
      <c r="Q74" s="116" t="s">
        <v>1923</v>
      </c>
      <c r="R74" s="117"/>
    </row>
    <row r="75" spans="2:18" s="395" customFormat="1" x14ac:dyDescent="0.25">
      <c r="B75" s="749"/>
      <c r="C75" s="749"/>
      <c r="D75" s="749"/>
      <c r="E75" s="749"/>
      <c r="F75" s="749"/>
      <c r="P75" s="118" t="s">
        <v>1924</v>
      </c>
      <c r="Q75" s="124">
        <v>0.03</v>
      </c>
      <c r="R75" s="120"/>
    </row>
    <row r="76" spans="2:18" s="395" customFormat="1" x14ac:dyDescent="0.25">
      <c r="B76" s="749"/>
      <c r="C76" s="749"/>
      <c r="D76" s="749"/>
      <c r="E76" s="749"/>
      <c r="F76" s="749"/>
      <c r="G76" s="749"/>
      <c r="H76" s="749"/>
      <c r="I76" s="749"/>
      <c r="J76" s="749"/>
      <c r="P76" s="118" t="s">
        <v>1925</v>
      </c>
      <c r="Q76" s="124">
        <v>0.05</v>
      </c>
      <c r="R76" s="120" t="s">
        <v>1926</v>
      </c>
    </row>
    <row r="77" spans="2:18" s="395" customFormat="1" x14ac:dyDescent="0.25">
      <c r="P77" s="118" t="s">
        <v>1927</v>
      </c>
      <c r="Q77" s="124">
        <v>0.05</v>
      </c>
      <c r="R77" s="120"/>
    </row>
    <row r="78" spans="2:18" s="395" customFormat="1" x14ac:dyDescent="0.25">
      <c r="P78" s="118" t="s">
        <v>1928</v>
      </c>
      <c r="Q78" s="124">
        <v>0.1</v>
      </c>
      <c r="R78" s="120" t="s">
        <v>1926</v>
      </c>
    </row>
    <row r="79" spans="2:18" x14ac:dyDescent="0.25">
      <c r="B79" s="395"/>
      <c r="C79" s="395"/>
      <c r="D79" s="395"/>
      <c r="E79" s="395"/>
      <c r="F79" s="395"/>
      <c r="G79" s="395"/>
      <c r="H79" s="395"/>
      <c r="I79" s="395"/>
      <c r="J79" s="395"/>
    </row>
    <row r="80" spans="2:18" s="395" customFormat="1" x14ac:dyDescent="0.25">
      <c r="P80" s="122" t="s">
        <v>1929</v>
      </c>
      <c r="Q80" s="125"/>
      <c r="R80" s="126"/>
    </row>
    <row r="81" spans="2:18" s="395" customFormat="1" x14ac:dyDescent="0.25">
      <c r="P81" s="116" t="s">
        <v>1905</v>
      </c>
      <c r="Q81" s="127"/>
      <c r="R81" s="128"/>
    </row>
    <row r="82" spans="2:18" s="395" customFormat="1" x14ac:dyDescent="0.25">
      <c r="P82" s="129" t="s">
        <v>1930</v>
      </c>
      <c r="Q82" s="129"/>
      <c r="R82" s="120"/>
    </row>
    <row r="83" spans="2:18" s="395" customFormat="1" x14ac:dyDescent="0.25">
      <c r="B83" s="749"/>
      <c r="C83" s="749"/>
      <c r="D83" s="749"/>
      <c r="E83" s="749"/>
      <c r="F83" s="749"/>
      <c r="G83" s="749"/>
      <c r="H83" s="749"/>
      <c r="I83" s="749"/>
      <c r="J83" s="749"/>
      <c r="P83" s="129" t="s">
        <v>1931</v>
      </c>
      <c r="Q83" s="129"/>
      <c r="R83" s="120" t="s">
        <v>1926</v>
      </c>
    </row>
    <row r="84" spans="2:18" s="395" customFormat="1" x14ac:dyDescent="0.25">
      <c r="P84" s="116" t="s">
        <v>1932</v>
      </c>
      <c r="Q84" s="116" t="s">
        <v>1921</v>
      </c>
      <c r="R84" s="128"/>
    </row>
    <row r="85" spans="2:18" s="395" customFormat="1" x14ac:dyDescent="0.25">
      <c r="P85" s="129" t="s">
        <v>1906</v>
      </c>
      <c r="Q85" s="121">
        <v>0.3</v>
      </c>
      <c r="R85" s="120"/>
    </row>
    <row r="86" spans="2:18" s="395" customFormat="1" x14ac:dyDescent="0.25">
      <c r="P86" s="129" t="s">
        <v>1933</v>
      </c>
      <c r="Q86" s="121">
        <v>0.05</v>
      </c>
      <c r="R86" s="120"/>
    </row>
    <row r="87" spans="2:18" x14ac:dyDescent="0.25">
      <c r="B87" s="395"/>
      <c r="C87" s="395"/>
      <c r="D87" s="395"/>
      <c r="E87" s="395"/>
      <c r="F87" s="395"/>
      <c r="G87" s="395"/>
      <c r="H87" s="395"/>
      <c r="I87" s="395"/>
      <c r="J87" s="395"/>
    </row>
    <row r="88" spans="2:18" s="395" customFormat="1" x14ac:dyDescent="0.25">
      <c r="P88" s="1914" t="s">
        <v>1909</v>
      </c>
      <c r="Q88" s="1914"/>
      <c r="R88" s="126"/>
    </row>
    <row r="89" spans="2:18" s="395" customFormat="1" x14ac:dyDescent="0.25">
      <c r="P89" s="116" t="s">
        <v>1934</v>
      </c>
      <c r="Q89" s="116"/>
      <c r="R89" s="128"/>
    </row>
    <row r="90" spans="2:18" s="395" customFormat="1" x14ac:dyDescent="0.25">
      <c r="P90" s="118" t="s">
        <v>1935</v>
      </c>
      <c r="Q90" s="129"/>
      <c r="R90" s="120"/>
    </row>
    <row r="91" spans="2:18" s="395" customFormat="1" x14ac:dyDescent="0.25">
      <c r="B91" s="749"/>
      <c r="C91" s="749"/>
      <c r="D91" s="749"/>
      <c r="E91" s="749"/>
      <c r="F91" s="749"/>
      <c r="G91" s="749"/>
      <c r="H91" s="749"/>
      <c r="I91" s="749"/>
      <c r="J91" s="749"/>
      <c r="P91" s="118" t="s">
        <v>1936</v>
      </c>
      <c r="Q91" s="129"/>
      <c r="R91" s="120"/>
    </row>
    <row r="92" spans="2:18" s="395" customFormat="1" ht="26.4" x14ac:dyDescent="0.25">
      <c r="P92" s="118" t="s">
        <v>1937</v>
      </c>
      <c r="Q92" s="129"/>
      <c r="R92" s="120" t="s">
        <v>1926</v>
      </c>
    </row>
    <row r="93" spans="2:18" s="395" customFormat="1" x14ac:dyDescent="0.25">
      <c r="P93" s="118" t="s">
        <v>1938</v>
      </c>
      <c r="Q93" s="129"/>
      <c r="R93" s="120"/>
    </row>
    <row r="94" spans="2:18" s="395" customFormat="1" x14ac:dyDescent="0.25">
      <c r="P94" s="116" t="s">
        <v>1939</v>
      </c>
      <c r="Q94" s="116"/>
      <c r="R94" s="128"/>
    </row>
    <row r="95" spans="2:18" s="395" customFormat="1" ht="27.6" x14ac:dyDescent="0.25">
      <c r="P95" s="129" t="s">
        <v>1940</v>
      </c>
      <c r="Q95" s="120"/>
      <c r="R95" s="120"/>
    </row>
    <row r="96" spans="2:18" s="395" customFormat="1" ht="27.6" x14ac:dyDescent="0.25">
      <c r="P96" s="129" t="s">
        <v>1941</v>
      </c>
      <c r="Q96" s="120"/>
      <c r="R96" s="120"/>
    </row>
    <row r="97" spans="2:18" s="395" customFormat="1" x14ac:dyDescent="0.25">
      <c r="P97" s="129" t="s">
        <v>1942</v>
      </c>
      <c r="Q97" s="120"/>
      <c r="R97" s="120"/>
    </row>
    <row r="98" spans="2:18" s="395" customFormat="1" x14ac:dyDescent="0.25">
      <c r="P98" s="129" t="s">
        <v>1943</v>
      </c>
      <c r="Q98" s="120"/>
      <c r="R98" s="120" t="s">
        <v>1926</v>
      </c>
    </row>
    <row r="99" spans="2:18" x14ac:dyDescent="0.25">
      <c r="B99" s="395"/>
      <c r="C99" s="395"/>
      <c r="D99" s="395"/>
      <c r="E99" s="395"/>
      <c r="F99" s="395"/>
      <c r="G99" s="395"/>
      <c r="H99" s="395"/>
      <c r="I99" s="395"/>
      <c r="J99" s="395"/>
    </row>
    <row r="100" spans="2:18" s="395" customFormat="1" x14ac:dyDescent="0.25">
      <c r="P100" s="130" t="s">
        <v>1944</v>
      </c>
      <c r="Q100" s="130"/>
      <c r="R100" s="126"/>
    </row>
    <row r="101" spans="2:18" s="395" customFormat="1" x14ac:dyDescent="0.25">
      <c r="P101" s="116" t="s">
        <v>2297</v>
      </c>
      <c r="Q101" s="116"/>
      <c r="R101" s="128"/>
    </row>
    <row r="102" spans="2:18" s="395" customFormat="1" x14ac:dyDescent="0.25">
      <c r="P102" s="129" t="s">
        <v>1945</v>
      </c>
      <c r="Q102" s="129"/>
      <c r="R102" s="120"/>
    </row>
    <row r="103" spans="2:18" s="395" customFormat="1" x14ac:dyDescent="0.25">
      <c r="B103" s="749"/>
      <c r="C103" s="749"/>
      <c r="D103" s="749"/>
      <c r="E103" s="749"/>
      <c r="F103" s="749"/>
      <c r="G103" s="749"/>
      <c r="H103" s="749"/>
      <c r="I103" s="749"/>
      <c r="J103" s="749"/>
      <c r="P103" s="129" t="s">
        <v>1946</v>
      </c>
      <c r="Q103" s="129"/>
      <c r="R103" s="120" t="s">
        <v>1926</v>
      </c>
    </row>
    <row r="104" spans="2:18" s="395" customFormat="1" x14ac:dyDescent="0.25">
      <c r="P104" s="116" t="s">
        <v>2296</v>
      </c>
      <c r="Q104" s="116"/>
      <c r="R104" s="128"/>
    </row>
    <row r="105" spans="2:18" s="395" customFormat="1" x14ac:dyDescent="0.25">
      <c r="P105" s="129" t="s">
        <v>1947</v>
      </c>
      <c r="Q105" s="129"/>
      <c r="R105" s="120"/>
    </row>
    <row r="106" spans="2:18" s="395" customFormat="1" x14ac:dyDescent="0.25">
      <c r="P106" s="129" t="s">
        <v>1948</v>
      </c>
      <c r="Q106" s="129"/>
      <c r="R106" s="120"/>
    </row>
    <row r="107" spans="2:18" s="395" customFormat="1" x14ac:dyDescent="0.25">
      <c r="P107" s="129" t="s">
        <v>1949</v>
      </c>
      <c r="Q107" s="129"/>
      <c r="R107" s="120" t="s">
        <v>1926</v>
      </c>
    </row>
    <row r="108" spans="2:18" s="395" customFormat="1" x14ac:dyDescent="0.25">
      <c r="P108" s="117" t="s">
        <v>2298</v>
      </c>
      <c r="Q108" s="116"/>
      <c r="R108" s="128"/>
    </row>
    <row r="109" spans="2:18" s="395" customFormat="1" x14ac:dyDescent="0.25">
      <c r="P109" s="120" t="s">
        <v>1947</v>
      </c>
      <c r="Q109" s="129"/>
      <c r="R109" s="120"/>
    </row>
    <row r="110" spans="2:18" s="395" customFormat="1" x14ac:dyDescent="0.25">
      <c r="P110" s="120" t="s">
        <v>1950</v>
      </c>
      <c r="Q110" s="129"/>
      <c r="R110" s="120" t="s">
        <v>1926</v>
      </c>
    </row>
    <row r="111" spans="2:18" s="395" customFormat="1" x14ac:dyDescent="0.25">
      <c r="P111" s="120" t="s">
        <v>1951</v>
      </c>
      <c r="Q111" s="129"/>
      <c r="R111" s="120"/>
    </row>
    <row r="112" spans="2:18" s="395" customFormat="1" x14ac:dyDescent="0.25">
      <c r="Q112" s="632"/>
    </row>
    <row r="113" spans="2:18" s="395" customFormat="1" x14ac:dyDescent="0.25">
      <c r="P113" s="122" t="s">
        <v>299</v>
      </c>
      <c r="Q113" s="125"/>
      <c r="R113" s="126"/>
    </row>
    <row r="114" spans="2:18" s="395" customFormat="1" x14ac:dyDescent="0.25">
      <c r="P114" s="116" t="s">
        <v>2300</v>
      </c>
      <c r="Q114" s="127"/>
      <c r="R114" s="128"/>
    </row>
    <row r="115" spans="2:18" s="395" customFormat="1" x14ac:dyDescent="0.25">
      <c r="P115" s="129" t="s">
        <v>275</v>
      </c>
      <c r="Q115" s="129"/>
      <c r="R115" s="120"/>
    </row>
    <row r="116" spans="2:18" s="395" customFormat="1" x14ac:dyDescent="0.25">
      <c r="P116" s="129" t="s">
        <v>292</v>
      </c>
      <c r="Q116" s="129"/>
      <c r="R116" s="120" t="s">
        <v>1926</v>
      </c>
    </row>
    <row r="117" spans="2:18" s="395" customFormat="1" x14ac:dyDescent="0.25">
      <c r="P117" s="129" t="s">
        <v>300</v>
      </c>
      <c r="Q117" s="129"/>
      <c r="R117" s="120" t="s">
        <v>1926</v>
      </c>
    </row>
    <row r="118" spans="2:18" s="395" customFormat="1" x14ac:dyDescent="0.25">
      <c r="P118" s="129" t="s">
        <v>306</v>
      </c>
      <c r="Q118" s="129"/>
      <c r="R118" s="120" t="s">
        <v>1926</v>
      </c>
    </row>
    <row r="119" spans="2:18" s="395" customFormat="1" x14ac:dyDescent="0.25">
      <c r="P119" s="129" t="s">
        <v>313</v>
      </c>
      <c r="Q119" s="129"/>
      <c r="R119" s="120" t="s">
        <v>1926</v>
      </c>
    </row>
    <row r="120" spans="2:18" s="395" customFormat="1" x14ac:dyDescent="0.25">
      <c r="P120" s="129" t="s">
        <v>319</v>
      </c>
      <c r="Q120" s="129"/>
      <c r="R120" s="120" t="s">
        <v>1926</v>
      </c>
    </row>
    <row r="121" spans="2:18" s="395" customFormat="1" x14ac:dyDescent="0.25">
      <c r="P121" s="129" t="s">
        <v>1952</v>
      </c>
      <c r="Q121" s="129"/>
      <c r="R121" s="120" t="s">
        <v>1926</v>
      </c>
    </row>
    <row r="122" spans="2:18" s="395" customFormat="1" x14ac:dyDescent="0.25">
      <c r="P122" s="116" t="s">
        <v>2299</v>
      </c>
      <c r="Q122" s="127"/>
      <c r="R122" s="128"/>
    </row>
    <row r="123" spans="2:18" s="395" customFormat="1" x14ac:dyDescent="0.25">
      <c r="P123" s="129" t="s">
        <v>1953</v>
      </c>
      <c r="Q123" s="129"/>
      <c r="R123" s="120" t="s">
        <v>1926</v>
      </c>
    </row>
    <row r="124" spans="2:18" s="395" customFormat="1" x14ac:dyDescent="0.25">
      <c r="P124" s="129" t="s">
        <v>1954</v>
      </c>
      <c r="Q124" s="129"/>
      <c r="R124" s="120"/>
    </row>
    <row r="125" spans="2:18" x14ac:dyDescent="0.25">
      <c r="B125" s="395"/>
      <c r="C125" s="395"/>
      <c r="D125" s="395"/>
      <c r="E125" s="395"/>
      <c r="F125" s="395"/>
      <c r="G125" s="395"/>
      <c r="H125" s="395"/>
      <c r="I125" s="395"/>
      <c r="J125" s="395"/>
      <c r="P125" s="116" t="s">
        <v>216</v>
      </c>
      <c r="Q125" s="127"/>
      <c r="R125" s="128"/>
    </row>
    <row r="126" spans="2:18" ht="27.6" x14ac:dyDescent="0.25">
      <c r="B126" s="395"/>
      <c r="C126" s="395"/>
      <c r="D126" s="395"/>
      <c r="E126" s="395"/>
      <c r="F126" s="395"/>
      <c r="G126" s="395"/>
      <c r="H126" s="395"/>
      <c r="I126" s="395"/>
      <c r="J126" s="395"/>
      <c r="P126" s="129" t="s">
        <v>3412</v>
      </c>
      <c r="Q126" s="129"/>
      <c r="R126" s="120"/>
    </row>
    <row r="127" spans="2:18" s="395" customFormat="1" x14ac:dyDescent="0.25">
      <c r="P127" s="129" t="s">
        <v>3413</v>
      </c>
      <c r="Q127" s="129"/>
      <c r="R127" s="120"/>
    </row>
    <row r="128" spans="2:18" s="395" customFormat="1" x14ac:dyDescent="0.25">
      <c r="P128" s="2" t="s">
        <v>263</v>
      </c>
      <c r="Q128" s="5"/>
      <c r="R128" s="2"/>
    </row>
    <row r="129" spans="2:20" s="632" customFormat="1" x14ac:dyDescent="0.25">
      <c r="B129" s="749"/>
      <c r="C129" s="749"/>
      <c r="D129" s="749"/>
      <c r="E129" s="749"/>
      <c r="F129" s="749"/>
      <c r="G129" s="749"/>
      <c r="H129" s="749"/>
      <c r="I129" s="749"/>
      <c r="J129" s="749"/>
      <c r="P129" s="2" t="s">
        <v>277</v>
      </c>
      <c r="Q129" s="5"/>
      <c r="R129" s="2"/>
      <c r="S129" s="395"/>
    </row>
    <row r="130" spans="2:20" s="632" customFormat="1" x14ac:dyDescent="0.25">
      <c r="B130" s="749"/>
      <c r="C130" s="749"/>
      <c r="D130" s="749"/>
      <c r="E130" s="749"/>
      <c r="F130" s="749"/>
      <c r="G130" s="749"/>
      <c r="H130" s="749"/>
      <c r="I130" s="749"/>
      <c r="J130" s="749"/>
      <c r="P130" s="2" t="s">
        <v>289</v>
      </c>
      <c r="Q130" s="5"/>
      <c r="R130" s="2"/>
      <c r="S130" s="395"/>
    </row>
    <row r="131" spans="2:20" s="632" customFormat="1" x14ac:dyDescent="0.25">
      <c r="B131" s="395"/>
      <c r="C131" s="395"/>
      <c r="D131" s="395"/>
      <c r="E131" s="395"/>
      <c r="F131" s="395"/>
      <c r="G131" s="395"/>
      <c r="H131" s="395"/>
      <c r="I131" s="395"/>
      <c r="J131" s="395"/>
      <c r="P131" s="2" t="s">
        <v>298</v>
      </c>
      <c r="Q131" s="5"/>
      <c r="R131" s="2"/>
      <c r="S131" s="395"/>
    </row>
    <row r="132" spans="2:20" s="632" customFormat="1" x14ac:dyDescent="0.25">
      <c r="B132" s="395"/>
      <c r="C132" s="395"/>
      <c r="D132" s="395"/>
      <c r="E132" s="395"/>
      <c r="F132" s="395"/>
      <c r="G132" s="395"/>
      <c r="H132" s="395"/>
      <c r="I132" s="395"/>
      <c r="J132" s="395"/>
      <c r="P132" s="2" t="s">
        <v>305</v>
      </c>
      <c r="Q132" s="5"/>
      <c r="R132" s="2"/>
      <c r="S132" s="395"/>
    </row>
    <row r="133" spans="2:20" s="632" customFormat="1" x14ac:dyDescent="0.25">
      <c r="P133" s="2" t="s">
        <v>312</v>
      </c>
      <c r="Q133" s="5"/>
      <c r="R133" s="2"/>
      <c r="S133" s="395"/>
    </row>
    <row r="134" spans="2:20" x14ac:dyDescent="0.25">
      <c r="B134" s="632"/>
      <c r="C134" s="632"/>
      <c r="D134" s="632"/>
      <c r="E134" s="632"/>
      <c r="F134" s="632"/>
      <c r="G134" s="632"/>
      <c r="H134" s="632"/>
      <c r="I134" s="632"/>
      <c r="J134" s="632"/>
      <c r="P134" s="5"/>
      <c r="Q134" s="5"/>
      <c r="R134" s="2"/>
    </row>
    <row r="135" spans="2:20" s="632" customFormat="1" x14ac:dyDescent="0.25">
      <c r="P135" s="31" t="s">
        <v>49</v>
      </c>
      <c r="Q135" s="5"/>
      <c r="R135" s="2"/>
      <c r="S135" s="395"/>
    </row>
    <row r="136" spans="2:20" s="632" customFormat="1" x14ac:dyDescent="0.25">
      <c r="P136" s="2" t="s">
        <v>266</v>
      </c>
      <c r="Q136" s="5"/>
      <c r="R136" s="2"/>
      <c r="S136" s="395"/>
    </row>
    <row r="137" spans="2:20" s="632" customFormat="1" x14ac:dyDescent="0.25">
      <c r="P137" s="2" t="s">
        <v>281</v>
      </c>
      <c r="Q137" s="5"/>
      <c r="R137" s="2"/>
      <c r="S137" s="395"/>
    </row>
    <row r="138" spans="2:20" s="632" customFormat="1" x14ac:dyDescent="0.25">
      <c r="B138" s="749"/>
      <c r="C138" s="749"/>
      <c r="D138" s="749"/>
      <c r="E138" s="749"/>
      <c r="F138" s="749"/>
      <c r="G138" s="749"/>
      <c r="H138" s="749"/>
      <c r="I138" s="749"/>
      <c r="J138" s="749"/>
      <c r="P138" s="2" t="s">
        <v>291</v>
      </c>
      <c r="Q138" s="5"/>
      <c r="R138" s="2"/>
      <c r="S138" s="395"/>
    </row>
    <row r="139" spans="2:20" x14ac:dyDescent="0.25">
      <c r="B139" s="632"/>
      <c r="C139" s="632"/>
      <c r="D139" s="632"/>
      <c r="E139" s="632"/>
      <c r="F139" s="632"/>
      <c r="G139" s="632"/>
      <c r="H139" s="632"/>
      <c r="I139" s="632"/>
      <c r="J139" s="632"/>
      <c r="P139" s="5"/>
      <c r="Q139" s="5"/>
      <c r="R139" s="2"/>
    </row>
    <row r="140" spans="2:20" x14ac:dyDescent="0.25">
      <c r="B140" s="632"/>
      <c r="C140" s="632"/>
      <c r="D140" s="632"/>
      <c r="E140" s="632"/>
      <c r="F140" s="632"/>
      <c r="G140" s="632"/>
      <c r="H140" s="632"/>
      <c r="I140" s="632"/>
      <c r="J140" s="632"/>
      <c r="P140" s="131" t="s">
        <v>1955</v>
      </c>
      <c r="Q140" s="5"/>
      <c r="R140" s="2"/>
    </row>
    <row r="141" spans="2:20" ht="66" x14ac:dyDescent="0.25">
      <c r="B141" s="632"/>
      <c r="C141" s="632"/>
      <c r="D141" s="632"/>
      <c r="E141" s="632"/>
      <c r="F141" s="632"/>
      <c r="G141" s="632"/>
      <c r="H141" s="632"/>
      <c r="I141" s="632"/>
      <c r="J141" s="632"/>
      <c r="P141" s="115" t="s">
        <v>1956</v>
      </c>
      <c r="Q141" s="132" t="s">
        <v>1957</v>
      </c>
      <c r="R141" s="133"/>
      <c r="S141" s="755"/>
      <c r="T141" s="755"/>
    </row>
    <row r="142" spans="2:20" ht="66" x14ac:dyDescent="0.25">
      <c r="B142" s="632"/>
      <c r="C142" s="632"/>
      <c r="D142" s="632"/>
      <c r="E142" s="632"/>
      <c r="F142" s="632"/>
      <c r="G142" s="632"/>
      <c r="H142" s="632"/>
      <c r="I142" s="632"/>
      <c r="J142" s="632"/>
      <c r="P142" s="115" t="s">
        <v>1958</v>
      </c>
      <c r="Q142" s="132" t="s">
        <v>1959</v>
      </c>
      <c r="R142" s="2"/>
    </row>
    <row r="143" spans="2:20" ht="26.4" x14ac:dyDescent="0.25">
      <c r="P143" s="115" t="s">
        <v>1960</v>
      </c>
      <c r="Q143" s="132" t="s">
        <v>1961</v>
      </c>
      <c r="R143" s="2"/>
    </row>
  </sheetData>
  <mergeCells count="78">
    <mergeCell ref="G31:H31"/>
    <mergeCell ref="G32:H32"/>
    <mergeCell ref="C31:F31"/>
    <mergeCell ref="C32:F32"/>
    <mergeCell ref="J32:L32"/>
    <mergeCell ref="C24:H24"/>
    <mergeCell ref="J34:L34"/>
    <mergeCell ref="J35:L35"/>
    <mergeCell ref="C58:F58"/>
    <mergeCell ref="C42:D42"/>
    <mergeCell ref="E42:F42"/>
    <mergeCell ref="G42:H42"/>
    <mergeCell ref="B56:G56"/>
    <mergeCell ref="C53:F53"/>
    <mergeCell ref="C54:F54"/>
    <mergeCell ref="B52:F52"/>
    <mergeCell ref="C57:F57"/>
    <mergeCell ref="C35:H35"/>
    <mergeCell ref="C36:H36"/>
    <mergeCell ref="C25:F25"/>
    <mergeCell ref="B34:I34"/>
    <mergeCell ref="M13:N13"/>
    <mergeCell ref="C14:F14"/>
    <mergeCell ref="C15:F15"/>
    <mergeCell ref="C16:F16"/>
    <mergeCell ref="C17:F17"/>
    <mergeCell ref="C13:F13"/>
    <mergeCell ref="I2:K2"/>
    <mergeCell ref="C18:F18"/>
    <mergeCell ref="C19:F19"/>
    <mergeCell ref="C20:F20"/>
    <mergeCell ref="B23:J23"/>
    <mergeCell ref="B3:H3"/>
    <mergeCell ref="B12:F12"/>
    <mergeCell ref="B7:J8"/>
    <mergeCell ref="B11:D11"/>
    <mergeCell ref="B6:D6"/>
    <mergeCell ref="C62:F62"/>
    <mergeCell ref="C63:F63"/>
    <mergeCell ref="C67:F67"/>
    <mergeCell ref="C59:F59"/>
    <mergeCell ref="C60:F60"/>
    <mergeCell ref="C61:F61"/>
    <mergeCell ref="P88:Q88"/>
    <mergeCell ref="G67:J67"/>
    <mergeCell ref="P73:Q73"/>
    <mergeCell ref="G50:H50"/>
    <mergeCell ref="J36:L36"/>
    <mergeCell ref="J41:L41"/>
    <mergeCell ref="G68:J68"/>
    <mergeCell ref="B38:L38"/>
    <mergeCell ref="J47:L47"/>
    <mergeCell ref="J48:L48"/>
    <mergeCell ref="J49:L49"/>
    <mergeCell ref="J50:L50"/>
    <mergeCell ref="J42:L42"/>
    <mergeCell ref="J43:L43"/>
    <mergeCell ref="J44:L44"/>
    <mergeCell ref="J45:L45"/>
    <mergeCell ref="C26:H26"/>
    <mergeCell ref="C27:H27"/>
    <mergeCell ref="C28:H28"/>
    <mergeCell ref="C29:F29"/>
    <mergeCell ref="C30:F30"/>
    <mergeCell ref="G29:H29"/>
    <mergeCell ref="G30:H30"/>
    <mergeCell ref="J26:L26"/>
    <mergeCell ref="J27:L27"/>
    <mergeCell ref="J28:L28"/>
    <mergeCell ref="J30:L30"/>
    <mergeCell ref="J31:L31"/>
    <mergeCell ref="J29:L29"/>
    <mergeCell ref="J46:L46"/>
    <mergeCell ref="C39:H39"/>
    <mergeCell ref="C40:H40"/>
    <mergeCell ref="C41:H41"/>
    <mergeCell ref="J39:L39"/>
    <mergeCell ref="J40:L40"/>
  </mergeCells>
  <conditionalFormatting sqref="B68:F68">
    <cfRule type="cellIs" dxfId="43" priority="20" operator="equal">
      <formula>$P$142</formula>
    </cfRule>
    <cfRule type="cellIs" dxfId="42" priority="21" operator="equal">
      <formula>$P$143</formula>
    </cfRule>
    <cfRule type="cellIs" dxfId="41" priority="22" operator="equal">
      <formula>$P$141</formula>
    </cfRule>
  </conditionalFormatting>
  <conditionalFormatting sqref="I12 I35:I37 I39:I56 G57:G63 I64">
    <cfRule type="cellIs" dxfId="40" priority="14" stopIfTrue="1" operator="equal">
      <formula>"MISSING INFO"</formula>
    </cfRule>
    <cfRule type="cellIs" dxfId="39" priority="15" operator="notEqual">
      <formula>""</formula>
    </cfRule>
  </conditionalFormatting>
  <conditionalFormatting sqref="I26:I33">
    <cfRule type="cellIs" dxfId="38" priority="1" stopIfTrue="1" operator="equal">
      <formula>"MISSING INFO"</formula>
    </cfRule>
    <cfRule type="cellIs" dxfId="37" priority="2" operator="notEqual">
      <formula>""</formula>
    </cfRule>
  </conditionalFormatting>
  <conditionalFormatting sqref="J12">
    <cfRule type="expression" dxfId="36" priority="13">
      <formula>AND(J12="",I12&lt;&gt;"")</formula>
    </cfRule>
  </conditionalFormatting>
  <conditionalFormatting sqref="J26:J32">
    <cfRule type="cellIs" dxfId="35" priority="5" stopIfTrue="1" operator="equal">
      <formula>"MISSING INFO"</formula>
    </cfRule>
    <cfRule type="cellIs" dxfId="34" priority="6" operator="notEqual">
      <formula>""</formula>
    </cfRule>
  </conditionalFormatting>
  <conditionalFormatting sqref="J39:J50">
    <cfRule type="cellIs" dxfId="33" priority="7" stopIfTrue="1" operator="equal">
      <formula>"MISSING INFO"</formula>
    </cfRule>
    <cfRule type="cellIs" dxfId="32" priority="8" operator="notEqual">
      <formula>""</formula>
    </cfRule>
  </conditionalFormatting>
  <conditionalFormatting sqref="L3">
    <cfRule type="expression" dxfId="31" priority="16">
      <formula>$L$3="ROPE Ready for Upload"</formula>
    </cfRule>
    <cfRule type="expression" dxfId="30" priority="18">
      <formula>$L$3="ROPE INCOMPLETE -- WILL NOT UPLOAD"</formula>
    </cfRule>
  </conditionalFormatting>
  <dataValidations count="7">
    <dataValidation type="list" allowBlank="1" showInputMessage="1" showErrorMessage="1" sqref="C57" xr:uid="{C660DA7C-43C2-417C-B679-96FE75248CA6}">
      <formula1>$P$101:$P$103</formula1>
    </dataValidation>
    <dataValidation type="list" allowBlank="1" showInputMessage="1" showErrorMessage="1" sqref="C61 C62:F62" xr:uid="{F3853985-A282-4449-9C5F-117960E31161}">
      <formula1>$P$122:$P$124</formula1>
    </dataValidation>
    <dataValidation type="list" allowBlank="1" showInputMessage="1" showErrorMessage="1" sqref="C60" xr:uid="{F413929F-8C92-4C1C-B505-A64E39986696}">
      <formula1>$P$114:$P$121</formula1>
    </dataValidation>
    <dataValidation type="list" allowBlank="1" showInputMessage="1" showErrorMessage="1" sqref="C58" xr:uid="{09C1F892-E840-45D7-BE2C-96F285E41633}">
      <formula1>$P$104:$P$107</formula1>
    </dataValidation>
    <dataValidation type="list" allowBlank="1" showInputMessage="1" showErrorMessage="1" sqref="C59" xr:uid="{B5D9D1C5-CD2A-42CC-A4E2-28EAA15B8BFA}">
      <formula1>$P$108:$P$111</formula1>
    </dataValidation>
    <dataValidation type="list" allowBlank="1" showInputMessage="1" showErrorMessage="1" sqref="C17" xr:uid="{E78E5262-58EA-4525-885B-FB06A9FD468C}">
      <formula1>$P$128:$P$133</formula1>
    </dataValidation>
    <dataValidation type="list" allowBlank="1" showInputMessage="1" showErrorMessage="1" sqref="C63:F63" xr:uid="{A919A820-5042-44E0-9558-41311B46E04D}">
      <formula1>$P$125:$P$127</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3">
        <x14:dataValidation type="list" allowBlank="1" showInputMessage="1" showErrorMessage="1" xr:uid="{E438537C-49A2-48F4-990A-25869F556FFA}">
          <x14:formula1>
            <xm:f>'Rates &amp; Drop Downs INT'!$CX$6:$CX$8</xm:f>
          </x14:formula1>
          <xm:sqref>C40</xm:sqref>
        </x14:dataValidation>
        <x14:dataValidation type="list" allowBlank="1" showInputMessage="1" showErrorMessage="1" xr:uid="{0AA42DC9-129A-4C39-BA90-CDB8886306AF}">
          <x14:formula1>
            <xm:f>'Rates &amp; Drop Downs INT'!$CZ$6:$CZ$10</xm:f>
          </x14:formula1>
          <xm:sqref>C53:F53</xm:sqref>
        </x14:dataValidation>
        <x14:dataValidation type="list" allowBlank="1" showInputMessage="1" showErrorMessage="1" xr:uid="{B1BEC0B5-F7AF-4D3F-9912-34AEE6276FF7}">
          <x14:formula1>
            <xm:f>'Rates &amp; Drop Downs INT'!$DB$6:$DB$10</xm:f>
          </x14:formula1>
          <xm:sqref>C54:F54</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67069-BAE5-4B62-9AA2-EEF51CA49D1E}">
  <sheetPr codeName="Sheet20"/>
  <dimension ref="A1:A2"/>
  <sheetViews>
    <sheetView workbookViewId="0">
      <selection activeCell="A3" sqref="A3"/>
    </sheetView>
  </sheetViews>
  <sheetFormatPr defaultColWidth="8.77734375" defaultRowHeight="14.4" x14ac:dyDescent="0.3"/>
  <sheetData>
    <row r="1" spans="1:1" x14ac:dyDescent="0.3">
      <c r="A1" t="s">
        <v>2357</v>
      </c>
    </row>
    <row r="2" spans="1:1" x14ac:dyDescent="0.3"/>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268C3-5175-E742-BE4F-1C9AB4BDEE33}">
  <sheetPr codeName="Sheet2">
    <tabColor theme="3" tint="0.249977111117893"/>
    <pageSetUpPr autoPageBreaks="0"/>
  </sheetPr>
  <dimension ref="A1:AE162"/>
  <sheetViews>
    <sheetView showGridLines="0" topLeftCell="G1" zoomScale="58" zoomScaleNormal="70" workbookViewId="0">
      <pane ySplit="3" topLeftCell="A57" activePane="bottomLeft" state="frozen"/>
      <selection pane="bottomLeft" activeCell="M60" sqref="M60:M61"/>
    </sheetView>
  </sheetViews>
  <sheetFormatPr defaultColWidth="8.44140625" defaultRowHeight="13.8" outlineLevelRow="1" outlineLevelCol="1" x14ac:dyDescent="0.25"/>
  <cols>
    <col min="1" max="1" width="3.44140625" style="395" customWidth="1"/>
    <col min="2" max="2" width="11.77734375" style="395" hidden="1" customWidth="1"/>
    <col min="3" max="3" width="47.44140625" style="395" customWidth="1"/>
    <col min="4" max="4" width="46.21875" style="395" bestFit="1" customWidth="1"/>
    <col min="5" max="5" width="31.44140625" style="632" bestFit="1" customWidth="1"/>
    <col min="6" max="6" width="29" style="633" customWidth="1"/>
    <col min="7" max="7" width="28.44140625" style="634" customWidth="1"/>
    <col min="8" max="10" width="28.44140625" style="634" hidden="1" customWidth="1"/>
    <col min="11" max="11" width="36" style="395" bestFit="1" customWidth="1"/>
    <col min="12" max="12" width="25.44140625" style="395" customWidth="1"/>
    <col min="13" max="13" width="21.44140625" style="635" customWidth="1" outlineLevel="1"/>
    <col min="14" max="14" width="22" style="506" customWidth="1" outlineLevel="1"/>
    <col min="15" max="15" width="21.77734375" style="506" customWidth="1" outlineLevel="1"/>
    <col min="16" max="18" width="19.44140625" style="506" customWidth="1" outlineLevel="1"/>
    <col min="19" max="19" width="19" style="395" bestFit="1" customWidth="1"/>
    <col min="20" max="20" width="19.44140625" style="395" customWidth="1"/>
    <col min="21" max="21" width="22.44140625" style="395" customWidth="1"/>
    <col min="22" max="22" width="18" style="395" customWidth="1"/>
    <col min="23" max="23" width="12.21875" style="395" customWidth="1"/>
    <col min="24" max="24" width="8.44140625" style="395"/>
    <col min="25" max="25" width="25.77734375" style="395" customWidth="1"/>
    <col min="26" max="16384" width="8.44140625" style="395"/>
  </cols>
  <sheetData>
    <row r="1" spans="1:25" s="469" customFormat="1" ht="22.05" customHeight="1" x14ac:dyDescent="0.25">
      <c r="C1" s="473" t="s">
        <v>46</v>
      </c>
      <c r="D1" s="697"/>
      <c r="E1" s="698"/>
      <c r="F1" s="699"/>
      <c r="G1" s="700"/>
      <c r="H1" s="700"/>
      <c r="I1" s="700"/>
      <c r="J1" s="700"/>
      <c r="L1" s="701" t="s">
        <v>1678</v>
      </c>
      <c r="M1" s="702"/>
      <c r="N1" s="619"/>
      <c r="O1" s="703"/>
      <c r="P1" s="703"/>
      <c r="Q1" s="703"/>
      <c r="R1" s="703"/>
      <c r="W1" s="2001"/>
      <c r="X1" s="2001"/>
      <c r="Y1" s="2001"/>
    </row>
    <row r="2" spans="1:25" s="469" customFormat="1" ht="20.25" customHeight="1" x14ac:dyDescent="0.25">
      <c r="C2" s="818" t="s">
        <v>2306</v>
      </c>
      <c r="D2" s="698"/>
      <c r="E2" s="698"/>
      <c r="F2" s="699"/>
      <c r="G2" s="700"/>
      <c r="H2" s="700"/>
      <c r="I2" s="700"/>
      <c r="J2" s="700"/>
      <c r="L2" s="1704"/>
      <c r="M2" s="1704"/>
      <c r="N2" s="1704"/>
      <c r="O2" s="703"/>
      <c r="P2" s="703"/>
      <c r="Q2" s="703"/>
      <c r="R2" s="703"/>
      <c r="W2" s="1070"/>
      <c r="X2" s="1071"/>
      <c r="Y2" s="1071"/>
    </row>
    <row r="3" spans="1:25" s="469" customFormat="1" ht="11.55" customHeight="1" x14ac:dyDescent="0.25">
      <c r="C3" s="698"/>
      <c r="D3" s="698"/>
      <c r="E3" s="698"/>
      <c r="F3" s="699"/>
      <c r="G3" s="700"/>
      <c r="H3" s="700"/>
      <c r="I3" s="700"/>
      <c r="J3" s="700"/>
      <c r="L3" s="794"/>
      <c r="M3" s="794"/>
      <c r="N3" s="794"/>
      <c r="O3" s="703"/>
      <c r="P3" s="703"/>
      <c r="Q3" s="703"/>
      <c r="R3" s="703"/>
      <c r="W3" s="1070"/>
      <c r="X3" s="1071"/>
      <c r="Y3" s="1071"/>
    </row>
    <row r="4" spans="1:25" s="806" customFormat="1" ht="20.25" customHeight="1" x14ac:dyDescent="0.25">
      <c r="A4" s="526"/>
      <c r="C4" s="740" t="s">
        <v>2</v>
      </c>
      <c r="D4" s="807"/>
      <c r="E4" s="807"/>
      <c r="F4" s="808"/>
      <c r="G4" s="809"/>
      <c r="H4" s="809"/>
      <c r="I4" s="809"/>
      <c r="J4" s="809"/>
      <c r="L4" s="810"/>
      <c r="M4" s="810"/>
      <c r="N4" s="810"/>
      <c r="O4" s="811"/>
      <c r="P4" s="811"/>
      <c r="Q4" s="811"/>
      <c r="R4" s="811"/>
      <c r="W4" s="1078"/>
      <c r="X4" s="1079"/>
      <c r="Y4" s="1079"/>
    </row>
    <row r="5" spans="1:25" s="526" customFormat="1" ht="32.549999999999997" customHeight="1" x14ac:dyDescent="0.25">
      <c r="C5" s="2002" t="s">
        <v>3262</v>
      </c>
      <c r="D5" s="2002"/>
      <c r="E5" s="2002"/>
      <c r="F5" s="2002"/>
      <c r="G5" s="1470"/>
      <c r="H5" s="1470"/>
      <c r="I5" s="1470"/>
      <c r="J5" s="1470"/>
      <c r="L5" s="805"/>
      <c r="M5" s="805"/>
      <c r="N5" s="805"/>
      <c r="O5" s="1471"/>
      <c r="P5" s="1471"/>
      <c r="Q5" s="1471"/>
      <c r="R5" s="1471"/>
      <c r="W5" s="1072"/>
      <c r="X5" s="1073"/>
      <c r="Y5" s="1073"/>
    </row>
    <row r="6" spans="1:25" s="812" customFormat="1" ht="19.95" customHeight="1" x14ac:dyDescent="0.3">
      <c r="C6" s="1999" t="s">
        <v>3263</v>
      </c>
      <c r="D6" s="1999"/>
      <c r="E6" s="1999"/>
      <c r="F6" s="1999"/>
      <c r="G6" s="815"/>
      <c r="H6" s="815"/>
      <c r="I6" s="815"/>
      <c r="J6" s="815"/>
      <c r="L6" s="805"/>
      <c r="M6" s="805"/>
      <c r="N6" s="805"/>
      <c r="O6" s="816"/>
      <c r="P6" s="816"/>
      <c r="Q6" s="816"/>
      <c r="R6" s="816"/>
      <c r="W6" s="1072"/>
      <c r="X6" s="1073"/>
      <c r="Y6" s="1073"/>
    </row>
    <row r="7" spans="1:25" s="812" customFormat="1" ht="19.95" customHeight="1" x14ac:dyDescent="0.3">
      <c r="C7" s="2000" t="s">
        <v>2274</v>
      </c>
      <c r="D7" s="2000"/>
      <c r="E7" s="2000"/>
      <c r="F7" s="2000"/>
      <c r="G7" s="815"/>
      <c r="H7" s="815"/>
      <c r="I7" s="815"/>
      <c r="J7" s="815"/>
      <c r="L7" s="805"/>
      <c r="M7" s="805"/>
      <c r="N7" s="805"/>
      <c r="O7" s="816"/>
      <c r="P7" s="816"/>
      <c r="Q7" s="816"/>
      <c r="R7" s="816"/>
      <c r="W7" s="1072"/>
      <c r="X7" s="1073"/>
      <c r="Y7" s="1073"/>
    </row>
    <row r="8" spans="1:25" s="812" customFormat="1" ht="29.55" customHeight="1" x14ac:dyDescent="0.3">
      <c r="C8" s="2000" t="s">
        <v>2275</v>
      </c>
      <c r="D8" s="2000"/>
      <c r="E8" s="2000"/>
      <c r="F8" s="2000"/>
      <c r="G8" s="815"/>
      <c r="H8" s="815"/>
      <c r="I8" s="815"/>
      <c r="J8" s="815"/>
      <c r="L8" s="805"/>
      <c r="M8" s="805"/>
      <c r="N8" s="805"/>
      <c r="O8" s="816"/>
      <c r="P8" s="816"/>
      <c r="Q8" s="816"/>
      <c r="R8" s="816"/>
      <c r="W8" s="1072"/>
      <c r="X8" s="1073"/>
      <c r="Y8" s="1073"/>
    </row>
    <row r="9" spans="1:25" s="812" customFormat="1" ht="29.55" customHeight="1" x14ac:dyDescent="0.3">
      <c r="C9" s="2000" t="s">
        <v>3264</v>
      </c>
      <c r="D9" s="2000"/>
      <c r="E9" s="2000"/>
      <c r="F9" s="2000"/>
      <c r="G9" s="815"/>
      <c r="H9" s="815"/>
      <c r="I9" s="815"/>
      <c r="J9" s="815"/>
      <c r="L9" s="805"/>
      <c r="M9" s="805"/>
      <c r="N9" s="805"/>
      <c r="O9" s="816"/>
      <c r="P9" s="816"/>
      <c r="Q9" s="816"/>
      <c r="R9" s="816"/>
      <c r="W9" s="1072"/>
      <c r="X9" s="1073"/>
      <c r="Y9" s="1073"/>
    </row>
    <row r="10" spans="1:25" s="812" customFormat="1" ht="20.399999999999999" x14ac:dyDescent="0.3">
      <c r="C10" s="817"/>
      <c r="D10" s="813"/>
      <c r="E10" s="813"/>
      <c r="F10" s="814"/>
      <c r="G10" s="815"/>
      <c r="H10" s="815"/>
      <c r="I10" s="815"/>
      <c r="J10" s="815"/>
      <c r="L10" s="805"/>
      <c r="M10" s="805"/>
      <c r="N10" s="805"/>
      <c r="O10" s="816"/>
      <c r="P10" s="816"/>
      <c r="Q10" s="816"/>
      <c r="R10" s="816"/>
      <c r="W10" s="1072"/>
      <c r="X10" s="1073"/>
      <c r="Y10" s="1073"/>
    </row>
    <row r="11" spans="1:25" ht="23.25" customHeight="1" x14ac:dyDescent="0.25">
      <c r="C11" s="760" t="s">
        <v>2312</v>
      </c>
      <c r="D11" s="661"/>
      <c r="E11" s="661"/>
      <c r="F11" s="637"/>
      <c r="G11" s="638"/>
      <c r="H11" s="638"/>
      <c r="I11" s="638"/>
      <c r="J11" s="638"/>
      <c r="K11" s="475"/>
      <c r="L11" s="662"/>
      <c r="M11" s="2005"/>
      <c r="N11" s="2005"/>
      <c r="O11" s="663"/>
      <c r="P11" s="663"/>
      <c r="Q11" s="663"/>
      <c r="R11" s="663"/>
      <c r="S11" s="475"/>
      <c r="T11" s="475"/>
      <c r="U11" s="475"/>
      <c r="W11" s="1074"/>
      <c r="X11" s="1075"/>
      <c r="Y11" s="1075"/>
    </row>
    <row r="12" spans="1:25" ht="20.55" customHeight="1" x14ac:dyDescent="0.25">
      <c r="C12" s="1472" t="s">
        <v>3265</v>
      </c>
      <c r="D12" s="659"/>
      <c r="E12" s="659"/>
      <c r="G12" s="395"/>
      <c r="H12" s="395"/>
      <c r="I12" s="395"/>
      <c r="J12" s="395"/>
      <c r="L12" s="664"/>
      <c r="M12" s="2004"/>
      <c r="N12" s="2004"/>
      <c r="O12" s="660"/>
      <c r="P12" s="660"/>
      <c r="Q12" s="660"/>
      <c r="R12" s="660"/>
      <c r="W12" s="1074"/>
      <c r="X12" s="1075"/>
      <c r="Y12" s="1075"/>
    </row>
    <row r="13" spans="1:25" ht="17.399999999999999" x14ac:dyDescent="0.25">
      <c r="C13" s="2022" t="s">
        <v>2199</v>
      </c>
      <c r="D13" s="2023"/>
      <c r="E13" s="395"/>
      <c r="F13" s="2010"/>
      <c r="G13" s="2010"/>
      <c r="H13" s="665"/>
      <c r="I13" s="665"/>
      <c r="J13" s="665"/>
      <c r="K13" s="484"/>
      <c r="L13" s="664"/>
      <c r="M13" s="2004"/>
      <c r="N13" s="2004"/>
      <c r="O13" s="666"/>
      <c r="P13" s="666"/>
      <c r="Q13" s="666"/>
      <c r="R13" s="666"/>
      <c r="S13" s="413"/>
      <c r="T13" s="413"/>
      <c r="W13" s="1076"/>
      <c r="X13" s="1075"/>
      <c r="Y13" s="1075"/>
    </row>
    <row r="14" spans="1:25" ht="21" customHeight="1" x14ac:dyDescent="0.25">
      <c r="C14" s="865" t="s">
        <v>15</v>
      </c>
      <c r="D14" s="1020" t="str">
        <f>'1. Project Inputs'!C17</f>
        <v>Dallas</v>
      </c>
      <c r="F14" s="667"/>
      <c r="G14" s="667"/>
      <c r="H14" s="667"/>
      <c r="I14" s="667"/>
      <c r="J14" s="667"/>
      <c r="K14" s="668"/>
      <c r="L14" s="669"/>
      <c r="M14" s="2004"/>
      <c r="N14" s="2004"/>
      <c r="O14" s="666"/>
      <c r="P14" s="666"/>
      <c r="Q14" s="666"/>
      <c r="R14" s="666"/>
      <c r="S14" s="413"/>
      <c r="T14" s="413"/>
      <c r="U14" s="667"/>
      <c r="V14" s="667"/>
      <c r="W14" s="1077"/>
      <c r="X14" s="2003"/>
      <c r="Y14" s="2003"/>
    </row>
    <row r="15" spans="1:25" ht="18" customHeight="1" x14ac:dyDescent="0.25">
      <c r="C15" s="867" t="s">
        <v>17</v>
      </c>
      <c r="D15" s="991" t="str">
        <f>'1. Project Inputs'!C18</f>
        <v>C Spire</v>
      </c>
      <c r="F15" s="2024"/>
      <c r="G15" s="411"/>
      <c r="H15" s="411"/>
      <c r="I15" s="411"/>
      <c r="J15" s="411"/>
      <c r="K15" s="671"/>
      <c r="L15" s="672"/>
      <c r="M15" s="2004"/>
      <c r="N15" s="2004"/>
      <c r="O15" s="673"/>
      <c r="P15" s="673"/>
      <c r="Q15" s="673"/>
      <c r="R15" s="673"/>
      <c r="S15" s="413"/>
      <c r="T15" s="413"/>
      <c r="U15" s="2009"/>
      <c r="V15" s="411"/>
      <c r="W15" s="399"/>
    </row>
    <row r="16" spans="1:25" ht="18" customHeight="1" x14ac:dyDescent="0.25">
      <c r="C16" s="867" t="s">
        <v>47</v>
      </c>
      <c r="D16" s="1021" t="str">
        <f>'1. Project Inputs'!C19</f>
        <v>TA Digital</v>
      </c>
      <c r="F16" s="2024"/>
      <c r="G16" s="411"/>
      <c r="H16" s="411"/>
      <c r="I16" s="411"/>
      <c r="J16" s="411"/>
      <c r="K16" s="671"/>
      <c r="L16" s="671"/>
      <c r="M16" s="641"/>
      <c r="N16" s="647"/>
      <c r="O16" s="673"/>
      <c r="P16" s="673"/>
      <c r="Q16" s="673"/>
      <c r="R16" s="673"/>
      <c r="S16" s="413"/>
      <c r="T16" s="413"/>
      <c r="U16" s="2009"/>
      <c r="V16" s="411"/>
      <c r="W16" s="399"/>
    </row>
    <row r="17" spans="3:23" ht="17.25" customHeight="1" x14ac:dyDescent="0.25">
      <c r="C17" s="867" t="s">
        <v>48</v>
      </c>
      <c r="D17" s="991" t="str">
        <f>'1. Project Inputs'!C20</f>
        <v>No</v>
      </c>
      <c r="F17" s="2024"/>
      <c r="G17" s="411"/>
      <c r="H17" s="411"/>
      <c r="I17" s="411"/>
      <c r="J17" s="411"/>
      <c r="K17" s="671"/>
      <c r="L17" s="671"/>
      <c r="M17" s="641"/>
      <c r="N17" s="647"/>
      <c r="O17" s="673"/>
      <c r="P17" s="673"/>
      <c r="Q17" s="673"/>
      <c r="R17" s="673"/>
      <c r="S17" s="413"/>
      <c r="T17" s="413"/>
      <c r="U17" s="2009"/>
      <c r="V17" s="411"/>
      <c r="W17" s="399"/>
    </row>
    <row r="18" spans="3:23" ht="16.05" customHeight="1" x14ac:dyDescent="0.25">
      <c r="C18" s="962" t="s">
        <v>2064</v>
      </c>
      <c r="D18" s="991">
        <f>'1. Project Inputs'!C22</f>
        <v>1324</v>
      </c>
      <c r="E18" s="519"/>
      <c r="F18" s="2024"/>
      <c r="G18" s="411"/>
      <c r="H18" s="411"/>
      <c r="I18" s="411"/>
      <c r="J18" s="411"/>
      <c r="K18" s="671"/>
      <c r="L18" s="671"/>
      <c r="M18" s="641"/>
      <c r="N18" s="647"/>
      <c r="O18" s="673"/>
      <c r="P18" s="673"/>
      <c r="Q18" s="673"/>
      <c r="R18" s="673"/>
      <c r="S18" s="413"/>
      <c r="T18" s="413"/>
      <c r="U18" s="2009"/>
      <c r="V18" s="411"/>
      <c r="W18" s="399"/>
    </row>
    <row r="19" spans="3:23" ht="16.05" customHeight="1" x14ac:dyDescent="0.25">
      <c r="C19" s="962" t="s">
        <v>22</v>
      </c>
      <c r="D19" s="991" t="str">
        <f>'1. Project Inputs'!C23</f>
        <v>Test Digital Project</v>
      </c>
      <c r="E19" s="519"/>
      <c r="F19" s="2024"/>
      <c r="G19" s="411"/>
      <c r="H19" s="411"/>
      <c r="I19" s="411"/>
      <c r="J19" s="411"/>
      <c r="K19" s="671"/>
      <c r="L19" s="671"/>
      <c r="M19" s="641"/>
      <c r="N19" s="647"/>
      <c r="O19" s="673"/>
      <c r="P19" s="673"/>
      <c r="Q19" s="673"/>
      <c r="R19" s="673"/>
      <c r="S19" s="413"/>
      <c r="T19" s="413"/>
      <c r="U19" s="2009"/>
      <c r="V19" s="411"/>
      <c r="W19" s="399"/>
    </row>
    <row r="20" spans="3:23" ht="16.05" customHeight="1" x14ac:dyDescent="0.25">
      <c r="C20" s="962" t="s">
        <v>23</v>
      </c>
      <c r="D20" s="1021" t="str">
        <f>'1. Project Inputs'!C24</f>
        <v>Digital - Systems Implementation</v>
      </c>
      <c r="E20" s="519"/>
      <c r="F20" s="2024"/>
      <c r="G20" s="411"/>
      <c r="H20" s="411"/>
      <c r="I20" s="411"/>
      <c r="J20" s="411"/>
      <c r="K20" s="671"/>
      <c r="L20" s="671"/>
      <c r="M20" s="641"/>
      <c r="N20" s="675"/>
      <c r="O20" s="676"/>
      <c r="P20" s="676"/>
      <c r="Q20" s="676"/>
      <c r="R20" s="676"/>
      <c r="S20" s="413"/>
      <c r="T20" s="413"/>
      <c r="U20" s="2009"/>
      <c r="V20" s="411"/>
      <c r="W20" s="399"/>
    </row>
    <row r="21" spans="3:23" ht="16.05" customHeight="1" x14ac:dyDescent="0.25">
      <c r="C21" s="962" t="s">
        <v>49</v>
      </c>
      <c r="D21" s="1021" t="str">
        <f>'1. Project Inputs'!C25</f>
        <v>Standard Rates</v>
      </c>
      <c r="E21" s="519"/>
      <c r="F21" s="2024"/>
      <c r="G21" s="411"/>
      <c r="H21" s="411"/>
      <c r="I21" s="411"/>
      <c r="J21" s="411"/>
      <c r="K21" s="671"/>
      <c r="L21" s="671"/>
      <c r="M21" s="641"/>
      <c r="N21" s="677"/>
      <c r="O21" s="678"/>
      <c r="P21" s="678"/>
      <c r="Q21" s="678"/>
      <c r="R21" s="678"/>
      <c r="S21" s="413"/>
      <c r="T21" s="413"/>
      <c r="U21" s="2009"/>
      <c r="V21" s="411"/>
      <c r="W21" s="399"/>
    </row>
    <row r="22" spans="3:23" ht="31.05" customHeight="1" x14ac:dyDescent="0.25">
      <c r="C22" s="1022" t="s">
        <v>25</v>
      </c>
      <c r="D22" s="1021" t="str">
        <f>IF(ISBLANK('1. Project Inputs'!C26)," ",'1. Project Inputs'!C26)</f>
        <v xml:space="preserve"> </v>
      </c>
      <c r="F22" s="2024"/>
      <c r="G22" s="411"/>
      <c r="H22" s="411"/>
      <c r="I22" s="411"/>
      <c r="J22" s="411"/>
      <c r="K22" s="671"/>
      <c r="L22" s="671"/>
      <c r="M22" s="641"/>
      <c r="N22" s="677"/>
      <c r="O22" s="679"/>
      <c r="P22" s="679"/>
      <c r="Q22" s="679"/>
      <c r="R22" s="679"/>
      <c r="S22" s="413"/>
      <c r="T22" s="413"/>
      <c r="U22" s="2009"/>
      <c r="V22" s="411"/>
      <c r="W22" s="399"/>
    </row>
    <row r="23" spans="3:23" ht="16.05" customHeight="1" x14ac:dyDescent="0.25">
      <c r="C23" s="867" t="s">
        <v>26</v>
      </c>
      <c r="D23" s="1023">
        <f>'1. Project Inputs'!C27</f>
        <v>45916</v>
      </c>
      <c r="F23" s="2024"/>
      <c r="G23" s="411"/>
      <c r="H23" s="411"/>
      <c r="I23" s="411"/>
      <c r="J23" s="411"/>
      <c r="K23" s="671"/>
      <c r="L23" s="671"/>
      <c r="M23" s="641"/>
      <c r="N23" s="680"/>
      <c r="O23" s="673"/>
      <c r="P23" s="673"/>
      <c r="Q23" s="673"/>
      <c r="R23" s="673"/>
      <c r="S23" s="413"/>
      <c r="T23" s="413"/>
      <c r="U23" s="2009"/>
      <c r="V23" s="411"/>
      <c r="W23" s="399"/>
    </row>
    <row r="24" spans="3:23" ht="17.25" customHeight="1" x14ac:dyDescent="0.25">
      <c r="C24" s="867" t="s">
        <v>50</v>
      </c>
      <c r="D24" s="1024">
        <f>'1. Project Inputs'!C29</f>
        <v>30</v>
      </c>
      <c r="E24" s="681"/>
      <c r="F24" s="2024"/>
      <c r="G24" s="411"/>
      <c r="H24" s="411"/>
      <c r="I24" s="411"/>
      <c r="J24" s="411"/>
      <c r="K24" s="671"/>
      <c r="L24" s="671"/>
      <c r="M24" s="641"/>
      <c r="N24" s="505"/>
      <c r="O24" s="505"/>
      <c r="P24" s="505"/>
      <c r="Q24" s="505"/>
      <c r="R24" s="505"/>
      <c r="S24" s="413"/>
      <c r="T24" s="413"/>
      <c r="U24" s="2009"/>
      <c r="V24" s="411"/>
      <c r="W24" s="399"/>
    </row>
    <row r="25" spans="3:23" ht="15" x14ac:dyDescent="0.25">
      <c r="C25" s="867" t="s">
        <v>27</v>
      </c>
      <c r="D25" s="1024" t="str">
        <f>'1. Project Inputs'!C28</f>
        <v>T&amp;M</v>
      </c>
      <c r="E25" s="681"/>
      <c r="F25" s="2024"/>
      <c r="G25" s="411"/>
      <c r="H25" s="411"/>
      <c r="I25" s="411"/>
      <c r="J25" s="411"/>
      <c r="K25" s="671"/>
      <c r="L25" s="671"/>
      <c r="M25" s="641"/>
      <c r="N25" s="505"/>
      <c r="O25" s="505"/>
      <c r="P25" s="505"/>
      <c r="Q25" s="505"/>
      <c r="R25" s="505"/>
      <c r="S25" s="413"/>
      <c r="T25" s="413"/>
      <c r="U25" s="2009"/>
      <c r="V25" s="411"/>
      <c r="W25" s="399"/>
    </row>
    <row r="26" spans="3:23" ht="19.05" customHeight="1" x14ac:dyDescent="0.25">
      <c r="C26" s="962" t="s">
        <v>16</v>
      </c>
      <c r="D26" s="1473" t="str">
        <f>IF(ISBLANK('1. Project Inputs'!G17),"",'1. Project Inputs'!G17)</f>
        <v/>
      </c>
      <c r="E26" s="681"/>
      <c r="F26" s="2024"/>
      <c r="G26" s="411"/>
      <c r="H26" s="411"/>
      <c r="I26" s="411"/>
      <c r="J26" s="411"/>
      <c r="K26" s="671"/>
      <c r="L26" s="671"/>
      <c r="M26" s="641"/>
      <c r="N26" s="505"/>
      <c r="O26" s="505"/>
      <c r="P26" s="505"/>
      <c r="Q26" s="505"/>
      <c r="R26" s="505"/>
      <c r="S26" s="413"/>
      <c r="T26" s="413"/>
      <c r="U26" s="2009"/>
      <c r="V26" s="411"/>
      <c r="W26" s="399"/>
    </row>
    <row r="27" spans="3:23" ht="18" customHeight="1" x14ac:dyDescent="0.25">
      <c r="C27" s="962" t="s">
        <v>18</v>
      </c>
      <c r="D27" s="1473" t="str">
        <f>IF(ISBLANK('1. Project Inputs'!G18),"",'1. Project Inputs'!G18)</f>
        <v/>
      </c>
      <c r="E27" s="681"/>
      <c r="F27" s="2024"/>
      <c r="G27" s="411"/>
      <c r="H27" s="430"/>
      <c r="I27" s="430"/>
      <c r="J27" s="430"/>
      <c r="K27" s="671"/>
      <c r="L27" s="671"/>
      <c r="M27" s="641"/>
      <c r="N27" s="505"/>
      <c r="O27" s="505"/>
      <c r="P27" s="505"/>
      <c r="Q27" s="505"/>
      <c r="R27" s="505"/>
      <c r="S27" s="413"/>
      <c r="T27" s="413"/>
      <c r="U27" s="674"/>
      <c r="V27" s="411"/>
      <c r="W27" s="399"/>
    </row>
    <row r="28" spans="3:23" ht="18" customHeight="1" x14ac:dyDescent="0.25">
      <c r="C28" s="1025" t="s">
        <v>21</v>
      </c>
      <c r="D28" s="1474" t="str">
        <f>IF(ISBLANK('1. Project Inputs'!G19),"",'1. Project Inputs'!G19)</f>
        <v/>
      </c>
      <c r="E28" s="681"/>
      <c r="F28" s="2024"/>
      <c r="G28" s="411"/>
      <c r="H28" s="430"/>
      <c r="I28" s="430"/>
      <c r="J28" s="430"/>
      <c r="K28" s="682"/>
      <c r="L28" s="682"/>
      <c r="U28" s="674"/>
      <c r="V28" s="411"/>
      <c r="W28" s="399"/>
    </row>
    <row r="29" spans="3:23" ht="7.05" customHeight="1" x14ac:dyDescent="0.25">
      <c r="C29" s="683"/>
      <c r="D29" s="684"/>
      <c r="E29" s="681"/>
      <c r="F29" s="2024"/>
      <c r="G29" s="411"/>
      <c r="H29" s="430"/>
      <c r="I29" s="430"/>
      <c r="J29" s="430"/>
      <c r="K29" s="682"/>
      <c r="L29" s="682"/>
      <c r="U29" s="674"/>
      <c r="V29" s="411"/>
      <c r="W29" s="399"/>
    </row>
    <row r="30" spans="3:23" ht="15" x14ac:dyDescent="0.25">
      <c r="C30" s="1026" t="s">
        <v>2202</v>
      </c>
      <c r="E30" s="681"/>
      <c r="F30" s="2024"/>
      <c r="G30" s="411"/>
      <c r="H30" s="430"/>
      <c r="I30" s="430"/>
      <c r="J30" s="430"/>
      <c r="K30" s="682"/>
      <c r="L30" s="682"/>
      <c r="U30" s="674"/>
      <c r="V30" s="411"/>
      <c r="W30" s="399"/>
    </row>
    <row r="31" spans="3:23" ht="18" customHeight="1" x14ac:dyDescent="0.25">
      <c r="C31" s="1027" t="str">
        <f>IF($D$20="Select",'1. Project Inputs'!B38,IF($D$20="Consulting",'1. Project Inputs'!B38,IF($D$20="Digital - MarTech Consulting/Strategy",'1. Project Inputs'!B38,'Rates &amp; Drop Downs INT'!AE7)))</f>
        <v>UX</v>
      </c>
      <c r="E31" s="681"/>
      <c r="F31" s="2024"/>
      <c r="G31" s="411"/>
      <c r="H31" s="430"/>
      <c r="I31" s="430"/>
      <c r="J31" s="430"/>
      <c r="K31" s="682"/>
      <c r="L31" s="682"/>
      <c r="U31" s="674"/>
      <c r="V31" s="411"/>
      <c r="W31" s="399"/>
    </row>
    <row r="32" spans="3:23" ht="18" customHeight="1" x14ac:dyDescent="0.25">
      <c r="C32" s="1028" t="str">
        <f>IF($D$20="Select",'1. Project Inputs'!B39,IF($D$20="Consulting",'1. Project Inputs'!B39,IF($D$20="Digital - MarTech Consulting/Strategy",'1. Project Inputs'!B39,'Rates &amp; Drop Downs INT'!AE8)))</f>
        <v>UI</v>
      </c>
      <c r="E32" s="681"/>
      <c r="F32" s="2024"/>
      <c r="G32" s="411"/>
      <c r="H32" s="430"/>
      <c r="I32" s="430"/>
      <c r="J32" s="430"/>
      <c r="K32" s="682"/>
      <c r="L32" s="682"/>
      <c r="U32" s="674"/>
      <c r="V32" s="411"/>
      <c r="W32" s="399"/>
    </row>
    <row r="33" spans="3:23" ht="18" customHeight="1" x14ac:dyDescent="0.25">
      <c r="C33" s="1028" t="str">
        <f>IF($D$20="Select",'1. Project Inputs'!B40,IF($D$20="Consulting",'1. Project Inputs'!B40,IF($D$20="Digital - MarTech Consulting/Strategy",'1. Project Inputs'!B40,'Rates &amp; Drop Downs INT'!AE9)))</f>
        <v>CMS + Web Integration</v>
      </c>
      <c r="E33" s="681"/>
      <c r="F33" s="2024"/>
      <c r="G33" s="411"/>
      <c r="H33" s="430"/>
      <c r="I33" s="430"/>
      <c r="J33" s="430"/>
      <c r="K33" s="682"/>
      <c r="L33" s="682"/>
      <c r="U33" s="674"/>
      <c r="V33" s="411"/>
      <c r="W33" s="399"/>
    </row>
    <row r="34" spans="3:23" ht="18" customHeight="1" x14ac:dyDescent="0.25">
      <c r="C34" s="1028" t="str">
        <f>IF($D$20="Select",'1. Project Inputs'!B41,IF($D$20="Consulting",'1. Project Inputs'!B41,IF($D$20="Digital - MarTech Consulting/Strategy",'1. Project Inputs'!B41,'Rates &amp; Drop Downs INT'!AE10)))</f>
        <v>Services/Integrations</v>
      </c>
      <c r="E34" s="681"/>
      <c r="F34" s="2024"/>
      <c r="G34" s="411"/>
      <c r="H34" s="430"/>
      <c r="I34" s="430"/>
      <c r="J34" s="430"/>
      <c r="K34" s="682"/>
      <c r="L34" s="682"/>
      <c r="U34" s="674"/>
      <c r="V34" s="411"/>
      <c r="W34" s="399"/>
    </row>
    <row r="35" spans="3:23" ht="18" customHeight="1" x14ac:dyDescent="0.25">
      <c r="C35" s="1028" t="str">
        <f>IF($D$20="Select",'1. Project Inputs'!B42,IF($D$20="Consulting",'1. Project Inputs'!B42,IF($D$20="Digital - MarTech Consulting/Strategy",'1. Project Inputs'!B42,'Rates &amp; Drop Downs INT'!AE11)))</f>
        <v>E-Commerce</v>
      </c>
      <c r="E35" s="681"/>
      <c r="F35" s="670"/>
      <c r="G35" s="430"/>
      <c r="H35" s="430"/>
      <c r="I35" s="430"/>
      <c r="J35" s="430"/>
      <c r="K35" s="682"/>
      <c r="L35" s="682"/>
      <c r="U35" s="674"/>
      <c r="V35" s="411"/>
      <c r="W35" s="399"/>
    </row>
    <row r="36" spans="3:23" ht="18" customHeight="1" x14ac:dyDescent="0.25">
      <c r="C36" s="1028">
        <f>IF($D$20="Select",'1. Project Inputs'!B43,IF($D$20="Consulting",'1. Project Inputs'!B43,IF($D$20="Digital - MarTech Consulting/Strategy",'1. Project Inputs'!B43,'Rates &amp; Drop Downs INT'!AE12)))</f>
        <v>0</v>
      </c>
      <c r="E36" s="681"/>
      <c r="F36" s="670"/>
      <c r="G36" s="430"/>
      <c r="H36" s="430"/>
      <c r="I36" s="430"/>
      <c r="J36" s="430"/>
      <c r="K36" s="682"/>
      <c r="L36" s="682"/>
      <c r="U36" s="674"/>
      <c r="V36" s="411"/>
      <c r="W36" s="399"/>
    </row>
    <row r="37" spans="3:23" ht="18" customHeight="1" x14ac:dyDescent="0.25">
      <c r="C37" s="1028">
        <f>IF($D$20="Select",'1. Project Inputs'!B44,IF($D$20="Consulting",'1. Project Inputs'!B44,IF($D$20="Digital - MarTech Consulting/Strategy",'1. Project Inputs'!B44,'Rates &amp; Drop Downs INT'!AE13)))</f>
        <v>0</v>
      </c>
      <c r="E37" s="681"/>
      <c r="F37" s="670"/>
      <c r="G37" s="430"/>
      <c r="H37" s="430"/>
      <c r="I37" s="430"/>
      <c r="J37" s="430"/>
      <c r="K37" s="682"/>
      <c r="L37" s="682"/>
      <c r="U37" s="674"/>
      <c r="V37" s="411"/>
      <c r="W37" s="399"/>
    </row>
    <row r="38" spans="3:23" ht="18" customHeight="1" x14ac:dyDescent="0.25">
      <c r="C38" s="1028">
        <f>IF($D$20="Select",'1. Project Inputs'!B45,IF($D$20="Consulting",'1. Project Inputs'!B45,IF($D$20="Digital - MarTech Consulting/Strategy",'1. Project Inputs'!B45,'Rates &amp; Drop Downs INT'!AE14)))</f>
        <v>0</v>
      </c>
      <c r="E38" s="681"/>
      <c r="F38" s="670"/>
      <c r="G38" s="430"/>
      <c r="H38" s="430"/>
      <c r="I38" s="430"/>
      <c r="J38" s="430"/>
      <c r="K38" s="682"/>
      <c r="L38" s="682"/>
      <c r="U38" s="674"/>
      <c r="V38" s="411"/>
      <c r="W38" s="399"/>
    </row>
    <row r="39" spans="3:23" ht="18" customHeight="1" x14ac:dyDescent="0.25">
      <c r="C39" s="1028">
        <f>IF($D$20="Select",'1. Project Inputs'!B46,IF($D$20="Consulting",'1. Project Inputs'!B46,IF($D$20="Digital - MarTech Consulting/Strategy",'1. Project Inputs'!B46,'Rates &amp; Drop Downs INT'!AE15)))</f>
        <v>0</v>
      </c>
      <c r="E39" s="681"/>
      <c r="F39" s="670"/>
      <c r="G39" s="430"/>
      <c r="H39" s="430"/>
      <c r="I39" s="430"/>
      <c r="J39" s="430"/>
      <c r="K39" s="682"/>
      <c r="L39" s="682"/>
      <c r="U39" s="674"/>
      <c r="V39" s="411"/>
      <c r="W39" s="399"/>
    </row>
    <row r="40" spans="3:23" ht="18" customHeight="1" x14ac:dyDescent="0.25">
      <c r="C40" s="1028">
        <f>IF($D$20="Select",'1. Project Inputs'!B47,IF($D$20="Consulting",'1. Project Inputs'!B47,IF($D$20="Digital - MarTech Consulting/Strategy",'1. Project Inputs'!B47,'Rates &amp; Drop Downs INT'!AE16)))</f>
        <v>0</v>
      </c>
      <c r="E40" s="681"/>
      <c r="F40" s="670"/>
      <c r="G40" s="430"/>
      <c r="H40" s="430"/>
      <c r="I40" s="430"/>
      <c r="J40" s="430"/>
      <c r="K40" s="682"/>
      <c r="L40" s="682"/>
      <c r="U40" s="674"/>
      <c r="V40" s="411"/>
      <c r="W40" s="399"/>
    </row>
    <row r="41" spans="3:23" ht="18" customHeight="1" x14ac:dyDescent="0.25">
      <c r="C41" s="1028">
        <f>IF($D$20="Select",'1. Project Inputs'!B48,IF($D$20="Consulting",'1. Project Inputs'!B48,IF($D$20="Digital - MarTech Consulting/Strategy",'1. Project Inputs'!B48,'Rates &amp; Drop Downs INT'!AE17)))</f>
        <v>0</v>
      </c>
      <c r="E41" s="681"/>
      <c r="F41" s="670"/>
      <c r="G41" s="430"/>
      <c r="H41" s="430"/>
      <c r="I41" s="430"/>
      <c r="J41" s="430"/>
      <c r="K41" s="682"/>
      <c r="L41" s="682"/>
      <c r="U41" s="674"/>
      <c r="V41" s="411"/>
      <c r="W41" s="399"/>
    </row>
    <row r="42" spans="3:23" ht="18" customHeight="1" x14ac:dyDescent="0.25">
      <c r="C42" s="1028">
        <f>IF($D$20="Select",'1. Project Inputs'!B49,IF($D$20="Consulting",'1. Project Inputs'!B49,IF($D$20="Digital - MarTech Consulting/Strategy",'1. Project Inputs'!B49,'Rates &amp; Drop Downs INT'!AE18)))</f>
        <v>0</v>
      </c>
      <c r="E42" s="681"/>
      <c r="F42" s="670"/>
      <c r="G42" s="430"/>
      <c r="H42" s="430"/>
      <c r="I42" s="430"/>
      <c r="J42" s="430"/>
      <c r="K42" s="682"/>
      <c r="L42" s="682"/>
      <c r="U42" s="674"/>
      <c r="V42" s="411"/>
      <c r="W42" s="399"/>
    </row>
    <row r="43" spans="3:23" ht="18" customHeight="1" x14ac:dyDescent="0.25">
      <c r="C43" s="1028">
        <f>IF($D$20="Select",'1. Project Inputs'!B50,IF($D$20="Consulting",'1. Project Inputs'!B50,IF($D$20="Digital - MarTech Consulting/Strategy",'1. Project Inputs'!B50,'Rates &amp; Drop Downs INT'!AE19)))</f>
        <v>0</v>
      </c>
      <c r="E43" s="681"/>
      <c r="F43" s="670"/>
      <c r="G43" s="430"/>
      <c r="H43" s="430"/>
      <c r="I43" s="430"/>
      <c r="J43" s="430"/>
      <c r="K43" s="682"/>
      <c r="L43" s="682"/>
      <c r="U43" s="674"/>
      <c r="V43" s="411"/>
      <c r="W43" s="399"/>
    </row>
    <row r="44" spans="3:23" ht="18" customHeight="1" x14ac:dyDescent="0.25">
      <c r="C44" s="1028">
        <f>IF($D$20="Select",'1. Project Inputs'!B51,IF($D$20="Consulting",'1. Project Inputs'!B51,IF($D$20="Digital - MarTech Consulting/Strategy",'1. Project Inputs'!B51,'Rates &amp; Drop Downs INT'!AE20)))</f>
        <v>0</v>
      </c>
      <c r="E44" s="681"/>
      <c r="F44" s="670"/>
      <c r="G44" s="430"/>
      <c r="H44" s="430"/>
      <c r="I44" s="430"/>
      <c r="J44" s="430"/>
      <c r="K44" s="682"/>
      <c r="L44" s="682"/>
      <c r="U44" s="674"/>
      <c r="V44" s="411"/>
      <c r="W44" s="399"/>
    </row>
    <row r="45" spans="3:23" ht="18" customHeight="1" x14ac:dyDescent="0.25">
      <c r="C45" s="1028">
        <f>IF($D$20="Select",'1. Project Inputs'!B52,IF($D$20="Consulting",'1. Project Inputs'!B52,IF($D$20="Digital - MarTech Consulting/Strategy",'1. Project Inputs'!B52,'Rates &amp; Drop Downs INT'!AE21)))</f>
        <v>0</v>
      </c>
      <c r="E45" s="681"/>
      <c r="F45" s="670"/>
      <c r="G45" s="430"/>
      <c r="H45" s="430"/>
      <c r="I45" s="430"/>
      <c r="J45" s="430"/>
      <c r="K45" s="682"/>
      <c r="L45" s="682"/>
      <c r="U45" s="674"/>
      <c r="V45" s="411"/>
      <c r="W45" s="399"/>
    </row>
    <row r="46" spans="3:23" ht="18" customHeight="1" x14ac:dyDescent="0.25">
      <c r="C46" s="1028">
        <f>IF($D$20="Select",'1. Project Inputs'!B53,IF($D$20="Consulting",'1. Project Inputs'!B53,IF($D$20="Digital - MarTech Consulting/Strategy",'1. Project Inputs'!B53,'Rates &amp; Drop Downs INT'!AE22)))</f>
        <v>0</v>
      </c>
      <c r="E46" s="681"/>
      <c r="F46" s="670"/>
      <c r="G46" s="430"/>
      <c r="H46" s="430"/>
      <c r="I46" s="430"/>
      <c r="J46" s="430"/>
      <c r="K46" s="682"/>
      <c r="L46" s="682"/>
      <c r="U46" s="674"/>
      <c r="V46" s="411"/>
      <c r="W46" s="399"/>
    </row>
    <row r="47" spans="3:23" ht="18" customHeight="1" x14ac:dyDescent="0.25">
      <c r="C47" s="1028">
        <f>IF($D$20="Select",'1. Project Inputs'!B54,IF($D$20="Consulting",'1. Project Inputs'!B54,IF($D$20="Digital - MarTech Consulting/Strategy",'1. Project Inputs'!B54,'Rates &amp; Drop Downs INT'!AE23)))</f>
        <v>0</v>
      </c>
      <c r="E47" s="681"/>
      <c r="F47" s="670"/>
      <c r="G47" s="430"/>
      <c r="H47" s="430"/>
      <c r="I47" s="430"/>
      <c r="J47" s="430"/>
      <c r="K47" s="682"/>
      <c r="L47" s="682"/>
      <c r="U47" s="674"/>
      <c r="V47" s="411"/>
      <c r="W47" s="399"/>
    </row>
    <row r="48" spans="3:23" ht="18" customHeight="1" x14ac:dyDescent="0.25">
      <c r="C48" s="1028">
        <f>IF($D$20="Select",'1. Project Inputs'!B55,IF($D$20="Consulting",'1. Project Inputs'!B55,IF($D$20="Digital - MarTech Consulting/Strategy",'1. Project Inputs'!B55,'Rates &amp; Drop Downs INT'!AE24)))</f>
        <v>0</v>
      </c>
      <c r="E48" s="681"/>
      <c r="F48" s="670"/>
      <c r="G48" s="430"/>
      <c r="H48" s="430"/>
      <c r="I48" s="430"/>
      <c r="J48" s="430"/>
      <c r="K48" s="682"/>
      <c r="L48" s="682"/>
      <c r="U48" s="674"/>
      <c r="V48" s="411"/>
      <c r="W48" s="399"/>
    </row>
    <row r="49" spans="2:23" ht="18" customHeight="1" x14ac:dyDescent="0.25">
      <c r="C49" s="1028">
        <f>IF($D$20="Select",'1. Project Inputs'!B56,IF($D$20="Consulting",'1. Project Inputs'!B56,IF($D$20="Digital - MarTech Consulting/Strategy",'1. Project Inputs'!B56,'Rates &amp; Drop Downs INT'!AE25)))</f>
        <v>0</v>
      </c>
      <c r="E49" s="681"/>
      <c r="F49" s="670"/>
      <c r="G49" s="430"/>
      <c r="H49" s="430"/>
      <c r="I49" s="430"/>
      <c r="J49" s="430"/>
      <c r="K49" s="682"/>
      <c r="L49" s="682"/>
      <c r="U49" s="674"/>
      <c r="V49" s="411"/>
      <c r="W49" s="399"/>
    </row>
    <row r="50" spans="2:23" ht="18" customHeight="1" x14ac:dyDescent="0.25">
      <c r="C50" s="1029">
        <f>IF($D$20="Select",'1. Project Inputs'!B57,IF($D$20="Consulting",'1. Project Inputs'!B57,IF($D$20="Digital - MarTech Consulting/Strategy",'1. Project Inputs'!B57,'Rates &amp; Drop Downs INT'!AE26)))</f>
        <v>0</v>
      </c>
      <c r="E50" s="681"/>
      <c r="F50" s="670"/>
      <c r="G50" s="430"/>
      <c r="H50" s="430"/>
      <c r="I50" s="430"/>
      <c r="J50" s="430"/>
      <c r="K50" s="682"/>
      <c r="L50" s="682"/>
      <c r="U50" s="674"/>
      <c r="V50" s="411"/>
      <c r="W50" s="399"/>
    </row>
    <row r="51" spans="2:23" ht="18" customHeight="1" x14ac:dyDescent="0.25">
      <c r="E51" s="681"/>
      <c r="F51" s="670"/>
      <c r="G51" s="430"/>
      <c r="H51" s="430"/>
      <c r="I51" s="430"/>
      <c r="J51" s="430"/>
      <c r="K51" s="682"/>
      <c r="L51" s="682"/>
      <c r="U51" s="674"/>
      <c r="V51" s="411"/>
      <c r="W51" s="399"/>
    </row>
    <row r="52" spans="2:23" ht="22.05" customHeight="1" x14ac:dyDescent="0.25">
      <c r="C52" s="741" t="s">
        <v>2342</v>
      </c>
      <c r="D52" s="685"/>
      <c r="E52" s="686"/>
      <c r="F52" s="687"/>
      <c r="G52" s="638"/>
      <c r="H52" s="638"/>
      <c r="I52" s="638"/>
      <c r="J52" s="638"/>
      <c r="K52" s="475"/>
      <c r="L52" s="475"/>
      <c r="M52" s="639"/>
      <c r="N52" s="515"/>
      <c r="O52" s="688"/>
      <c r="P52" s="688"/>
      <c r="Q52" s="688"/>
      <c r="R52" s="688"/>
      <c r="S52" s="475"/>
      <c r="T52" s="475"/>
      <c r="U52" s="475"/>
    </row>
    <row r="53" spans="2:23" ht="15" x14ac:dyDescent="0.25">
      <c r="C53" s="1472" t="s">
        <v>2343</v>
      </c>
      <c r="D53" s="1244"/>
      <c r="E53" s="681"/>
      <c r="F53" s="1245"/>
      <c r="G53" s="1246"/>
      <c r="H53" s="1246"/>
      <c r="I53" s="1246"/>
      <c r="J53" s="1246"/>
      <c r="O53" s="1247"/>
      <c r="P53" s="1247"/>
      <c r="Q53" s="1247"/>
      <c r="R53" s="1247"/>
    </row>
    <row r="54" spans="2:23" ht="15" x14ac:dyDescent="0.25">
      <c r="C54" s="1472" t="s">
        <v>2344</v>
      </c>
      <c r="D54" s="1244"/>
      <c r="E54" s="681"/>
      <c r="F54" s="1245"/>
      <c r="G54" s="1246"/>
      <c r="H54" s="1246"/>
      <c r="I54" s="1246"/>
      <c r="J54" s="1246"/>
      <c r="O54" s="1247"/>
      <c r="P54" s="1247"/>
      <c r="Q54" s="1247"/>
      <c r="R54" s="1247"/>
    </row>
    <row r="55" spans="2:23" ht="15" x14ac:dyDescent="0.25">
      <c r="C55" s="395" t="s">
        <v>2348</v>
      </c>
      <c r="D55" s="1244"/>
      <c r="E55" s="681"/>
      <c r="F55" s="1245"/>
      <c r="G55" s="1246"/>
      <c r="H55" s="1246"/>
      <c r="I55" s="1246"/>
      <c r="J55" s="1246"/>
      <c r="O55" s="1247"/>
      <c r="P55" s="1247"/>
      <c r="Q55" s="1247"/>
      <c r="R55" s="1247"/>
    </row>
    <row r="56" spans="2:23" ht="22.05" customHeight="1" x14ac:dyDescent="0.25">
      <c r="C56" s="1243"/>
      <c r="D56" s="1244"/>
      <c r="E56" s="681"/>
      <c r="F56" s="1245"/>
      <c r="G56" s="1246"/>
      <c r="H56" s="1246"/>
      <c r="I56" s="1246"/>
      <c r="J56" s="1246"/>
      <c r="O56" s="1247"/>
      <c r="P56" s="1247"/>
      <c r="Q56" s="1247"/>
      <c r="R56" s="1247"/>
    </row>
    <row r="57" spans="2:23" ht="22.05" customHeight="1" x14ac:dyDescent="0.25">
      <c r="D57" s="1244"/>
      <c r="E57" s="681"/>
      <c r="F57" s="1245"/>
      <c r="G57" s="1246"/>
      <c r="H57" s="1246"/>
      <c r="I57" s="1246"/>
      <c r="J57" s="1246"/>
      <c r="O57" s="1247"/>
      <c r="P57" s="1247"/>
      <c r="Q57" s="1247"/>
      <c r="R57" s="1247"/>
    </row>
    <row r="58" spans="2:23" s="411" customFormat="1" ht="36" customHeight="1" x14ac:dyDescent="0.3">
      <c r="B58" s="689" t="s">
        <v>63</v>
      </c>
      <c r="C58" s="1007" t="s">
        <v>64</v>
      </c>
      <c r="D58" s="1008" t="s">
        <v>65</v>
      </c>
      <c r="E58" s="1008" t="s">
        <v>66</v>
      </c>
      <c r="F58" s="1009" t="s">
        <v>67</v>
      </c>
      <c r="G58" s="1008" t="s">
        <v>68</v>
      </c>
      <c r="H58" s="1008" t="s">
        <v>69</v>
      </c>
      <c r="I58" s="1008" t="s">
        <v>70</v>
      </c>
      <c r="J58" s="1008" t="s">
        <v>71</v>
      </c>
      <c r="K58" s="1008" t="s">
        <v>30</v>
      </c>
      <c r="L58" s="1010" t="s">
        <v>72</v>
      </c>
      <c r="M58" s="1008" t="s">
        <v>43</v>
      </c>
      <c r="N58" s="1008" t="s">
        <v>44</v>
      </c>
      <c r="O58" s="1008" t="s">
        <v>45</v>
      </c>
      <c r="P58" s="1008" t="s">
        <v>73</v>
      </c>
      <c r="Q58" s="1008" t="s">
        <v>74</v>
      </c>
      <c r="R58" s="1008" t="s">
        <v>75</v>
      </c>
      <c r="S58" s="1008" t="s">
        <v>76</v>
      </c>
      <c r="T58" s="1011" t="s">
        <v>77</v>
      </c>
    </row>
    <row r="59" spans="2:23" ht="63" customHeight="1" x14ac:dyDescent="0.25">
      <c r="B59" s="2029" t="s">
        <v>51</v>
      </c>
      <c r="C59" s="2031" t="s">
        <v>52</v>
      </c>
      <c r="D59" s="2015" t="s">
        <v>53</v>
      </c>
      <c r="E59" s="2033" t="s">
        <v>54</v>
      </c>
      <c r="F59" s="2013" t="s">
        <v>55</v>
      </c>
      <c r="G59" s="2015" t="s">
        <v>56</v>
      </c>
      <c r="H59" s="1399"/>
      <c r="I59" s="1399"/>
      <c r="J59" s="1399"/>
      <c r="K59" s="2015" t="s">
        <v>57</v>
      </c>
      <c r="L59" s="2025" t="s">
        <v>58</v>
      </c>
      <c r="M59" s="2011" t="s">
        <v>59</v>
      </c>
      <c r="N59" s="2012"/>
      <c r="O59" s="2012"/>
      <c r="P59" s="2011" t="s">
        <v>60</v>
      </c>
      <c r="Q59" s="2012"/>
      <c r="R59" s="2028"/>
      <c r="S59" s="2017" t="s">
        <v>61</v>
      </c>
      <c r="T59" s="2017" t="s">
        <v>62</v>
      </c>
    </row>
    <row r="60" spans="2:23" ht="21" customHeight="1" x14ac:dyDescent="0.25">
      <c r="B60" s="2030"/>
      <c r="C60" s="2032"/>
      <c r="D60" s="2016"/>
      <c r="E60" s="2034"/>
      <c r="F60" s="2014"/>
      <c r="G60" s="2016"/>
      <c r="H60" s="1400"/>
      <c r="I60" s="1400"/>
      <c r="J60" s="1400"/>
      <c r="K60" s="2016"/>
      <c r="L60" s="2026"/>
      <c r="M60" s="2019" t="str">
        <f>'1. Project Inputs'!C64</f>
        <v>Enter Option 1 Name</v>
      </c>
      <c r="N60" s="2019" t="str">
        <f>'1. Project Inputs'!C65</f>
        <v>Enter Option 2 Name</v>
      </c>
      <c r="O60" s="2019" t="str">
        <f>'1. Project Inputs'!C66</f>
        <v>Enter Option 3 Name</v>
      </c>
      <c r="P60" s="690"/>
      <c r="Q60" s="690"/>
      <c r="R60" s="690"/>
      <c r="S60" s="2018"/>
      <c r="T60" s="2018"/>
    </row>
    <row r="61" spans="2:23" ht="44.55" customHeight="1" thickBot="1" x14ac:dyDescent="0.3">
      <c r="B61" s="109"/>
      <c r="C61" s="691"/>
      <c r="D61" s="692"/>
      <c r="E61" s="693"/>
      <c r="F61" s="694"/>
      <c r="G61" s="692"/>
      <c r="H61" s="692"/>
      <c r="I61" s="692"/>
      <c r="J61" s="692"/>
      <c r="K61" s="692"/>
      <c r="L61" s="2027"/>
      <c r="M61" s="2020"/>
      <c r="N61" s="2020"/>
      <c r="O61" s="2020"/>
      <c r="P61" s="695"/>
      <c r="Q61" s="695"/>
      <c r="R61" s="695"/>
      <c r="S61" s="696"/>
      <c r="T61" s="2021"/>
    </row>
    <row r="62" spans="2:23" ht="14.4" hidden="1" thickBot="1" x14ac:dyDescent="0.3">
      <c r="C62" s="395" t="s">
        <v>3257</v>
      </c>
      <c r="D62" s="395" t="s">
        <v>3258</v>
      </c>
      <c r="E62" s="632" t="s">
        <v>3259</v>
      </c>
      <c r="F62" s="633" t="s">
        <v>3260</v>
      </c>
      <c r="G62" s="634" t="s">
        <v>68</v>
      </c>
      <c r="H62" s="634" t="s">
        <v>2345</v>
      </c>
      <c r="I62" s="634" t="s">
        <v>2346</v>
      </c>
      <c r="J62" s="634" t="s">
        <v>2347</v>
      </c>
      <c r="K62" s="395" t="s">
        <v>30</v>
      </c>
      <c r="L62" s="395" t="s">
        <v>3261</v>
      </c>
      <c r="M62" s="635" t="s">
        <v>43</v>
      </c>
      <c r="N62" s="506" t="s">
        <v>44</v>
      </c>
      <c r="O62" s="506" t="s">
        <v>45</v>
      </c>
      <c r="P62" s="506" t="s">
        <v>3253</v>
      </c>
      <c r="Q62" s="506" t="s">
        <v>3254</v>
      </c>
      <c r="R62" s="506" t="s">
        <v>3255</v>
      </c>
      <c r="S62" s="395" t="s">
        <v>76</v>
      </c>
      <c r="T62" s="395" t="s">
        <v>3256</v>
      </c>
    </row>
    <row r="63" spans="2:23" ht="14.4" thickTop="1" x14ac:dyDescent="0.25">
      <c r="B63" s="658"/>
      <c r="C63" s="1054" t="s">
        <v>3178</v>
      </c>
      <c r="D63" s="1055" t="s">
        <v>3228</v>
      </c>
      <c r="E63" s="1056" t="s">
        <v>3229</v>
      </c>
      <c r="F63" s="1057">
        <v>20</v>
      </c>
      <c r="G63" s="1058" t="s">
        <v>33</v>
      </c>
      <c r="H63" s="1058"/>
      <c r="I63" s="1058"/>
      <c r="J63" s="1058"/>
      <c r="K63" s="1058" t="s">
        <v>34</v>
      </c>
      <c r="L63" s="1059" t="str">
        <f>IFERROR(IF(ISBLANK(C63),"",(IF(OR($D$20="Consulting",$D$20="Digital - MarTech Consulting/Strategy")=TRUE,IFERROR(F63*(1+_xlfn.XLOOKUP(G63,'1.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Factors'!$C$41:$C$44))))))*(IF(TB.ScopeEstimation[[#This Row],[External Dependencies]]="",1,(1+_xlfn.XLOOKUP(K63,'Complexity Factors'!$B$24:$B$28,'Complexity Factors'!$C$24:$C$28))))),"")</f>
        <v/>
      </c>
      <c r="M63" s="1058" t="s">
        <v>78</v>
      </c>
      <c r="N63" s="1058" t="s">
        <v>78</v>
      </c>
      <c r="O63" s="1058" t="s">
        <v>275</v>
      </c>
      <c r="P63" s="1057" t="str">
        <f>IF(TB.ScopeEstimation[[#This Row],[Option 1]]="Yes",TB.ScopeEstimation[[#This Row],[WED]],0)</f>
        <v/>
      </c>
      <c r="Q63" s="1057" t="str">
        <f>IF(TB.ScopeEstimation[[#This Row],[Option 2]]="Yes",TB.ScopeEstimation[[#This Row],[WED]],0)</f>
        <v/>
      </c>
      <c r="R63" s="1057">
        <f>IF(TB.ScopeEstimation[[#This Row],[Option 3]]="Yes",TB.ScopeEstimation[[#This Row],[WED]],0)</f>
        <v>0</v>
      </c>
      <c r="S63" s="1060" t="s">
        <v>4</v>
      </c>
      <c r="T63" s="1061" t="s">
        <v>4</v>
      </c>
      <c r="U63" s="629"/>
      <c r="V63" s="629"/>
    </row>
    <row r="64" spans="2:23" x14ac:dyDescent="0.25">
      <c r="B64" s="628"/>
      <c r="C64" s="1163" t="s">
        <v>2248</v>
      </c>
      <c r="D64" s="1164" t="s">
        <v>3270</v>
      </c>
      <c r="E64" s="1165" t="s">
        <v>3272</v>
      </c>
      <c r="F64" s="1166">
        <v>25</v>
      </c>
      <c r="G64" s="1167" t="s">
        <v>33</v>
      </c>
      <c r="H64" s="1167"/>
      <c r="I64" s="1167"/>
      <c r="J64" s="1167"/>
      <c r="K64" s="1167"/>
      <c r="L64" s="1168" t="str">
        <f>IFERROR(IF(ISBLANK(C64),"",(IF(OR($D$20="Consulting",$D$20="Digital - MarTech Consulting/Strategy")=TRUE,IFERROR(F64*(1+_xlfn.XLOOKUP(G64,'1. Project Inputs'!$I$39:$I$45,'1. Project Inputs'!$J$39:$J$45)),F64),IF(C64="E-Commerce",(_xlfn.XLOOKUP(G64,'Complexity Factors'!$B$12:$B$18,'Complexity Factors'!$C$12:$C$18)*2.9),IF(C64="Services/Integrations",_xlfn.XLOOKUP(G64,'Complexity Factors'!$D$12:$D$16,'Complexity Factors'!$E$12:$E$16)*_xlfn.XLOOKUP($D$26,'Complexity Factors'!$B$41:$B$44,'Complexity Factors'!$D$41:$D$44),IF(C64="UI",_xlfn.XLOOKUP(G64,'Complexity Factors'!$B$12:$B$18,'Complexity Factors'!$C$12:$C$18)*_xlfn.XLOOKUP($D$26,'Complexity Factors'!$B$41:$B$44,'Complexity Factors'!$D$41:$D$44),_xlfn.XLOOKUP(G64,'Complexity Factors'!$B$12:$B$18,'Complexity Factors'!$C$12:$C$18)*_xlfn.XLOOKUP($D$26,'Complexity Factors'!$B$41:$B$44,'Complexity Factors'!$C$41:$C$44))))))*(IF(TB.ScopeEstimation[[#This Row],[External Dependencies]]="",1,(1+_xlfn.XLOOKUP(K64,'Complexity Factors'!$B$24:$B$28,'Complexity Factors'!$C$24:$C$28))))),"")</f>
        <v/>
      </c>
      <c r="M64" s="1167" t="s">
        <v>78</v>
      </c>
      <c r="N64" s="1167" t="s">
        <v>275</v>
      </c>
      <c r="O64" s="1167" t="s">
        <v>78</v>
      </c>
      <c r="P64" s="1166" t="str">
        <f>IF(TB.ScopeEstimation[[#This Row],[Option 1]]="Yes",TB.ScopeEstimation[[#This Row],[WED]],0)</f>
        <v/>
      </c>
      <c r="Q64" s="1166">
        <f>IF(TB.ScopeEstimation[[#This Row],[Option 2]]="Yes",TB.ScopeEstimation[[#This Row],[WED]],0)</f>
        <v>0</v>
      </c>
      <c r="R64" s="1166" t="str">
        <f>IF(TB.ScopeEstimation[[#This Row],[Option 3]]="Yes",TB.ScopeEstimation[[#This Row],[WED]],0)</f>
        <v/>
      </c>
      <c r="S64" s="1170" t="s">
        <v>4</v>
      </c>
      <c r="T64" s="1171" t="s">
        <v>4</v>
      </c>
      <c r="U64" s="629"/>
      <c r="V64" s="629"/>
    </row>
    <row r="65" spans="2:31" x14ac:dyDescent="0.25">
      <c r="B65" s="628"/>
      <c r="C65" s="1062" t="s">
        <v>2250</v>
      </c>
      <c r="D65" s="929" t="s">
        <v>3271</v>
      </c>
      <c r="E65" s="1016" t="s">
        <v>3273</v>
      </c>
      <c r="F65" s="1013">
        <v>15</v>
      </c>
      <c r="G65" s="1012"/>
      <c r="H65" s="1012"/>
      <c r="I65" s="1012"/>
      <c r="J65" s="1012"/>
      <c r="K65" s="1012"/>
      <c r="L65" s="1014" t="str">
        <f>IFERROR(IF(ISBLANK(C65),"",(IF(OR($D$20="Consulting",$D$20="Digital - MarTech Consulting/Strategy")=TRUE,IFERROR(F65*(1+_xlfn.XLOOKUP(G65,'1. Project Inputs'!$I$39:$I$45,'1. Project Inputs'!$J$39:$J$45)),F65),IF(C65="E-Commerce",(_xlfn.XLOOKUP(G65,'Complexity Factors'!$B$12:$B$18,'Complexity Factors'!$C$12:$C$18)*2.9),IF(C65="Services/Integrations",_xlfn.XLOOKUP(G65,'Complexity Factors'!$D$12:$D$16,'Complexity Factors'!$E$12:$E$16)*_xlfn.XLOOKUP($D$26,'Complexity Factors'!$B$41:$B$44,'Complexity Factors'!$D$41:$D$44),IF(C65="UI",_xlfn.XLOOKUP(G65,'Complexity Factors'!$B$12:$B$18,'Complexity Factors'!$C$12:$C$18)*_xlfn.XLOOKUP($D$26,'Complexity Factors'!$B$41:$B$44,'Complexity Factors'!$D$41:$D$44),_xlfn.XLOOKUP(G65,'Complexity Factors'!$B$12:$B$18,'Complexity Factors'!$C$12:$C$18)*_xlfn.XLOOKUP($D$26,'Complexity Factors'!$B$41:$B$44,'Complexity Factors'!$C$41:$C$44))))))*(IF(TB.ScopeEstimation[[#This Row],[External Dependencies]]="",1,(1+_xlfn.XLOOKUP(K65,'Complexity Factors'!$B$24:$B$28,'Complexity Factors'!$C$24:$C$28))))),"")</f>
        <v/>
      </c>
      <c r="M65" s="1012" t="s">
        <v>78</v>
      </c>
      <c r="N65" s="1012" t="s">
        <v>275</v>
      </c>
      <c r="O65" s="1012" t="s">
        <v>275</v>
      </c>
      <c r="P65" s="1013" t="str">
        <f>IF(TB.ScopeEstimation[[#This Row],[Option 1]]="Yes",TB.ScopeEstimation[[#This Row],[WED]],0)</f>
        <v/>
      </c>
      <c r="Q65" s="1013">
        <f>IF(TB.ScopeEstimation[[#This Row],[Option 2]]="Yes",TB.ScopeEstimation[[#This Row],[WED]],0)</f>
        <v>0</v>
      </c>
      <c r="R65" s="1013">
        <f>IF(TB.ScopeEstimation[[#This Row],[Option 3]]="Yes",TB.ScopeEstimation[[#This Row],[WED]],0)</f>
        <v>0</v>
      </c>
      <c r="S65" s="1012"/>
      <c r="T65" s="1063"/>
      <c r="U65" s="629"/>
      <c r="V65" s="629"/>
    </row>
    <row r="66" spans="2:31" x14ac:dyDescent="0.25">
      <c r="B66" s="628"/>
      <c r="C66" s="1163" t="s">
        <v>2250</v>
      </c>
      <c r="D66" s="1164"/>
      <c r="E66" s="1165" t="s">
        <v>3274</v>
      </c>
      <c r="F66" s="1166">
        <v>11</v>
      </c>
      <c r="G66" s="1167"/>
      <c r="H66" s="1167"/>
      <c r="I66" s="1167"/>
      <c r="J66" s="1167"/>
      <c r="K66" s="1167"/>
      <c r="L66" s="1168" t="str">
        <f>IFERROR(IF(ISBLANK(C66),"",(IF(OR($D$20="Consulting",$D$20="Digital - MarTech Consulting/Strategy")=TRUE,IFERROR(F66*(1+_xlfn.XLOOKUP(G66,'1. Project Inputs'!$I$39:$I$45,'1. Project Inputs'!$J$39:$J$45)),F66),IF(C66="E-Commerce",(_xlfn.XLOOKUP(G66,'Complexity Factors'!$B$12:$B$18,'Complexity Factors'!$C$12:$C$18)*2.9),IF(C66="Services/Integrations",_xlfn.XLOOKUP(G66,'Complexity Factors'!$D$12:$D$16,'Complexity Factors'!$E$12:$E$16)*_xlfn.XLOOKUP($D$26,'Complexity Factors'!$B$41:$B$44,'Complexity Factors'!$D$41:$D$44),IF(C66="UI",_xlfn.XLOOKUP(G66,'Complexity Factors'!$B$12:$B$18,'Complexity Factors'!$C$12:$C$18)*_xlfn.XLOOKUP($D$26,'Complexity Factors'!$B$41:$B$44,'Complexity Factors'!$D$41:$D$44),_xlfn.XLOOKUP(G66,'Complexity Factors'!$B$12:$B$18,'Complexity Factors'!$C$12:$C$18)*_xlfn.XLOOKUP($D$26,'Complexity Factors'!$B$41:$B$44,'Complexity Factors'!$C$41:$C$44))))))*(IF(TB.ScopeEstimation[[#This Row],[External Dependencies]]="",1,(1+_xlfn.XLOOKUP(K66,'Complexity Factors'!$B$24:$B$28,'Complexity Factors'!$C$24:$C$28))))),"")</f>
        <v/>
      </c>
      <c r="M66" s="1167" t="s">
        <v>78</v>
      </c>
      <c r="N66" s="1167" t="s">
        <v>275</v>
      </c>
      <c r="O66" s="1167" t="s">
        <v>78</v>
      </c>
      <c r="P66" s="1166" t="str">
        <f>IF(TB.ScopeEstimation[[#This Row],[Option 1]]="Yes",TB.ScopeEstimation[[#This Row],[WED]],0)</f>
        <v/>
      </c>
      <c r="Q66" s="1166">
        <f>IF(TB.ScopeEstimation[[#This Row],[Option 2]]="Yes",TB.ScopeEstimation[[#This Row],[WED]],0)</f>
        <v>0</v>
      </c>
      <c r="R66" s="1166" t="str">
        <f>IF(TB.ScopeEstimation[[#This Row],[Option 3]]="Yes",TB.ScopeEstimation[[#This Row],[WED]],0)</f>
        <v/>
      </c>
      <c r="S66" s="1167"/>
      <c r="T66" s="1172"/>
      <c r="U66" s="629"/>
      <c r="V66" s="629"/>
      <c r="W66" s="657"/>
      <c r="AE66" s="556"/>
    </row>
    <row r="67" spans="2:31" x14ac:dyDescent="0.25">
      <c r="B67" s="628"/>
      <c r="C67" s="1062" t="s">
        <v>2247</v>
      </c>
      <c r="D67" s="929"/>
      <c r="E67" s="1016" t="s">
        <v>3275</v>
      </c>
      <c r="F67" s="1013">
        <v>5</v>
      </c>
      <c r="G67" s="1012"/>
      <c r="H67" s="1012"/>
      <c r="I67" s="1012"/>
      <c r="J67" s="1012"/>
      <c r="K67" s="1012"/>
      <c r="L67" s="1014" t="str">
        <f>IFERROR(IF(ISBLANK(C67),"",(IF(OR($D$20="Consulting",$D$20="Digital - MarTech Consulting/Strategy")=TRUE,IFERROR(F67*(1+_xlfn.XLOOKUP(G67,'1. Project Inputs'!$I$39:$I$45,'1. Project Inputs'!$J$39:$J$45)),F67),IF(C67="E-Commerce",(_xlfn.XLOOKUP(G67,'Complexity Factors'!$B$12:$B$18,'Complexity Factors'!$C$12:$C$18)*2.9),IF(C67="Services/Integrations",_xlfn.XLOOKUP(G67,'Complexity Factors'!$D$12:$D$16,'Complexity Factors'!$E$12:$E$16)*_xlfn.XLOOKUP($D$26,'Complexity Factors'!$B$41:$B$44,'Complexity Factors'!$D$41:$D$44),IF(C67="UI",_xlfn.XLOOKUP(G67,'Complexity Factors'!$B$12:$B$18,'Complexity Factors'!$C$12:$C$18)*_xlfn.XLOOKUP($D$26,'Complexity Factors'!$B$41:$B$44,'Complexity Factors'!$D$41:$D$44),_xlfn.XLOOKUP(G67,'Complexity Factors'!$B$12:$B$18,'Complexity Factors'!$C$12:$C$18)*_xlfn.XLOOKUP($D$26,'Complexity Factors'!$B$41:$B$44,'Complexity Factors'!$C$41:$C$44))))))*(IF(TB.ScopeEstimation[[#This Row],[External Dependencies]]="",1,(1+_xlfn.XLOOKUP(K67,'Complexity Factors'!$B$24:$B$28,'Complexity Factors'!$C$24:$C$28))))),"")</f>
        <v/>
      </c>
      <c r="M67" s="1012" t="s">
        <v>78</v>
      </c>
      <c r="N67" s="1012" t="s">
        <v>78</v>
      </c>
      <c r="O67" s="1012" t="s">
        <v>78</v>
      </c>
      <c r="P67" s="1013" t="str">
        <f>IF(TB.ScopeEstimation[[#This Row],[Option 1]]="Yes",TB.ScopeEstimation[[#This Row],[WED]],0)</f>
        <v/>
      </c>
      <c r="Q67" s="1013" t="str">
        <f>IF(TB.ScopeEstimation[[#This Row],[Option 2]]="Yes",TB.ScopeEstimation[[#This Row],[WED]],0)</f>
        <v/>
      </c>
      <c r="R67" s="1013" t="str">
        <f>IF(TB.ScopeEstimation[[#This Row],[Option 3]]="Yes",TB.ScopeEstimation[[#This Row],[WED]],0)</f>
        <v/>
      </c>
      <c r="S67" s="1012"/>
      <c r="T67" s="1063"/>
      <c r="U67" s="630"/>
      <c r="V67" s="630"/>
      <c r="W67" s="657"/>
      <c r="AE67" s="556"/>
    </row>
    <row r="68" spans="2:31" x14ac:dyDescent="0.25">
      <c r="B68" s="628"/>
      <c r="C68" s="1163" t="s">
        <v>2253</v>
      </c>
      <c r="D68" s="1165"/>
      <c r="E68" s="1165" t="s">
        <v>3276</v>
      </c>
      <c r="F68" s="1166">
        <v>6</v>
      </c>
      <c r="G68" s="1167"/>
      <c r="H68" s="1173"/>
      <c r="I68" s="1173"/>
      <c r="J68" s="1173"/>
      <c r="K68" s="1167"/>
      <c r="L68" s="1168" t="str">
        <f>IFERROR(IF(ISBLANK(C68),"",(IF(OR($D$20="Consulting",$D$20="Digital - MarTech Consulting/Strategy")=TRUE,IFERROR(F68*(1+_xlfn.XLOOKUP(G68,'1. Project Inputs'!$I$39:$I$45,'1. Project Inputs'!$J$39:$J$45)),F68),IF(C68="E-Commerce",(_xlfn.XLOOKUP(G68,'Complexity Factors'!$B$12:$B$18,'Complexity Factors'!$C$12:$C$18)*2.9),IF(C68="Services/Integrations",_xlfn.XLOOKUP(G68,'Complexity Factors'!$D$12:$D$16,'Complexity Factors'!$E$12:$E$16)*_xlfn.XLOOKUP($D$26,'Complexity Factors'!$B$41:$B$44,'Complexity Factors'!$D$41:$D$44),IF(C68="UI",_xlfn.XLOOKUP(G68,'Complexity Factors'!$B$12:$B$18,'Complexity Factors'!$C$12:$C$18)*_xlfn.XLOOKUP($D$26,'Complexity Factors'!$B$41:$B$44,'Complexity Factors'!$D$41:$D$44),_xlfn.XLOOKUP(G68,'Complexity Factors'!$B$12:$B$18,'Complexity Factors'!$C$12:$C$18)*_xlfn.XLOOKUP($D$26,'Complexity Factors'!$B$41:$B$44,'Complexity Factors'!$C$41:$C$44))))))*(IF(TB.ScopeEstimation[[#This Row],[External Dependencies]]="",1,(1+_xlfn.XLOOKUP(K68,'Complexity Factors'!$B$24:$B$28,'Complexity Factors'!$C$24:$C$28))))),"")</f>
        <v/>
      </c>
      <c r="M68" s="1167" t="s">
        <v>78</v>
      </c>
      <c r="N68" s="1167" t="s">
        <v>78</v>
      </c>
      <c r="O68" s="1167" t="s">
        <v>78</v>
      </c>
      <c r="P68" s="1166" t="str">
        <f>IF(TB.ScopeEstimation[[#This Row],[Option 1]]="Yes",TB.ScopeEstimation[[#This Row],[WED]],0)</f>
        <v/>
      </c>
      <c r="Q68" s="1166" t="str">
        <f>IF(TB.ScopeEstimation[[#This Row],[Option 2]]="Yes",TB.ScopeEstimation[[#This Row],[WED]],0)</f>
        <v/>
      </c>
      <c r="R68" s="1166" t="str">
        <f>IF(TB.ScopeEstimation[[#This Row],[Option 3]]="Yes",TB.ScopeEstimation[[#This Row],[WED]],0)</f>
        <v/>
      </c>
      <c r="S68" s="1167"/>
      <c r="T68" s="1172"/>
      <c r="U68" s="630"/>
      <c r="V68" s="630"/>
      <c r="W68" s="657"/>
      <c r="AE68" s="556"/>
    </row>
    <row r="69" spans="2:31" x14ac:dyDescent="0.25">
      <c r="B69" s="628"/>
      <c r="C69" s="1062" t="s">
        <v>3178</v>
      </c>
      <c r="D69" s="1016"/>
      <c r="E69" s="1016" t="s">
        <v>3277</v>
      </c>
      <c r="F69" s="1013">
        <v>3</v>
      </c>
      <c r="G69" s="1012"/>
      <c r="H69" s="1012"/>
      <c r="I69" s="1012"/>
      <c r="J69" s="1012"/>
      <c r="K69" s="1012"/>
      <c r="L69" s="1014" t="str">
        <f>IFERROR(IF(ISBLANK(C69),"",(IF(OR($D$20="Consulting",$D$20="Digital - MarTech Consulting/Strategy")=TRUE,IFERROR(F69*(1+_xlfn.XLOOKUP(G69,'1. Project Inputs'!$I$39:$I$45,'1. Project Inputs'!$J$39:$J$45)),F69),IF(C69="E-Commerce",(_xlfn.XLOOKUP(G69,'Complexity Factors'!$B$12:$B$18,'Complexity Factors'!$C$12:$C$18)*2.9),IF(C69="Services/Integrations",_xlfn.XLOOKUP(G69,'Complexity Factors'!$D$12:$D$16,'Complexity Factors'!$E$12:$E$16)*_xlfn.XLOOKUP($D$26,'Complexity Factors'!$B$41:$B$44,'Complexity Factors'!$D$41:$D$44),IF(C69="UI",_xlfn.XLOOKUP(G69,'Complexity Factors'!$B$12:$B$18,'Complexity Factors'!$C$12:$C$18)*_xlfn.XLOOKUP($D$26,'Complexity Factors'!$B$41:$B$44,'Complexity Factors'!$D$41:$D$44),_xlfn.XLOOKUP(G69,'Complexity Factors'!$B$12:$B$18,'Complexity Factors'!$C$12:$C$18)*_xlfn.XLOOKUP($D$26,'Complexity Factors'!$B$41:$B$44,'Complexity Factors'!$C$41:$C$44))))))*(IF(TB.ScopeEstimation[[#This Row],[External Dependencies]]="",1,(1+_xlfn.XLOOKUP(K69,'Complexity Factors'!$B$24:$B$28,'Complexity Factors'!$C$24:$C$28))))),"")</f>
        <v/>
      </c>
      <c r="M69" s="1012" t="s">
        <v>78</v>
      </c>
      <c r="N69" s="1012" t="s">
        <v>78</v>
      </c>
      <c r="O69" s="1012" t="s">
        <v>78</v>
      </c>
      <c r="P69" s="1013" t="str">
        <f>IF(TB.ScopeEstimation[[#This Row],[Option 1]]="Yes",TB.ScopeEstimation[[#This Row],[WED]],0)</f>
        <v/>
      </c>
      <c r="Q69" s="1013" t="str">
        <f>IF(TB.ScopeEstimation[[#This Row],[Option 2]]="Yes",TB.ScopeEstimation[[#This Row],[WED]],0)</f>
        <v/>
      </c>
      <c r="R69" s="1013" t="str">
        <f>IF(TB.ScopeEstimation[[#This Row],[Option 3]]="Yes",TB.ScopeEstimation[[#This Row],[WED]],0)</f>
        <v/>
      </c>
      <c r="S69" s="1012"/>
      <c r="T69" s="1063"/>
      <c r="U69" s="630"/>
      <c r="V69" s="630"/>
      <c r="AE69" s="556"/>
    </row>
    <row r="70" spans="2:31" x14ac:dyDescent="0.25">
      <c r="B70" s="628"/>
      <c r="C70" s="1163" t="s">
        <v>3178</v>
      </c>
      <c r="D70" s="1165"/>
      <c r="E70" s="1165" t="s">
        <v>3278</v>
      </c>
      <c r="F70" s="1166">
        <v>1</v>
      </c>
      <c r="G70" s="1167"/>
      <c r="H70" s="1167"/>
      <c r="I70" s="1167"/>
      <c r="J70" s="1167"/>
      <c r="K70" s="1167"/>
      <c r="L70" s="1168" t="str">
        <f>IFERROR(IF(ISBLANK(C70),"",(IF(OR($D$20="Consulting",$D$20="Digital - MarTech Consulting/Strategy")=TRUE,IFERROR(F70*(1+_xlfn.XLOOKUP(G70,'1. Project Inputs'!$I$39:$I$45,'1. Project Inputs'!$J$39:$J$45)),F70),IF(C70="E-Commerce",(_xlfn.XLOOKUP(G70,'Complexity Factors'!$B$12:$B$18,'Complexity Factors'!$C$12:$C$18)*2.9),IF(C70="Services/Integrations",_xlfn.XLOOKUP(G70,'Complexity Factors'!$D$12:$D$16,'Complexity Factors'!$E$12:$E$16)*_xlfn.XLOOKUP($D$26,'Complexity Factors'!$B$41:$B$44,'Complexity Factors'!$D$41:$D$44),IF(C70="UI",_xlfn.XLOOKUP(G70,'Complexity Factors'!$B$12:$B$18,'Complexity Factors'!$C$12:$C$18)*_xlfn.XLOOKUP($D$26,'Complexity Factors'!$B$41:$B$44,'Complexity Factors'!$D$41:$D$44),_xlfn.XLOOKUP(G70,'Complexity Factors'!$B$12:$B$18,'Complexity Factors'!$C$12:$C$18)*_xlfn.XLOOKUP($D$26,'Complexity Factors'!$B$41:$B$44,'Complexity Factors'!$C$41:$C$44))))))*(IF(TB.ScopeEstimation[[#This Row],[External Dependencies]]="",1,(1+_xlfn.XLOOKUP(K70,'Complexity Factors'!$B$24:$B$28,'Complexity Factors'!$C$24:$C$28))))),"")</f>
        <v/>
      </c>
      <c r="M70" s="1167" t="s">
        <v>78</v>
      </c>
      <c r="N70" s="1167" t="s">
        <v>78</v>
      </c>
      <c r="O70" s="1167" t="s">
        <v>78</v>
      </c>
      <c r="P70" s="1166" t="str">
        <f>IF(TB.ScopeEstimation[[#This Row],[Option 1]]="Yes",TB.ScopeEstimation[[#This Row],[WED]],0)</f>
        <v/>
      </c>
      <c r="Q70" s="1166" t="str">
        <f>IF(TB.ScopeEstimation[[#This Row],[Option 2]]="Yes",TB.ScopeEstimation[[#This Row],[WED]],0)</f>
        <v/>
      </c>
      <c r="R70" s="1166" t="str">
        <f>IF(TB.ScopeEstimation[[#This Row],[Option 3]]="Yes",TB.ScopeEstimation[[#This Row],[WED]],0)</f>
        <v/>
      </c>
      <c r="S70" s="1167"/>
      <c r="T70" s="1172"/>
      <c r="U70" s="630"/>
      <c r="V70" s="630"/>
      <c r="AE70" s="556"/>
    </row>
    <row r="71" spans="2:31" x14ac:dyDescent="0.25">
      <c r="B71" s="628"/>
      <c r="C71" s="1062" t="s">
        <v>3178</v>
      </c>
      <c r="D71" s="1016"/>
      <c r="E71" s="1016" t="s">
        <v>3279</v>
      </c>
      <c r="F71" s="1013">
        <v>2</v>
      </c>
      <c r="G71" s="1012"/>
      <c r="H71" s="1012"/>
      <c r="I71" s="1012"/>
      <c r="J71" s="1012"/>
      <c r="K71" s="1012"/>
      <c r="L71" s="1014" t="str">
        <f>IFERROR(IF(ISBLANK(C71),"",(IF(OR($D$20="Consulting",$D$20="Digital - MarTech Consulting/Strategy")=TRUE,IFERROR(F71*(1+_xlfn.XLOOKUP(G71,'1. Project Inputs'!$I$39:$I$45,'1. Project Inputs'!$J$39:$J$45)),F71),IF(C71="E-Commerce",(_xlfn.XLOOKUP(G71,'Complexity Factors'!$B$12:$B$18,'Complexity Factors'!$C$12:$C$18)*2.9),IF(C71="Services/Integrations",_xlfn.XLOOKUP(G71,'Complexity Factors'!$D$12:$D$16,'Complexity Factors'!$E$12:$E$16)*_xlfn.XLOOKUP($D$26,'Complexity Factors'!$B$41:$B$44,'Complexity Factors'!$D$41:$D$44),IF(C71="UI",_xlfn.XLOOKUP(G71,'Complexity Factors'!$B$12:$B$18,'Complexity Factors'!$C$12:$C$18)*_xlfn.XLOOKUP($D$26,'Complexity Factors'!$B$41:$B$44,'Complexity Factors'!$D$41:$D$44),_xlfn.XLOOKUP(G71,'Complexity Factors'!$B$12:$B$18,'Complexity Factors'!$C$12:$C$18)*_xlfn.XLOOKUP($D$26,'Complexity Factors'!$B$41:$B$44,'Complexity Factors'!$C$41:$C$44))))))*(IF(TB.ScopeEstimation[[#This Row],[External Dependencies]]="",1,(1+_xlfn.XLOOKUP(K71,'Complexity Factors'!$B$24:$B$28,'Complexity Factors'!$C$24:$C$28))))),"")</f>
        <v/>
      </c>
      <c r="M71" s="1012"/>
      <c r="N71" s="1012"/>
      <c r="O71" s="1012"/>
      <c r="P71" s="1013">
        <f>IF(TB.ScopeEstimation[[#This Row],[Option 1]]="Yes",TB.ScopeEstimation[[#This Row],[WED]],0)</f>
        <v>0</v>
      </c>
      <c r="Q71" s="1013">
        <f>IF(TB.ScopeEstimation[[#This Row],[Option 2]]="Yes",TB.ScopeEstimation[[#This Row],[WED]],0)</f>
        <v>0</v>
      </c>
      <c r="R71" s="1013">
        <f>IF(TB.ScopeEstimation[[#This Row],[Option 3]]="Yes",TB.ScopeEstimation[[#This Row],[WED]],0)</f>
        <v>0</v>
      </c>
      <c r="S71" s="1012"/>
      <c r="T71" s="1063"/>
      <c r="U71" s="630"/>
      <c r="V71" s="630"/>
      <c r="AE71" s="556"/>
    </row>
    <row r="72" spans="2:31" x14ac:dyDescent="0.25">
      <c r="B72" s="628"/>
      <c r="C72" s="1163" t="s">
        <v>3178</v>
      </c>
      <c r="D72" s="1165"/>
      <c r="E72" s="1165" t="s">
        <v>3280</v>
      </c>
      <c r="F72" s="1166">
        <v>9</v>
      </c>
      <c r="G72" s="1167"/>
      <c r="H72" s="1167"/>
      <c r="I72" s="1167"/>
      <c r="J72" s="1167"/>
      <c r="K72" s="1167"/>
      <c r="L72" s="1168" t="str">
        <f>IFERROR(IF(ISBLANK(C72),"",(IF(OR($D$20="Consulting",$D$20="Digital - MarTech Consulting/Strategy")=TRUE,IFERROR(F72*(1+_xlfn.XLOOKUP(G72,'1. Project Inputs'!$I$39:$I$45,'1. Project Inputs'!$J$39:$J$45)),F72),IF(C72="E-Commerce",(_xlfn.XLOOKUP(G72,'Complexity Factors'!$B$12:$B$18,'Complexity Factors'!$C$12:$C$18)*2.9),IF(C72="Services/Integrations",_xlfn.XLOOKUP(G72,'Complexity Factors'!$D$12:$D$16,'Complexity Factors'!$E$12:$E$16)*_xlfn.XLOOKUP($D$26,'Complexity Factors'!$B$41:$B$44,'Complexity Factors'!$D$41:$D$44),IF(C72="UI",_xlfn.XLOOKUP(G72,'Complexity Factors'!$B$12:$B$18,'Complexity Factors'!$C$12:$C$18)*_xlfn.XLOOKUP($D$26,'Complexity Factors'!$B$41:$B$44,'Complexity Factors'!$D$41:$D$44),_xlfn.XLOOKUP(G72,'Complexity Factors'!$B$12:$B$18,'Complexity Factors'!$C$12:$C$18)*_xlfn.XLOOKUP($D$26,'Complexity Factors'!$B$41:$B$44,'Complexity Factors'!$C$41:$C$44))))))*(IF(TB.ScopeEstimation[[#This Row],[External Dependencies]]="",1,(1+_xlfn.XLOOKUP(K72,'Complexity Factors'!$B$24:$B$28,'Complexity Factors'!$C$24:$C$28))))),"")</f>
        <v/>
      </c>
      <c r="M72" s="1167"/>
      <c r="N72" s="1167"/>
      <c r="O72" s="1167"/>
      <c r="P72" s="1166">
        <f>IF(TB.ScopeEstimation[[#This Row],[Option 1]]="Yes",TB.ScopeEstimation[[#This Row],[WED]],0)</f>
        <v>0</v>
      </c>
      <c r="Q72" s="1166">
        <f>IF(TB.ScopeEstimation[[#This Row],[Option 2]]="Yes",TB.ScopeEstimation[[#This Row],[WED]],0)</f>
        <v>0</v>
      </c>
      <c r="R72" s="1166">
        <f>IF(TB.ScopeEstimation[[#This Row],[Option 3]]="Yes",TB.ScopeEstimation[[#This Row],[WED]],0)</f>
        <v>0</v>
      </c>
      <c r="S72" s="1167"/>
      <c r="T72" s="1172"/>
      <c r="U72" s="630"/>
      <c r="V72" s="630"/>
      <c r="AE72" s="556"/>
    </row>
    <row r="73" spans="2:31" x14ac:dyDescent="0.25">
      <c r="B73" s="628"/>
      <c r="C73" s="1062" t="s">
        <v>3178</v>
      </c>
      <c r="D73" s="1016"/>
      <c r="E73" s="1016" t="s">
        <v>3281</v>
      </c>
      <c r="F73" s="1013">
        <v>3</v>
      </c>
      <c r="G73" s="1012"/>
      <c r="H73" s="1017"/>
      <c r="I73" s="1017"/>
      <c r="J73" s="1017"/>
      <c r="K73" s="1012"/>
      <c r="L73" s="1014" t="str">
        <f>IFERROR(IF(ISBLANK(C73),"",(IF(OR($D$20="Consulting",$D$20="Digital - MarTech Consulting/Strategy")=TRUE,IFERROR(F73*(1+_xlfn.XLOOKUP(G73,'1. Project Inputs'!$I$39:$I$45,'1. Project Inputs'!$J$39:$J$45)),F73),IF(C73="E-Commerce",(_xlfn.XLOOKUP(G73,'Complexity Factors'!$B$12:$B$18,'Complexity Factors'!$C$12:$C$18)*2.9),IF(C73="Services/Integrations",_xlfn.XLOOKUP(G73,'Complexity Factors'!$D$12:$D$16,'Complexity Factors'!$E$12:$E$16)*_xlfn.XLOOKUP($D$26,'Complexity Factors'!$B$41:$B$44,'Complexity Factors'!$D$41:$D$44),IF(C73="UI",_xlfn.XLOOKUP(G73,'Complexity Factors'!$B$12:$B$18,'Complexity Factors'!$C$12:$C$18)*_xlfn.XLOOKUP($D$26,'Complexity Factors'!$B$41:$B$44,'Complexity Factors'!$D$41:$D$44),_xlfn.XLOOKUP(G73,'Complexity Factors'!$B$12:$B$18,'Complexity Factors'!$C$12:$C$18)*_xlfn.XLOOKUP($D$26,'Complexity Factors'!$B$41:$B$44,'Complexity Factors'!$C$41:$C$44))))))*(IF(TB.ScopeEstimation[[#This Row],[External Dependencies]]="",1,(1+_xlfn.XLOOKUP(K73,'Complexity Factors'!$B$24:$B$28,'Complexity Factors'!$C$24:$C$28))))),"")</f>
        <v/>
      </c>
      <c r="M73" s="1012"/>
      <c r="N73" s="1012"/>
      <c r="O73" s="1012"/>
      <c r="P73" s="1013">
        <f>IF(TB.ScopeEstimation[[#This Row],[Option 1]]="Yes",TB.ScopeEstimation[[#This Row],[WED]],0)</f>
        <v>0</v>
      </c>
      <c r="Q73" s="1013">
        <f>IF(TB.ScopeEstimation[[#This Row],[Option 2]]="Yes",TB.ScopeEstimation[[#This Row],[WED]],0)</f>
        <v>0</v>
      </c>
      <c r="R73" s="1013">
        <f>IF(TB.ScopeEstimation[[#This Row],[Option 3]]="Yes",TB.ScopeEstimation[[#This Row],[WED]],0)</f>
        <v>0</v>
      </c>
      <c r="S73" s="1012"/>
      <c r="T73" s="1063"/>
      <c r="U73" s="630"/>
      <c r="V73" s="630"/>
      <c r="AE73" s="556"/>
    </row>
    <row r="74" spans="2:31" x14ac:dyDescent="0.25">
      <c r="B74" s="628"/>
      <c r="C74" s="1163" t="s">
        <v>3178</v>
      </c>
      <c r="D74" s="1165"/>
      <c r="E74" s="1165" t="s">
        <v>3274</v>
      </c>
      <c r="F74" s="1166">
        <v>5</v>
      </c>
      <c r="G74" s="1167"/>
      <c r="H74" s="1167"/>
      <c r="I74" s="1167"/>
      <c r="J74" s="1167"/>
      <c r="K74" s="1167"/>
      <c r="L74" s="1168" t="str">
        <f>IFERROR(IF(ISBLANK(C74),"",(IF(OR($D$20="Consulting",$D$20="Digital - MarTech Consulting/Strategy")=TRUE,IFERROR(F74*(1+_xlfn.XLOOKUP(G74,'1. Project Inputs'!$I$39:$I$45,'1. Project Inputs'!$J$39:$J$45)),F74),IF(C74="E-Commerce",(_xlfn.XLOOKUP(G74,'Complexity Factors'!$B$12:$B$18,'Complexity Factors'!$C$12:$C$18)*2.9),IF(C74="Services/Integrations",_xlfn.XLOOKUP(G74,'Complexity Factors'!$D$12:$D$16,'Complexity Factors'!$E$12:$E$16)*_xlfn.XLOOKUP($D$26,'Complexity Factors'!$B$41:$B$44,'Complexity Factors'!$D$41:$D$44),IF(C74="UI",_xlfn.XLOOKUP(G74,'Complexity Factors'!$B$12:$B$18,'Complexity Factors'!$C$12:$C$18)*_xlfn.XLOOKUP($D$26,'Complexity Factors'!$B$41:$B$44,'Complexity Factors'!$D$41:$D$44),_xlfn.XLOOKUP(G74,'Complexity Factors'!$B$12:$B$18,'Complexity Factors'!$C$12:$C$18)*_xlfn.XLOOKUP($D$26,'Complexity Factors'!$B$41:$B$44,'Complexity Factors'!$C$41:$C$44))))))*(IF(TB.ScopeEstimation[[#This Row],[External Dependencies]]="",1,(1+_xlfn.XLOOKUP(K74,'Complexity Factors'!$B$24:$B$28,'Complexity Factors'!$C$24:$C$28))))),"")</f>
        <v/>
      </c>
      <c r="M74" s="1167"/>
      <c r="N74" s="1167"/>
      <c r="O74" s="1167"/>
      <c r="P74" s="1166">
        <f>IF(TB.ScopeEstimation[[#This Row],[Option 1]]="Yes",TB.ScopeEstimation[[#This Row],[WED]],0)</f>
        <v>0</v>
      </c>
      <c r="Q74" s="1166">
        <f>IF(TB.ScopeEstimation[[#This Row],[Option 2]]="Yes",TB.ScopeEstimation[[#This Row],[WED]],0)</f>
        <v>0</v>
      </c>
      <c r="R74" s="1166">
        <f>IF(TB.ScopeEstimation[[#This Row],[Option 3]]="Yes",TB.ScopeEstimation[[#This Row],[WED]],0)</f>
        <v>0</v>
      </c>
      <c r="S74" s="1167"/>
      <c r="T74" s="1172"/>
      <c r="U74" s="629"/>
      <c r="V74" s="629"/>
      <c r="AE74" s="556"/>
    </row>
    <row r="75" spans="2:31" x14ac:dyDescent="0.25">
      <c r="B75" s="628"/>
      <c r="C75" s="1062"/>
      <c r="D75" s="1016"/>
      <c r="E75" s="1016"/>
      <c r="F75" s="1013"/>
      <c r="G75" s="1012"/>
      <c r="H75" s="1012"/>
      <c r="I75" s="1012"/>
      <c r="J75" s="1012"/>
      <c r="K75" s="1012"/>
      <c r="L75" s="1014" t="str">
        <f>IFERROR(IF(ISBLANK(C75),"",(IF(OR($D$20="Consulting",$D$20="Digital - MarTech Consulting/Strategy")=TRUE,IFERROR(F75*(1+_xlfn.XLOOKUP(G75,'1. Project Inputs'!$I$39:$I$45,'1. Project Inputs'!$J$39:$J$45)),F75),IF(C75="E-Commerce",(_xlfn.XLOOKUP(G75,'Complexity Factors'!$B$12:$B$18,'Complexity Factors'!$C$12:$C$18)*2.9),IF(C75="Services/Integrations",_xlfn.XLOOKUP(G75,'Complexity Factors'!$D$12:$D$16,'Complexity Factors'!$E$12:$E$16)*_xlfn.XLOOKUP($D$26,'Complexity Factors'!$B$41:$B$44,'Complexity Factors'!$D$41:$D$44),IF(C75="UI",_xlfn.XLOOKUP(G75,'Complexity Factors'!$B$12:$B$18,'Complexity Factors'!$C$12:$C$18)*_xlfn.XLOOKUP($D$26,'Complexity Factors'!$B$41:$B$44,'Complexity Factors'!$D$41:$D$44),_xlfn.XLOOKUP(G75,'Complexity Factors'!$B$12:$B$18,'Complexity Factors'!$C$12:$C$18)*_xlfn.XLOOKUP($D$26,'Complexity Factors'!$B$41:$B$44,'Complexity Factors'!$C$41:$C$44))))))*(IF(TB.ScopeEstimation[[#This Row],[External Dependencies]]="",1,(1+_xlfn.XLOOKUP(K75,'Complexity Factors'!$B$24:$B$28,'Complexity Factors'!$C$24:$C$28))))),"")</f>
        <v/>
      </c>
      <c r="M75" s="1012"/>
      <c r="N75" s="1012"/>
      <c r="O75" s="1012"/>
      <c r="P75" s="1013">
        <f>IF(TB.ScopeEstimation[[#This Row],[Option 1]]="Yes",TB.ScopeEstimation[[#This Row],[WED]],0)</f>
        <v>0</v>
      </c>
      <c r="Q75" s="1013">
        <f>IF(TB.ScopeEstimation[[#This Row],[Option 2]]="Yes",TB.ScopeEstimation[[#This Row],[WED]],0)</f>
        <v>0</v>
      </c>
      <c r="R75" s="1013">
        <f>IF(TB.ScopeEstimation[[#This Row],[Option 3]]="Yes",TB.ScopeEstimation[[#This Row],[WED]],0)</f>
        <v>0</v>
      </c>
      <c r="S75" s="1012"/>
      <c r="T75" s="1063"/>
      <c r="U75" s="629"/>
      <c r="V75" s="629"/>
      <c r="AE75" s="556"/>
    </row>
    <row r="76" spans="2:31" x14ac:dyDescent="0.25">
      <c r="B76" s="628"/>
      <c r="C76" s="1163"/>
      <c r="D76" s="1165"/>
      <c r="E76" s="1165"/>
      <c r="F76" s="1166"/>
      <c r="G76" s="1167"/>
      <c r="H76" s="1167"/>
      <c r="I76" s="1167"/>
      <c r="J76" s="1167"/>
      <c r="K76" s="1167"/>
      <c r="L76" s="1168" t="str">
        <f>IFERROR(IF(ISBLANK(C76),"",(IF(OR($D$20="Consulting",$D$20="Digital - MarTech Consulting/Strategy")=TRUE,IFERROR(F76*(1+_xlfn.XLOOKUP(G76,'1. Project Inputs'!$I$39:$I$45,'1. Project Inputs'!$J$39:$J$45)),F76),IF(C76="E-Commerce",(_xlfn.XLOOKUP(G76,'Complexity Factors'!$B$12:$B$18,'Complexity Factors'!$C$12:$C$18)*2.9),IF(C76="Services/Integrations",_xlfn.XLOOKUP(G76,'Complexity Factors'!$D$12:$D$16,'Complexity Factors'!$E$12:$E$16)*_xlfn.XLOOKUP($D$26,'Complexity Factors'!$B$41:$B$44,'Complexity Factors'!$D$41:$D$44),IF(C76="UI",_xlfn.XLOOKUP(G76,'Complexity Factors'!$B$12:$B$18,'Complexity Factors'!$C$12:$C$18)*_xlfn.XLOOKUP($D$26,'Complexity Factors'!$B$41:$B$44,'Complexity Factors'!$D$41:$D$44),_xlfn.XLOOKUP(G76,'Complexity Factors'!$B$12:$B$18,'Complexity Factors'!$C$12:$C$18)*_xlfn.XLOOKUP($D$26,'Complexity Factors'!$B$41:$B$44,'Complexity Factors'!$C$41:$C$44))))))*(IF(TB.ScopeEstimation[[#This Row],[External Dependencies]]="",1,(1+_xlfn.XLOOKUP(K76,'Complexity Factors'!$B$24:$B$28,'Complexity Factors'!$C$24:$C$28))))),"")</f>
        <v/>
      </c>
      <c r="M76" s="1167"/>
      <c r="N76" s="1167"/>
      <c r="O76" s="1167"/>
      <c r="P76" s="1166">
        <f>IF(TB.ScopeEstimation[[#This Row],[Option 1]]="Yes",TB.ScopeEstimation[[#This Row],[WED]],0)</f>
        <v>0</v>
      </c>
      <c r="Q76" s="1166">
        <f>IF(TB.ScopeEstimation[[#This Row],[Option 2]]="Yes",TB.ScopeEstimation[[#This Row],[WED]],0)</f>
        <v>0</v>
      </c>
      <c r="R76" s="1166">
        <f>IF(TB.ScopeEstimation[[#This Row],[Option 3]]="Yes",TB.ScopeEstimation[[#This Row],[WED]],0)</f>
        <v>0</v>
      </c>
      <c r="S76" s="1167"/>
      <c r="T76" s="1172"/>
      <c r="U76" s="629"/>
      <c r="V76" s="629"/>
      <c r="AE76" s="556"/>
    </row>
    <row r="77" spans="2:31" x14ac:dyDescent="0.25">
      <c r="B77" s="628"/>
      <c r="C77" s="1062"/>
      <c r="D77" s="929"/>
      <c r="E77" s="1016"/>
      <c r="F77" s="1013"/>
      <c r="G77" s="1012"/>
      <c r="H77" s="1012"/>
      <c r="I77" s="1012"/>
      <c r="J77" s="1012"/>
      <c r="K77" s="1012"/>
      <c r="L77" s="1014" t="str">
        <f>IFERROR(IF(ISBLANK(C77),"",(IF(OR($D$20="Consulting",$D$20="Digital - MarTech Consulting/Strategy")=TRUE,IFERROR(F77*(1+_xlfn.XLOOKUP(G77,'1. Project Inputs'!$I$39:$I$45,'1. Project Inputs'!$J$39:$J$45)),F77),IF(C77="E-Commerce",(_xlfn.XLOOKUP(G77,'Complexity Factors'!$B$12:$B$18,'Complexity Factors'!$C$12:$C$18)*2.9),IF(C77="Services/Integrations",_xlfn.XLOOKUP(G77,'Complexity Factors'!$D$12:$D$16,'Complexity Factors'!$E$12:$E$16)*_xlfn.XLOOKUP($D$26,'Complexity Factors'!$B$41:$B$44,'Complexity Factors'!$D$41:$D$44),IF(C77="UI",_xlfn.XLOOKUP(G77,'Complexity Factors'!$B$12:$B$18,'Complexity Factors'!$C$12:$C$18)*_xlfn.XLOOKUP($D$26,'Complexity Factors'!$B$41:$B$44,'Complexity Factors'!$D$41:$D$44),_xlfn.XLOOKUP(G77,'Complexity Factors'!$B$12:$B$18,'Complexity Factors'!$C$12:$C$18)*_xlfn.XLOOKUP($D$26,'Complexity Factors'!$B$41:$B$44,'Complexity Factors'!$C$41:$C$44))))))*(IF(TB.ScopeEstimation[[#This Row],[External Dependencies]]="",1,(1+_xlfn.XLOOKUP(K77,'Complexity Factors'!$B$24:$B$28,'Complexity Factors'!$C$24:$C$28))))),"")</f>
        <v/>
      </c>
      <c r="M77" s="1012"/>
      <c r="N77" s="1012"/>
      <c r="O77" s="1012"/>
      <c r="P77" s="1013">
        <f>IF(TB.ScopeEstimation[[#This Row],[Option 1]]="Yes",TB.ScopeEstimation[[#This Row],[WED]],0)</f>
        <v>0</v>
      </c>
      <c r="Q77" s="1013">
        <f>IF(TB.ScopeEstimation[[#This Row],[Option 2]]="Yes",TB.ScopeEstimation[[#This Row],[WED]],0)</f>
        <v>0</v>
      </c>
      <c r="R77" s="1013">
        <f>IF(TB.ScopeEstimation[[#This Row],[Option 3]]="Yes",TB.ScopeEstimation[[#This Row],[WED]],0)</f>
        <v>0</v>
      </c>
      <c r="S77" s="1012"/>
      <c r="T77" s="1063"/>
      <c r="U77" s="629"/>
      <c r="V77" s="629"/>
      <c r="AE77" s="556"/>
    </row>
    <row r="78" spans="2:31" x14ac:dyDescent="0.25">
      <c r="B78" s="628"/>
      <c r="C78" s="1163"/>
      <c r="D78" s="1165"/>
      <c r="E78" s="1165"/>
      <c r="F78" s="1166"/>
      <c r="G78" s="1167"/>
      <c r="H78" s="1167"/>
      <c r="I78" s="1167"/>
      <c r="J78" s="1167"/>
      <c r="K78" s="1167"/>
      <c r="L78" s="1168" t="str">
        <f>IFERROR(IF(ISBLANK(C78),"",(IF(OR($D$20="Consulting",$D$20="Digital - MarTech Consulting/Strategy")=TRUE,IFERROR(F78*(1+_xlfn.XLOOKUP(G78,'1. Project Inputs'!$I$39:$I$45,'1. Project Inputs'!$J$39:$J$45)),F78),IF(C78="E-Commerce",(_xlfn.XLOOKUP(G78,'Complexity Factors'!$B$12:$B$18,'Complexity Factors'!$C$12:$C$18)*2.9),IF(C78="Services/Integrations",_xlfn.XLOOKUP(G78,'Complexity Factors'!$D$12:$D$16,'Complexity Factors'!$E$12:$E$16)*_xlfn.XLOOKUP($D$26,'Complexity Factors'!$B$41:$B$44,'Complexity Factors'!$D$41:$D$44),IF(C78="UI",_xlfn.XLOOKUP(G78,'Complexity Factors'!$B$12:$B$18,'Complexity Factors'!$C$12:$C$18)*_xlfn.XLOOKUP($D$26,'Complexity Factors'!$B$41:$B$44,'Complexity Factors'!$D$41:$D$44),_xlfn.XLOOKUP(G78,'Complexity Factors'!$B$12:$B$18,'Complexity Factors'!$C$12:$C$18)*_xlfn.XLOOKUP($D$26,'Complexity Factors'!$B$41:$B$44,'Complexity Factors'!$C$41:$C$44))))))*(IF(TB.ScopeEstimation[[#This Row],[External Dependencies]]="",1,(1+_xlfn.XLOOKUP(K78,'Complexity Factors'!$B$24:$B$28,'Complexity Factors'!$C$24:$C$28))))),"")</f>
        <v/>
      </c>
      <c r="M78" s="1167"/>
      <c r="N78" s="1174"/>
      <c r="O78" s="1174"/>
      <c r="P78" s="1510">
        <f>IF(TB.ScopeEstimation[[#This Row],[Option 1]]="Yes",TB.ScopeEstimation[[#This Row],[WED]],0)</f>
        <v>0</v>
      </c>
      <c r="Q78" s="1510">
        <f>IF(TB.ScopeEstimation[[#This Row],[Option 2]]="Yes",TB.ScopeEstimation[[#This Row],[WED]],0)</f>
        <v>0</v>
      </c>
      <c r="R78" s="1510">
        <f>IF(TB.ScopeEstimation[[#This Row],[Option 3]]="Yes",TB.ScopeEstimation[[#This Row],[WED]],0)</f>
        <v>0</v>
      </c>
      <c r="S78" s="1167"/>
      <c r="T78" s="1172"/>
      <c r="U78" s="629"/>
      <c r="V78" s="629"/>
      <c r="AE78" s="556"/>
    </row>
    <row r="79" spans="2:31" x14ac:dyDescent="0.25">
      <c r="B79" s="628"/>
      <c r="C79" s="1062"/>
      <c r="D79" s="1016"/>
      <c r="E79" s="1016"/>
      <c r="F79" s="1013"/>
      <c r="G79" s="1012"/>
      <c r="H79" s="1012"/>
      <c r="I79" s="1012"/>
      <c r="J79" s="1012"/>
      <c r="K79" s="1012"/>
      <c r="L79" s="1014" t="str">
        <f>IFERROR(IF(ISBLANK(C79),"",(IF(OR($D$20="Consulting",$D$20="Digital - MarTech Consulting/Strategy")=TRUE,IFERROR(F79*(1+_xlfn.XLOOKUP(G79,'1. Project Inputs'!$I$39:$I$45,'1. Project Inputs'!$J$39:$J$45)),F79),IF(C79="E-Commerce",(_xlfn.XLOOKUP(G79,'Complexity Factors'!$B$12:$B$18,'Complexity Factors'!$C$12:$C$18)*2.9),IF(C79="Services/Integrations",_xlfn.XLOOKUP(G79,'Complexity Factors'!$D$12:$D$16,'Complexity Factors'!$E$12:$E$16)*_xlfn.XLOOKUP($D$26,'Complexity Factors'!$B$41:$B$44,'Complexity Factors'!$D$41:$D$44),IF(C79="UI",_xlfn.XLOOKUP(G79,'Complexity Factors'!$B$12:$B$18,'Complexity Factors'!$C$12:$C$18)*_xlfn.XLOOKUP($D$26,'Complexity Factors'!$B$41:$B$44,'Complexity Factors'!$D$41:$D$44),_xlfn.XLOOKUP(G79,'Complexity Factors'!$B$12:$B$18,'Complexity Factors'!$C$12:$C$18)*_xlfn.XLOOKUP($D$26,'Complexity Factors'!$B$41:$B$44,'Complexity Factors'!$C$41:$C$44))))))*(IF(TB.ScopeEstimation[[#This Row],[External Dependencies]]="",1,(1+_xlfn.XLOOKUP(K79,'Complexity Factors'!$B$24:$B$28,'Complexity Factors'!$C$24:$C$28))))),"")</f>
        <v/>
      </c>
      <c r="M79" s="1012"/>
      <c r="N79" s="881"/>
      <c r="O79" s="881"/>
      <c r="P79" s="1511">
        <f>IF(TB.ScopeEstimation[[#This Row],[Option 1]]="Yes",TB.ScopeEstimation[[#This Row],[WED]],0)</f>
        <v>0</v>
      </c>
      <c r="Q79" s="1511">
        <f>IF(TB.ScopeEstimation[[#This Row],[Option 2]]="Yes",TB.ScopeEstimation[[#This Row],[WED]],0)</f>
        <v>0</v>
      </c>
      <c r="R79" s="1511">
        <f>IF(TB.ScopeEstimation[[#This Row],[Option 3]]="Yes",TB.ScopeEstimation[[#This Row],[WED]],0)</f>
        <v>0</v>
      </c>
      <c r="S79" s="1012"/>
      <c r="T79" s="1063"/>
      <c r="U79" s="629"/>
      <c r="V79" s="629"/>
      <c r="AE79" s="556"/>
    </row>
    <row r="80" spans="2:31" x14ac:dyDescent="0.25">
      <c r="B80" s="628"/>
      <c r="C80" s="1163"/>
      <c r="D80" s="1165"/>
      <c r="E80" s="1165"/>
      <c r="F80" s="1166"/>
      <c r="G80" s="1167"/>
      <c r="H80" s="1167"/>
      <c r="I80" s="1167"/>
      <c r="J80" s="1167"/>
      <c r="K80" s="1167"/>
      <c r="L80" s="1168" t="str">
        <f>IFERROR(IF(ISBLANK(C80),"",(IF(OR($D$20="Consulting",$D$20="Digital - MarTech Consulting/Strategy")=TRUE,IFERROR(F80*(1+_xlfn.XLOOKUP(G80,'1. Project Inputs'!$I$39:$I$45,'1. Project Inputs'!$J$39:$J$45)),F80),IF(C80="E-Commerce",(_xlfn.XLOOKUP(G80,'Complexity Factors'!$B$12:$B$18,'Complexity Factors'!$C$12:$C$18)*2.9),IF(C80="Services/Integrations",_xlfn.XLOOKUP(G80,'Complexity Factors'!$D$12:$D$16,'Complexity Factors'!$E$12:$E$16)*_xlfn.XLOOKUP($D$26,'Complexity Factors'!$B$41:$B$44,'Complexity Factors'!$D$41:$D$44),IF(C80="UI",_xlfn.XLOOKUP(G80,'Complexity Factors'!$B$12:$B$18,'Complexity Factors'!$C$12:$C$18)*_xlfn.XLOOKUP($D$26,'Complexity Factors'!$B$41:$B$44,'Complexity Factors'!$D$41:$D$44),_xlfn.XLOOKUP(G80,'Complexity Factors'!$B$12:$B$18,'Complexity Factors'!$C$12:$C$18)*_xlfn.XLOOKUP($D$26,'Complexity Factors'!$B$41:$B$44,'Complexity Factors'!$C$41:$C$44))))))*(IF(TB.ScopeEstimation[[#This Row],[External Dependencies]]="",1,(1+_xlfn.XLOOKUP(K80,'Complexity Factors'!$B$24:$B$28,'Complexity Factors'!$C$24:$C$28))))),"")</f>
        <v/>
      </c>
      <c r="M80" s="1167"/>
      <c r="N80" s="1174"/>
      <c r="O80" s="1174"/>
      <c r="P80" s="1510">
        <f>IF(TB.ScopeEstimation[[#This Row],[Option 1]]="Yes",TB.ScopeEstimation[[#This Row],[WED]],0)</f>
        <v>0</v>
      </c>
      <c r="Q80" s="1510">
        <f>IF(TB.ScopeEstimation[[#This Row],[Option 2]]="Yes",TB.ScopeEstimation[[#This Row],[WED]],0)</f>
        <v>0</v>
      </c>
      <c r="R80" s="1510">
        <f>IF(TB.ScopeEstimation[[#This Row],[Option 3]]="Yes",TB.ScopeEstimation[[#This Row],[WED]],0)</f>
        <v>0</v>
      </c>
      <c r="S80" s="1167"/>
      <c r="T80" s="1172"/>
      <c r="U80" s="629"/>
      <c r="V80" s="629"/>
      <c r="AE80" s="556"/>
    </row>
    <row r="81" spans="2:31" x14ac:dyDescent="0.25">
      <c r="B81" s="628"/>
      <c r="C81" s="1062"/>
      <c r="D81" s="1016"/>
      <c r="E81" s="1016"/>
      <c r="F81" s="1015"/>
      <c r="G81" s="1012"/>
      <c r="H81" s="1012"/>
      <c r="I81" s="1012"/>
      <c r="J81" s="1012"/>
      <c r="K81" s="1012"/>
      <c r="L81" s="1014" t="str">
        <f>IFERROR(IF(ISBLANK(C81),"",(IF(OR($D$20="Consulting",$D$20="Digital - MarTech Consulting/Strategy")=TRUE,IFERROR(F81*(1+_xlfn.XLOOKUP(G81,'1. Project Inputs'!$I$39:$I$45,'1. Project Inputs'!$J$39:$J$45)),F81),IF(C81="E-Commerce",(_xlfn.XLOOKUP(G81,'Complexity Factors'!$B$12:$B$18,'Complexity Factors'!$C$12:$C$18)*2.9),IF(C81="Services/Integrations",_xlfn.XLOOKUP(G81,'Complexity Factors'!$D$12:$D$16,'Complexity Factors'!$E$12:$E$16)*_xlfn.XLOOKUP($D$26,'Complexity Factors'!$B$41:$B$44,'Complexity Factors'!$D$41:$D$44),IF(C81="UI",_xlfn.XLOOKUP(G81,'Complexity Factors'!$B$12:$B$18,'Complexity Factors'!$C$12:$C$18)*_xlfn.XLOOKUP($D$26,'Complexity Factors'!$B$41:$B$44,'Complexity Factors'!$D$41:$D$44),_xlfn.XLOOKUP(G81,'Complexity Factors'!$B$12:$B$18,'Complexity Factors'!$C$12:$C$18)*_xlfn.XLOOKUP($D$26,'Complexity Factors'!$B$41:$B$44,'Complexity Factors'!$C$41:$C$44))))))*(IF(TB.ScopeEstimation[[#This Row],[External Dependencies]]="",1,(1+_xlfn.XLOOKUP(K81,'Complexity Factors'!$B$24:$B$28,'Complexity Factors'!$C$24:$C$28))))),"")</f>
        <v/>
      </c>
      <c r="M81" s="1015"/>
      <c r="N81" s="881"/>
      <c r="O81" s="881"/>
      <c r="P81" s="1511">
        <f>IF(TB.ScopeEstimation[[#This Row],[Option 1]]="Yes",TB.ScopeEstimation[[#This Row],[WED]],0)</f>
        <v>0</v>
      </c>
      <c r="Q81" s="1511">
        <f>IF(TB.ScopeEstimation[[#This Row],[Option 2]]="Yes",TB.ScopeEstimation[[#This Row],[WED]],0)</f>
        <v>0</v>
      </c>
      <c r="R81" s="1511">
        <f>IF(TB.ScopeEstimation[[#This Row],[Option 3]]="Yes",TB.ScopeEstimation[[#This Row],[WED]],0)</f>
        <v>0</v>
      </c>
      <c r="S81" s="1012"/>
      <c r="T81" s="1063"/>
      <c r="U81" s="629"/>
      <c r="V81" s="629"/>
      <c r="AE81" s="556"/>
    </row>
    <row r="82" spans="2:31" x14ac:dyDescent="0.25">
      <c r="B82" s="628"/>
      <c r="C82" s="1163"/>
      <c r="D82" s="1165"/>
      <c r="E82" s="1165"/>
      <c r="F82" s="1169"/>
      <c r="G82" s="1167"/>
      <c r="H82" s="1167"/>
      <c r="I82" s="1167"/>
      <c r="J82" s="1167"/>
      <c r="K82" s="1167"/>
      <c r="L82" s="1168" t="str">
        <f>IFERROR(IF(ISBLANK(C82),"",(IF(OR($D$20="Consulting",$D$20="Digital - MarTech Consulting/Strategy")=TRUE,IFERROR(F82*(1+_xlfn.XLOOKUP(G82,'1. Project Inputs'!$I$39:$I$45,'1. Project Inputs'!$J$39:$J$45)),F82),IF(C82="E-Commerce",(_xlfn.XLOOKUP(G82,'Complexity Factors'!$B$12:$B$18,'Complexity Factors'!$C$12:$C$18)*2.9),IF(C82="Services/Integrations",_xlfn.XLOOKUP(G82,'Complexity Factors'!$D$12:$D$16,'Complexity Factors'!$E$12:$E$16)*_xlfn.XLOOKUP($D$26,'Complexity Factors'!$B$41:$B$44,'Complexity Factors'!$D$41:$D$44),IF(C82="UI",_xlfn.XLOOKUP(G82,'Complexity Factors'!$B$12:$B$18,'Complexity Factors'!$C$12:$C$18)*_xlfn.XLOOKUP($D$26,'Complexity Factors'!$B$41:$B$44,'Complexity Factors'!$D$41:$D$44),_xlfn.XLOOKUP(G82,'Complexity Factors'!$B$12:$B$18,'Complexity Factors'!$C$12:$C$18)*_xlfn.XLOOKUP($D$26,'Complexity Factors'!$B$41:$B$44,'Complexity Factors'!$C$41:$C$44))))))*(IF(TB.ScopeEstimation[[#This Row],[External Dependencies]]="",1,(1+_xlfn.XLOOKUP(K82,'Complexity Factors'!$B$24:$B$28,'Complexity Factors'!$C$24:$C$28))))),"")</f>
        <v/>
      </c>
      <c r="M82" s="1169"/>
      <c r="N82" s="1174"/>
      <c r="O82" s="1174"/>
      <c r="P82" s="1510">
        <f>IF(TB.ScopeEstimation[[#This Row],[Option 1]]="Yes",TB.ScopeEstimation[[#This Row],[WED]],0)</f>
        <v>0</v>
      </c>
      <c r="Q82" s="1510">
        <f>IF(TB.ScopeEstimation[[#This Row],[Option 2]]="Yes",TB.ScopeEstimation[[#This Row],[WED]],0)</f>
        <v>0</v>
      </c>
      <c r="R82" s="1510">
        <f>IF(TB.ScopeEstimation[[#This Row],[Option 3]]="Yes",TB.ScopeEstimation[[#This Row],[WED]],0)</f>
        <v>0</v>
      </c>
      <c r="S82" s="1167"/>
      <c r="T82" s="1172"/>
      <c r="U82" s="629"/>
      <c r="V82" s="629"/>
      <c r="AE82" s="556"/>
    </row>
    <row r="83" spans="2:31" x14ac:dyDescent="0.25">
      <c r="B83" s="628"/>
      <c r="C83" s="1062"/>
      <c r="D83" s="1016"/>
      <c r="E83" s="1016"/>
      <c r="F83" s="1015"/>
      <c r="G83" s="1012"/>
      <c r="H83" s="1012"/>
      <c r="I83" s="1012"/>
      <c r="J83" s="1012"/>
      <c r="K83" s="1012"/>
      <c r="L83" s="1014" t="str">
        <f>IFERROR(IF(ISBLANK(C83),"",(IF(OR($D$20="Consulting",$D$20="Digital - MarTech Consulting/Strategy")=TRUE,IFERROR(F83*(1+_xlfn.XLOOKUP(G83,'1. Project Inputs'!$I$39:$I$45,'1. Project Inputs'!$J$39:$J$45)),F83),IF(C83="E-Commerce",(_xlfn.XLOOKUP(G83,'Complexity Factors'!$B$12:$B$18,'Complexity Factors'!$C$12:$C$18)*2.9),IF(C83="Services/Integrations",_xlfn.XLOOKUP(G83,'Complexity Factors'!$D$12:$D$16,'Complexity Factors'!$E$12:$E$16)*_xlfn.XLOOKUP($D$26,'Complexity Factors'!$B$41:$B$44,'Complexity Factors'!$D$41:$D$44),IF(C83="UI",_xlfn.XLOOKUP(G83,'Complexity Factors'!$B$12:$B$18,'Complexity Factors'!$C$12:$C$18)*_xlfn.XLOOKUP($D$26,'Complexity Factors'!$B$41:$B$44,'Complexity Factors'!$D$41:$D$44),_xlfn.XLOOKUP(G83,'Complexity Factors'!$B$12:$B$18,'Complexity Factors'!$C$12:$C$18)*_xlfn.XLOOKUP($D$26,'Complexity Factors'!$B$41:$B$44,'Complexity Factors'!$C$41:$C$44))))))*(IF(TB.ScopeEstimation[[#This Row],[External Dependencies]]="",1,(1+_xlfn.XLOOKUP(K83,'Complexity Factors'!$B$24:$B$28,'Complexity Factors'!$C$24:$C$28))))),"")</f>
        <v/>
      </c>
      <c r="M83" s="1015"/>
      <c r="N83" s="881"/>
      <c r="O83" s="881"/>
      <c r="P83" s="1511">
        <f>IF(TB.ScopeEstimation[[#This Row],[Option 1]]="Yes",TB.ScopeEstimation[[#This Row],[WED]],0)</f>
        <v>0</v>
      </c>
      <c r="Q83" s="1511">
        <f>IF(TB.ScopeEstimation[[#This Row],[Option 2]]="Yes",TB.ScopeEstimation[[#This Row],[WED]],0)</f>
        <v>0</v>
      </c>
      <c r="R83" s="1511">
        <f>IF(TB.ScopeEstimation[[#This Row],[Option 3]]="Yes",TB.ScopeEstimation[[#This Row],[WED]],0)</f>
        <v>0</v>
      </c>
      <c r="S83" s="1012"/>
      <c r="T83" s="1063"/>
      <c r="U83" s="629"/>
      <c r="V83" s="629"/>
      <c r="AE83" s="556"/>
    </row>
    <row r="84" spans="2:31" x14ac:dyDescent="0.25">
      <c r="B84" s="628"/>
      <c r="C84" s="1175"/>
      <c r="D84" s="1176"/>
      <c r="E84" s="1176"/>
      <c r="F84" s="1177"/>
      <c r="G84" s="1178"/>
      <c r="H84" s="1178"/>
      <c r="I84" s="1178"/>
      <c r="J84" s="1178"/>
      <c r="K84" s="1178"/>
      <c r="L84" s="1179" t="str">
        <f>IFERROR(IF(ISBLANK(C84),"",(IF(OR($D$20="Consulting",$D$20="Digital - MarTech Consulting/Strategy")=TRUE,IFERROR(F84*(1+_xlfn.XLOOKUP(G84,'1. Project Inputs'!$I$39:$I$45,'1. Project Inputs'!$J$39:$J$45)),F84),IF(C84="E-Commerce",(_xlfn.XLOOKUP(G84,'Complexity Factors'!$B$12:$B$18,'Complexity Factors'!$C$12:$C$18)*2.9),IF(C84="Services/Integrations",_xlfn.XLOOKUP(G84,'Complexity Factors'!$D$12:$D$16,'Complexity Factors'!$E$12:$E$16)*_xlfn.XLOOKUP($D$26,'Complexity Factors'!$B$41:$B$44,'Complexity Factors'!$D$41:$D$44),IF(C84="UI",_xlfn.XLOOKUP(G84,'Complexity Factors'!$B$12:$B$18,'Complexity Factors'!$C$12:$C$18)*_xlfn.XLOOKUP($D$26,'Complexity Factors'!$B$41:$B$44,'Complexity Factors'!$D$41:$D$44),_xlfn.XLOOKUP(G84,'Complexity Factors'!$B$12:$B$18,'Complexity Factors'!$C$12:$C$18)*_xlfn.XLOOKUP($D$26,'Complexity Factors'!$B$41:$B$44,'Complexity Factors'!$C$41:$C$44))))))*(IF(TB.ScopeEstimation[[#This Row],[External Dependencies]]="",1,(1+_xlfn.XLOOKUP(K84,'Complexity Factors'!$B$24:$B$28,'Complexity Factors'!$C$24:$C$28))))),"")</f>
        <v/>
      </c>
      <c r="M84" s="1177"/>
      <c r="N84" s="1180"/>
      <c r="O84" s="1180"/>
      <c r="P84" s="1512">
        <f>IF(TB.ScopeEstimation[[#This Row],[Option 1]]="Yes",TB.ScopeEstimation[[#This Row],[WED]],0)</f>
        <v>0</v>
      </c>
      <c r="Q84" s="1512">
        <f>IF(TB.ScopeEstimation[[#This Row],[Option 2]]="Yes",TB.ScopeEstimation[[#This Row],[WED]],0)</f>
        <v>0</v>
      </c>
      <c r="R84" s="1512">
        <f>IF(TB.ScopeEstimation[[#This Row],[Option 3]]="Yes",TB.ScopeEstimation[[#This Row],[WED]],0)</f>
        <v>0</v>
      </c>
      <c r="S84" s="1178"/>
      <c r="T84" s="1181"/>
      <c r="U84" s="629"/>
      <c r="V84" s="629"/>
      <c r="AE84" s="556"/>
    </row>
    <row r="85" spans="2:31" outlineLevel="1" x14ac:dyDescent="0.25">
      <c r="B85" s="628"/>
      <c r="C85" s="1062"/>
      <c r="D85" s="1016"/>
      <c r="E85" s="1016"/>
      <c r="F85" s="1015"/>
      <c r="G85" s="1012"/>
      <c r="H85" s="1012"/>
      <c r="I85" s="1012"/>
      <c r="J85" s="1012"/>
      <c r="K85" s="1012"/>
      <c r="L85" s="1014" t="str">
        <f>IFERROR(IF(ISBLANK(C85),"",(IF(OR($D$20="Consulting",$D$20="Digital - MarTech Consulting/Strategy")=TRUE,IFERROR(F85*(1+_xlfn.XLOOKUP(G85,'1. Project Inputs'!$I$39:$I$45,'1. Project Inputs'!$J$39:$J$45)),F85),IF(C85="E-Commerce",(_xlfn.XLOOKUP(G85,'Complexity Factors'!$B$12:$B$18,'Complexity Factors'!$C$12:$C$18)*2.9),IF(C85="Services/Integrations",_xlfn.XLOOKUP(G85,'Complexity Factors'!$D$12:$D$16,'Complexity Factors'!$E$12:$E$16)*_xlfn.XLOOKUP($D$26,'Complexity Factors'!$B$41:$B$44,'Complexity Factors'!$D$41:$D$44),IF(C85="UI",_xlfn.XLOOKUP(G85,'Complexity Factors'!$B$12:$B$18,'Complexity Factors'!$C$12:$C$18)*_xlfn.XLOOKUP($D$26,'Complexity Factors'!$B$41:$B$44,'Complexity Factors'!$D$41:$D$44),_xlfn.XLOOKUP(G85,'Complexity Factors'!$B$12:$B$18,'Complexity Factors'!$C$12:$C$18)*_xlfn.XLOOKUP($D$26,'Complexity Factors'!$B$41:$B$44,'Complexity Factors'!$C$41:$C$44))))))*(IF(TB.ScopeEstimation[[#This Row],[External Dependencies]]="",1,(1+_xlfn.XLOOKUP(K85,'Complexity Factors'!$B$24:$B$28,'Complexity Factors'!$C$24:$C$28))))),"")</f>
        <v/>
      </c>
      <c r="M85" s="1015"/>
      <c r="N85" s="881"/>
      <c r="O85" s="881"/>
      <c r="P85" s="1511">
        <f>IF(TB.ScopeEstimation[[#This Row],[Option 1]]="Yes",TB.ScopeEstimation[[#This Row],[WED]],0)</f>
        <v>0</v>
      </c>
      <c r="Q85" s="1511">
        <f>IF(TB.ScopeEstimation[[#This Row],[Option 2]]="Yes",TB.ScopeEstimation[[#This Row],[WED]],0)</f>
        <v>0</v>
      </c>
      <c r="R85" s="1511">
        <f>IF(TB.ScopeEstimation[[#This Row],[Option 3]]="Yes",TB.ScopeEstimation[[#This Row],[WED]],0)</f>
        <v>0</v>
      </c>
      <c r="S85" s="1012"/>
      <c r="T85" s="1063"/>
      <c r="U85" s="629"/>
      <c r="V85" s="629"/>
      <c r="AE85" s="556"/>
    </row>
    <row r="86" spans="2:31" outlineLevel="1" x14ac:dyDescent="0.25">
      <c r="B86" s="628"/>
      <c r="C86" s="1163"/>
      <c r="D86" s="1165"/>
      <c r="E86" s="1165"/>
      <c r="F86" s="1169"/>
      <c r="G86" s="1167"/>
      <c r="H86" s="1167"/>
      <c r="I86" s="1167"/>
      <c r="J86" s="1167"/>
      <c r="K86" s="1167"/>
      <c r="L86" s="1168" t="str">
        <f>IFERROR(IF(ISBLANK(C86),"",(IF(OR($D$20="Consulting",$D$20="Digital - MarTech Consulting/Strategy")=TRUE,IFERROR(F86*(1+_xlfn.XLOOKUP(G86,'1. Project Inputs'!$I$39:$I$45,'1. Project Inputs'!$J$39:$J$45)),F86),IF(C86="E-Commerce",(_xlfn.XLOOKUP(G86,'Complexity Factors'!$B$12:$B$18,'Complexity Factors'!$C$12:$C$18)*2.9),IF(C86="Services/Integrations",_xlfn.XLOOKUP(G86,'Complexity Factors'!$D$12:$D$16,'Complexity Factors'!$E$12:$E$16)*_xlfn.XLOOKUP($D$26,'Complexity Factors'!$B$41:$B$44,'Complexity Factors'!$D$41:$D$44),IF(C86="UI",_xlfn.XLOOKUP(G86,'Complexity Factors'!$B$12:$B$18,'Complexity Factors'!$C$12:$C$18)*_xlfn.XLOOKUP($D$26,'Complexity Factors'!$B$41:$B$44,'Complexity Factors'!$D$41:$D$44),_xlfn.XLOOKUP(G86,'Complexity Factors'!$B$12:$B$18,'Complexity Factors'!$C$12:$C$18)*_xlfn.XLOOKUP($D$26,'Complexity Factors'!$B$41:$B$44,'Complexity Factors'!$C$41:$C$44))))))*(IF(TB.ScopeEstimation[[#This Row],[External Dependencies]]="",1,(1+_xlfn.XLOOKUP(K86,'Complexity Factors'!$B$24:$B$28,'Complexity Factors'!$C$24:$C$28))))),"")</f>
        <v/>
      </c>
      <c r="M86" s="1169"/>
      <c r="N86" s="1174"/>
      <c r="O86" s="1174"/>
      <c r="P86" s="1510">
        <f>IF(TB.ScopeEstimation[[#This Row],[Option 1]]="Yes",TB.ScopeEstimation[[#This Row],[WED]],0)</f>
        <v>0</v>
      </c>
      <c r="Q86" s="1510">
        <f>IF(TB.ScopeEstimation[[#This Row],[Option 2]]="Yes",TB.ScopeEstimation[[#This Row],[WED]],0)</f>
        <v>0</v>
      </c>
      <c r="R86" s="1510">
        <f>IF(TB.ScopeEstimation[[#This Row],[Option 3]]="Yes",TB.ScopeEstimation[[#This Row],[WED]],0)</f>
        <v>0</v>
      </c>
      <c r="S86" s="1167"/>
      <c r="T86" s="1172"/>
      <c r="U86" s="629"/>
      <c r="V86" s="629"/>
      <c r="AE86" s="556"/>
    </row>
    <row r="87" spans="2:31" outlineLevel="1" x14ac:dyDescent="0.25">
      <c r="B87" s="628"/>
      <c r="C87" s="1062"/>
      <c r="D87" s="1016"/>
      <c r="E87" s="1016"/>
      <c r="F87" s="1015"/>
      <c r="G87" s="1012"/>
      <c r="H87" s="1012"/>
      <c r="I87" s="1012"/>
      <c r="J87" s="1012"/>
      <c r="K87" s="1012"/>
      <c r="L87" s="1014" t="str">
        <f>IFERROR(IF(ISBLANK(C87),"",(IF(OR($D$20="Consulting",$D$20="Digital - MarTech Consulting/Strategy")=TRUE,IFERROR(F87*(1+_xlfn.XLOOKUP(G87,'1. Project Inputs'!$I$39:$I$45,'1. Project Inputs'!$J$39:$J$45)),F87),IF(C87="E-Commerce",(_xlfn.XLOOKUP(G87,'Complexity Factors'!$B$12:$B$18,'Complexity Factors'!$C$12:$C$18)*2.9),IF(C87="Services/Integrations",_xlfn.XLOOKUP(G87,'Complexity Factors'!$D$12:$D$16,'Complexity Factors'!$E$12:$E$16)*_xlfn.XLOOKUP($D$26,'Complexity Factors'!$B$41:$B$44,'Complexity Factors'!$D$41:$D$44),IF(C87="UI",_xlfn.XLOOKUP(G87,'Complexity Factors'!$B$12:$B$18,'Complexity Factors'!$C$12:$C$18)*_xlfn.XLOOKUP($D$26,'Complexity Factors'!$B$41:$B$44,'Complexity Factors'!$D$41:$D$44),_xlfn.XLOOKUP(G87,'Complexity Factors'!$B$12:$B$18,'Complexity Factors'!$C$12:$C$18)*_xlfn.XLOOKUP($D$26,'Complexity Factors'!$B$41:$B$44,'Complexity Factors'!$C$41:$C$44))))))*(IF(TB.ScopeEstimation[[#This Row],[External Dependencies]]="",1,(1+_xlfn.XLOOKUP(K87,'Complexity Factors'!$B$24:$B$28,'Complexity Factors'!$C$24:$C$28))))),"")</f>
        <v/>
      </c>
      <c r="M87" s="1015"/>
      <c r="N87" s="881"/>
      <c r="O87" s="881"/>
      <c r="P87" s="1511">
        <f>IF(TB.ScopeEstimation[[#This Row],[Option 1]]="Yes",TB.ScopeEstimation[[#This Row],[WED]],0)</f>
        <v>0</v>
      </c>
      <c r="Q87" s="1511">
        <f>IF(TB.ScopeEstimation[[#This Row],[Option 2]]="Yes",TB.ScopeEstimation[[#This Row],[WED]],0)</f>
        <v>0</v>
      </c>
      <c r="R87" s="1511">
        <f>IF(TB.ScopeEstimation[[#This Row],[Option 3]]="Yes",TB.ScopeEstimation[[#This Row],[WED]],0)</f>
        <v>0</v>
      </c>
      <c r="S87" s="1012"/>
      <c r="T87" s="1063"/>
      <c r="U87" s="629"/>
      <c r="V87" s="629"/>
      <c r="AE87" s="556"/>
    </row>
    <row r="88" spans="2:31" outlineLevel="1" x14ac:dyDescent="0.25">
      <c r="B88" s="628"/>
      <c r="C88" s="1163"/>
      <c r="D88" s="1165"/>
      <c r="E88" s="1165"/>
      <c r="F88" s="1169"/>
      <c r="G88" s="1167"/>
      <c r="H88" s="1167"/>
      <c r="I88" s="1167"/>
      <c r="J88" s="1167"/>
      <c r="K88" s="1167"/>
      <c r="L88" s="1168" t="str">
        <f>IFERROR(IF(ISBLANK(C88),"",(IF(OR($D$20="Consulting",$D$20="Digital - MarTech Consulting/Strategy")=TRUE,IFERROR(F88*(1+_xlfn.XLOOKUP(G88,'1. Project Inputs'!$I$39:$I$45,'1. Project Inputs'!$J$39:$J$45)),F88),IF(C88="E-Commerce",(_xlfn.XLOOKUP(G88,'Complexity Factors'!$B$12:$B$18,'Complexity Factors'!$C$12:$C$18)*2.9),IF(C88="Services/Integrations",_xlfn.XLOOKUP(G88,'Complexity Factors'!$D$12:$D$16,'Complexity Factors'!$E$12:$E$16)*_xlfn.XLOOKUP($D$26,'Complexity Factors'!$B$41:$B$44,'Complexity Factors'!$D$41:$D$44),IF(C88="UI",_xlfn.XLOOKUP(G88,'Complexity Factors'!$B$12:$B$18,'Complexity Factors'!$C$12:$C$18)*_xlfn.XLOOKUP($D$26,'Complexity Factors'!$B$41:$B$44,'Complexity Factors'!$D$41:$D$44),_xlfn.XLOOKUP(G88,'Complexity Factors'!$B$12:$B$18,'Complexity Factors'!$C$12:$C$18)*_xlfn.XLOOKUP($D$26,'Complexity Factors'!$B$41:$B$44,'Complexity Factors'!$C$41:$C$44))))))*(IF(TB.ScopeEstimation[[#This Row],[External Dependencies]]="",1,(1+_xlfn.XLOOKUP(K88,'Complexity Factors'!$B$24:$B$28,'Complexity Factors'!$C$24:$C$28))))),"")</f>
        <v/>
      </c>
      <c r="M88" s="1169"/>
      <c r="N88" s="1174"/>
      <c r="O88" s="1174"/>
      <c r="P88" s="1510">
        <f>IF(TB.ScopeEstimation[[#This Row],[Option 1]]="Yes",TB.ScopeEstimation[[#This Row],[WED]],0)</f>
        <v>0</v>
      </c>
      <c r="Q88" s="1510">
        <f>IF(TB.ScopeEstimation[[#This Row],[Option 2]]="Yes",TB.ScopeEstimation[[#This Row],[WED]],0)</f>
        <v>0</v>
      </c>
      <c r="R88" s="1510">
        <f>IF(TB.ScopeEstimation[[#This Row],[Option 3]]="Yes",TB.ScopeEstimation[[#This Row],[WED]],0)</f>
        <v>0</v>
      </c>
      <c r="S88" s="1167"/>
      <c r="T88" s="1172"/>
      <c r="U88" s="629"/>
      <c r="V88" s="629"/>
      <c r="AE88" s="556"/>
    </row>
    <row r="89" spans="2:31" outlineLevel="1" x14ac:dyDescent="0.25">
      <c r="B89" s="628"/>
      <c r="C89" s="1062"/>
      <c r="D89" s="1016"/>
      <c r="E89" s="1016"/>
      <c r="F89" s="1015"/>
      <c r="G89" s="1012"/>
      <c r="H89" s="1012"/>
      <c r="I89" s="1012"/>
      <c r="J89" s="1012"/>
      <c r="K89" s="1012"/>
      <c r="L89" s="1014" t="str">
        <f>IFERROR(IF(ISBLANK(C89),"",(IF(OR($D$20="Consulting",$D$20="Digital - MarTech Consulting/Strategy")=TRUE,IFERROR(F89*(1+_xlfn.XLOOKUP(G89,'1. Project Inputs'!$I$39:$I$45,'1. Project Inputs'!$J$39:$J$45)),F89),IF(C89="E-Commerce",(_xlfn.XLOOKUP(G89,'Complexity Factors'!$B$12:$B$18,'Complexity Factors'!$C$12:$C$18)*2.9),IF(C89="Services/Integrations",_xlfn.XLOOKUP(G89,'Complexity Factors'!$D$12:$D$16,'Complexity Factors'!$E$12:$E$16)*_xlfn.XLOOKUP($D$26,'Complexity Factors'!$B$41:$B$44,'Complexity Factors'!$D$41:$D$44),IF(C89="UI",_xlfn.XLOOKUP(G89,'Complexity Factors'!$B$12:$B$18,'Complexity Factors'!$C$12:$C$18)*_xlfn.XLOOKUP($D$26,'Complexity Factors'!$B$41:$B$44,'Complexity Factors'!$D$41:$D$44),_xlfn.XLOOKUP(G89,'Complexity Factors'!$B$12:$B$18,'Complexity Factors'!$C$12:$C$18)*_xlfn.XLOOKUP($D$26,'Complexity Factors'!$B$41:$B$44,'Complexity Factors'!$C$41:$C$44))))))*(IF(TB.ScopeEstimation[[#This Row],[External Dependencies]]="",1,(1+_xlfn.XLOOKUP(K89,'Complexity Factors'!$B$24:$B$28,'Complexity Factors'!$C$24:$C$28))))),"")</f>
        <v/>
      </c>
      <c r="M89" s="1015"/>
      <c r="N89" s="881"/>
      <c r="O89" s="881"/>
      <c r="P89" s="1511">
        <f>IF(TB.ScopeEstimation[[#This Row],[Option 1]]="Yes",TB.ScopeEstimation[[#This Row],[WED]],0)</f>
        <v>0</v>
      </c>
      <c r="Q89" s="1511">
        <f>IF(TB.ScopeEstimation[[#This Row],[Option 2]]="Yes",TB.ScopeEstimation[[#This Row],[WED]],0)</f>
        <v>0</v>
      </c>
      <c r="R89" s="1511">
        <f>IF(TB.ScopeEstimation[[#This Row],[Option 3]]="Yes",TB.ScopeEstimation[[#This Row],[WED]],0)</f>
        <v>0</v>
      </c>
      <c r="S89" s="1012"/>
      <c r="T89" s="1063"/>
      <c r="U89" s="629"/>
      <c r="V89" s="629"/>
      <c r="AE89" s="556"/>
    </row>
    <row r="90" spans="2:31" outlineLevel="1" x14ac:dyDescent="0.25">
      <c r="B90" s="628"/>
      <c r="C90" s="1163"/>
      <c r="D90" s="1165"/>
      <c r="E90" s="1165"/>
      <c r="F90" s="1169"/>
      <c r="G90" s="1167"/>
      <c r="H90" s="1167"/>
      <c r="I90" s="1167"/>
      <c r="J90" s="1167"/>
      <c r="K90" s="1167"/>
      <c r="L90" s="1168" t="str">
        <f>IFERROR(IF(ISBLANK(C90),"",(IF(OR($D$20="Consulting",$D$20="Digital - MarTech Consulting/Strategy")=TRUE,IFERROR(F90*(1+_xlfn.XLOOKUP(G90,'1. Project Inputs'!$I$39:$I$45,'1. Project Inputs'!$J$39:$J$45)),F90),IF(C90="E-Commerce",(_xlfn.XLOOKUP(G90,'Complexity Factors'!$B$12:$B$18,'Complexity Factors'!$C$12:$C$18)*2.9),IF(C90="Services/Integrations",_xlfn.XLOOKUP(G90,'Complexity Factors'!$D$12:$D$16,'Complexity Factors'!$E$12:$E$16)*_xlfn.XLOOKUP($D$26,'Complexity Factors'!$B$41:$B$44,'Complexity Factors'!$D$41:$D$44),IF(C90="UI",_xlfn.XLOOKUP(G90,'Complexity Factors'!$B$12:$B$18,'Complexity Factors'!$C$12:$C$18)*_xlfn.XLOOKUP($D$26,'Complexity Factors'!$B$41:$B$44,'Complexity Factors'!$D$41:$D$44),_xlfn.XLOOKUP(G90,'Complexity Factors'!$B$12:$B$18,'Complexity Factors'!$C$12:$C$18)*_xlfn.XLOOKUP($D$26,'Complexity Factors'!$B$41:$B$44,'Complexity Factors'!$C$41:$C$44))))))*(IF(TB.ScopeEstimation[[#This Row],[External Dependencies]]="",1,(1+_xlfn.XLOOKUP(K90,'Complexity Factors'!$B$24:$B$28,'Complexity Factors'!$C$24:$C$28))))),"")</f>
        <v/>
      </c>
      <c r="M90" s="1169"/>
      <c r="N90" s="1174"/>
      <c r="O90" s="1174"/>
      <c r="P90" s="1510">
        <f>IF(TB.ScopeEstimation[[#This Row],[Option 1]]="Yes",TB.ScopeEstimation[[#This Row],[WED]],0)</f>
        <v>0</v>
      </c>
      <c r="Q90" s="1510">
        <f>IF(TB.ScopeEstimation[[#This Row],[Option 2]]="Yes",TB.ScopeEstimation[[#This Row],[WED]],0)</f>
        <v>0</v>
      </c>
      <c r="R90" s="1510">
        <f>IF(TB.ScopeEstimation[[#This Row],[Option 3]]="Yes",TB.ScopeEstimation[[#This Row],[WED]],0)</f>
        <v>0</v>
      </c>
      <c r="S90" s="1167"/>
      <c r="T90" s="1172"/>
      <c r="U90" s="629"/>
      <c r="V90" s="629"/>
      <c r="AE90" s="556"/>
    </row>
    <row r="91" spans="2:31" outlineLevel="1" x14ac:dyDescent="0.25">
      <c r="B91" s="628"/>
      <c r="C91" s="1062"/>
      <c r="D91" s="1016"/>
      <c r="E91" s="1016"/>
      <c r="F91" s="1015"/>
      <c r="G91" s="1012"/>
      <c r="H91" s="1012"/>
      <c r="I91" s="1012"/>
      <c r="J91" s="1012"/>
      <c r="K91" s="1012"/>
      <c r="L91" s="1014" t="str">
        <f>IFERROR(IF(ISBLANK(C91),"",(IF(OR($D$20="Consulting",$D$20="Digital - MarTech Consulting/Strategy")=TRUE,IFERROR(F91*(1+_xlfn.XLOOKUP(G91,'1. Project Inputs'!$I$39:$I$45,'1. Project Inputs'!$J$39:$J$45)),F91),IF(C91="E-Commerce",(_xlfn.XLOOKUP(G91,'Complexity Factors'!$B$12:$B$18,'Complexity Factors'!$C$12:$C$18)*2.9),IF(C91="Services/Integrations",_xlfn.XLOOKUP(G91,'Complexity Factors'!$D$12:$D$16,'Complexity Factors'!$E$12:$E$16)*_xlfn.XLOOKUP($D$26,'Complexity Factors'!$B$41:$B$44,'Complexity Factors'!$D$41:$D$44),IF(C91="UI",_xlfn.XLOOKUP(G91,'Complexity Factors'!$B$12:$B$18,'Complexity Factors'!$C$12:$C$18)*_xlfn.XLOOKUP($D$26,'Complexity Factors'!$B$41:$B$44,'Complexity Factors'!$D$41:$D$44),_xlfn.XLOOKUP(G91,'Complexity Factors'!$B$12:$B$18,'Complexity Factors'!$C$12:$C$18)*_xlfn.XLOOKUP($D$26,'Complexity Factors'!$B$41:$B$44,'Complexity Factors'!$C$41:$C$44))))))*(IF(TB.ScopeEstimation[[#This Row],[External Dependencies]]="",1,(1+_xlfn.XLOOKUP(K91,'Complexity Factors'!$B$24:$B$28,'Complexity Factors'!$C$24:$C$28))))),"")</f>
        <v/>
      </c>
      <c r="M91" s="1015"/>
      <c r="N91" s="881"/>
      <c r="O91" s="881"/>
      <c r="P91" s="1511">
        <f>IF(TB.ScopeEstimation[[#This Row],[Option 1]]="Yes",TB.ScopeEstimation[[#This Row],[WED]],0)</f>
        <v>0</v>
      </c>
      <c r="Q91" s="1511">
        <f>IF(TB.ScopeEstimation[[#This Row],[Option 2]]="Yes",TB.ScopeEstimation[[#This Row],[WED]],0)</f>
        <v>0</v>
      </c>
      <c r="R91" s="1511">
        <f>IF(TB.ScopeEstimation[[#This Row],[Option 3]]="Yes",TB.ScopeEstimation[[#This Row],[WED]],0)</f>
        <v>0</v>
      </c>
      <c r="S91" s="1012"/>
      <c r="T91" s="1063"/>
      <c r="U91" s="629"/>
      <c r="V91" s="629"/>
      <c r="AE91" s="556"/>
    </row>
    <row r="92" spans="2:31" outlineLevel="1" x14ac:dyDescent="0.25">
      <c r="B92" s="628"/>
      <c r="C92" s="1163"/>
      <c r="D92" s="1165"/>
      <c r="E92" s="1165"/>
      <c r="F92" s="1169"/>
      <c r="G92" s="1167"/>
      <c r="H92" s="1167"/>
      <c r="I92" s="1167"/>
      <c r="J92" s="1167"/>
      <c r="K92" s="1167"/>
      <c r="L92" s="1168" t="str">
        <f>IFERROR(IF(ISBLANK(C92),"",(IF(OR($D$20="Consulting",$D$20="Digital - MarTech Consulting/Strategy")=TRUE,IFERROR(F92*(1+_xlfn.XLOOKUP(G92,'1. Project Inputs'!$I$39:$I$45,'1. Project Inputs'!$J$39:$J$45)),F92),IF(C92="E-Commerce",(_xlfn.XLOOKUP(G92,'Complexity Factors'!$B$12:$B$18,'Complexity Factors'!$C$12:$C$18)*2.9),IF(C92="Services/Integrations",_xlfn.XLOOKUP(G92,'Complexity Factors'!$D$12:$D$16,'Complexity Factors'!$E$12:$E$16)*_xlfn.XLOOKUP($D$26,'Complexity Factors'!$B$41:$B$44,'Complexity Factors'!$D$41:$D$44),IF(C92="UI",_xlfn.XLOOKUP(G92,'Complexity Factors'!$B$12:$B$18,'Complexity Factors'!$C$12:$C$18)*_xlfn.XLOOKUP($D$26,'Complexity Factors'!$B$41:$B$44,'Complexity Factors'!$D$41:$D$44),_xlfn.XLOOKUP(G92,'Complexity Factors'!$B$12:$B$18,'Complexity Factors'!$C$12:$C$18)*_xlfn.XLOOKUP($D$26,'Complexity Factors'!$B$41:$B$44,'Complexity Factors'!$C$41:$C$44))))))*(IF(TB.ScopeEstimation[[#This Row],[External Dependencies]]="",1,(1+_xlfn.XLOOKUP(K92,'Complexity Factors'!$B$24:$B$28,'Complexity Factors'!$C$24:$C$28))))),"")</f>
        <v/>
      </c>
      <c r="M92" s="1169"/>
      <c r="N92" s="1174"/>
      <c r="O92" s="1174"/>
      <c r="P92" s="1510">
        <f>IF(TB.ScopeEstimation[[#This Row],[Option 1]]="Yes",TB.ScopeEstimation[[#This Row],[WED]],0)</f>
        <v>0</v>
      </c>
      <c r="Q92" s="1510">
        <f>IF(TB.ScopeEstimation[[#This Row],[Option 2]]="Yes",TB.ScopeEstimation[[#This Row],[WED]],0)</f>
        <v>0</v>
      </c>
      <c r="R92" s="1510">
        <f>IF(TB.ScopeEstimation[[#This Row],[Option 3]]="Yes",TB.ScopeEstimation[[#This Row],[WED]],0)</f>
        <v>0</v>
      </c>
      <c r="S92" s="1167"/>
      <c r="T92" s="1172"/>
      <c r="U92" s="629"/>
      <c r="V92" s="629"/>
      <c r="AE92" s="556"/>
    </row>
    <row r="93" spans="2:31" outlineLevel="1" x14ac:dyDescent="0.25">
      <c r="B93" s="628"/>
      <c r="C93" s="1062"/>
      <c r="D93" s="1016"/>
      <c r="E93" s="1016"/>
      <c r="F93" s="1015"/>
      <c r="G93" s="1012"/>
      <c r="H93" s="1012"/>
      <c r="I93" s="1012"/>
      <c r="J93" s="1012"/>
      <c r="K93" s="1012"/>
      <c r="L93" s="1014" t="str">
        <f>IFERROR(IF(ISBLANK(C93),"",(IF(OR($D$20="Consulting",$D$20="Digital - MarTech Consulting/Strategy")=TRUE,IFERROR(F93*(1+_xlfn.XLOOKUP(G93,'1. Project Inputs'!$I$39:$I$45,'1. Project Inputs'!$J$39:$J$45)),F93),IF(C93="E-Commerce",(_xlfn.XLOOKUP(G93,'Complexity Factors'!$B$12:$B$18,'Complexity Factors'!$C$12:$C$18)*2.9),IF(C93="Services/Integrations",_xlfn.XLOOKUP(G93,'Complexity Factors'!$D$12:$D$16,'Complexity Factors'!$E$12:$E$16)*_xlfn.XLOOKUP($D$26,'Complexity Factors'!$B$41:$B$44,'Complexity Factors'!$D$41:$D$44),IF(C93="UI",_xlfn.XLOOKUP(G93,'Complexity Factors'!$B$12:$B$18,'Complexity Factors'!$C$12:$C$18)*_xlfn.XLOOKUP($D$26,'Complexity Factors'!$B$41:$B$44,'Complexity Factors'!$D$41:$D$44),_xlfn.XLOOKUP(G93,'Complexity Factors'!$B$12:$B$18,'Complexity Factors'!$C$12:$C$18)*_xlfn.XLOOKUP($D$26,'Complexity Factors'!$B$41:$B$44,'Complexity Factors'!$C$41:$C$44))))))*(IF(TB.ScopeEstimation[[#This Row],[External Dependencies]]="",1,(1+_xlfn.XLOOKUP(K93,'Complexity Factors'!$B$24:$B$28,'Complexity Factors'!$C$24:$C$28))))),"")</f>
        <v/>
      </c>
      <c r="M93" s="1015"/>
      <c r="N93" s="881"/>
      <c r="O93" s="881"/>
      <c r="P93" s="1511">
        <f>IF(TB.ScopeEstimation[[#This Row],[Option 1]]="Yes",TB.ScopeEstimation[[#This Row],[WED]],0)</f>
        <v>0</v>
      </c>
      <c r="Q93" s="1511">
        <f>IF(TB.ScopeEstimation[[#This Row],[Option 2]]="Yes",TB.ScopeEstimation[[#This Row],[WED]],0)</f>
        <v>0</v>
      </c>
      <c r="R93" s="1511">
        <f>IF(TB.ScopeEstimation[[#This Row],[Option 3]]="Yes",TB.ScopeEstimation[[#This Row],[WED]],0)</f>
        <v>0</v>
      </c>
      <c r="S93" s="1012"/>
      <c r="T93" s="1063"/>
      <c r="U93" s="629"/>
      <c r="V93" s="629"/>
      <c r="AE93" s="556"/>
    </row>
    <row r="94" spans="2:31" outlineLevel="1" x14ac:dyDescent="0.25">
      <c r="B94" s="628"/>
      <c r="C94" s="1163"/>
      <c r="D94" s="1165"/>
      <c r="E94" s="1165"/>
      <c r="F94" s="1169"/>
      <c r="G94" s="1167"/>
      <c r="H94" s="1167"/>
      <c r="I94" s="1167"/>
      <c r="J94" s="1167"/>
      <c r="K94" s="1167"/>
      <c r="L94" s="1168" t="str">
        <f>IFERROR(IF(ISBLANK(C94),"",(IF(OR($D$20="Consulting",$D$20="Digital - MarTech Consulting/Strategy")=TRUE,IFERROR(F94*(1+_xlfn.XLOOKUP(G94,'1. Project Inputs'!$I$39:$I$45,'1. Project Inputs'!$J$39:$J$45)),F94),IF(C94="E-Commerce",(_xlfn.XLOOKUP(G94,'Complexity Factors'!$B$12:$B$18,'Complexity Factors'!$C$12:$C$18)*2.9),IF(C94="Services/Integrations",_xlfn.XLOOKUP(G94,'Complexity Factors'!$D$12:$D$16,'Complexity Factors'!$E$12:$E$16)*_xlfn.XLOOKUP($D$26,'Complexity Factors'!$B$41:$B$44,'Complexity Factors'!$D$41:$D$44),IF(C94="UI",_xlfn.XLOOKUP(G94,'Complexity Factors'!$B$12:$B$18,'Complexity Factors'!$C$12:$C$18)*_xlfn.XLOOKUP($D$26,'Complexity Factors'!$B$41:$B$44,'Complexity Factors'!$D$41:$D$44),_xlfn.XLOOKUP(G94,'Complexity Factors'!$B$12:$B$18,'Complexity Factors'!$C$12:$C$18)*_xlfn.XLOOKUP($D$26,'Complexity Factors'!$B$41:$B$44,'Complexity Factors'!$C$41:$C$44))))))*(IF(TB.ScopeEstimation[[#This Row],[External Dependencies]]="",1,(1+_xlfn.XLOOKUP(K94,'Complexity Factors'!$B$24:$B$28,'Complexity Factors'!$C$24:$C$28))))),"")</f>
        <v/>
      </c>
      <c r="M94" s="1169"/>
      <c r="N94" s="1174"/>
      <c r="O94" s="1174"/>
      <c r="P94" s="1510">
        <f>IF(TB.ScopeEstimation[[#This Row],[Option 1]]="Yes",TB.ScopeEstimation[[#This Row],[WED]],0)</f>
        <v>0</v>
      </c>
      <c r="Q94" s="1510">
        <f>IF(TB.ScopeEstimation[[#This Row],[Option 2]]="Yes",TB.ScopeEstimation[[#This Row],[WED]],0)</f>
        <v>0</v>
      </c>
      <c r="R94" s="1510">
        <f>IF(TB.ScopeEstimation[[#This Row],[Option 3]]="Yes",TB.ScopeEstimation[[#This Row],[WED]],0)</f>
        <v>0</v>
      </c>
      <c r="S94" s="1167"/>
      <c r="T94" s="1172"/>
      <c r="U94" s="629"/>
      <c r="V94" s="629"/>
      <c r="AE94" s="556"/>
    </row>
    <row r="95" spans="2:31" outlineLevel="1" x14ac:dyDescent="0.25">
      <c r="B95" s="628"/>
      <c r="C95" s="1062"/>
      <c r="D95" s="1016"/>
      <c r="E95" s="1016"/>
      <c r="F95" s="1015"/>
      <c r="G95" s="1012"/>
      <c r="H95" s="1012"/>
      <c r="I95" s="1012"/>
      <c r="J95" s="1012"/>
      <c r="K95" s="1012"/>
      <c r="L95" s="1014" t="str">
        <f>IFERROR(IF(ISBLANK(C95),"",(IF(OR($D$20="Consulting",$D$20="Digital - MarTech Consulting/Strategy")=TRUE,IFERROR(F95*(1+_xlfn.XLOOKUP(G95,'1. Project Inputs'!$I$39:$I$45,'1. Project Inputs'!$J$39:$J$45)),F95),IF(C95="E-Commerce",(_xlfn.XLOOKUP(G95,'Complexity Factors'!$B$12:$B$18,'Complexity Factors'!$C$12:$C$18)*2.9),IF(C95="Services/Integrations",_xlfn.XLOOKUP(G95,'Complexity Factors'!$D$12:$D$16,'Complexity Factors'!$E$12:$E$16)*_xlfn.XLOOKUP($D$26,'Complexity Factors'!$B$41:$B$44,'Complexity Factors'!$D$41:$D$44),IF(C95="UI",_xlfn.XLOOKUP(G95,'Complexity Factors'!$B$12:$B$18,'Complexity Factors'!$C$12:$C$18)*_xlfn.XLOOKUP($D$26,'Complexity Factors'!$B$41:$B$44,'Complexity Factors'!$D$41:$D$44),_xlfn.XLOOKUP(G95,'Complexity Factors'!$B$12:$B$18,'Complexity Factors'!$C$12:$C$18)*_xlfn.XLOOKUP($D$26,'Complexity Factors'!$B$41:$B$44,'Complexity Factors'!$C$41:$C$44))))))*(IF(TB.ScopeEstimation[[#This Row],[External Dependencies]]="",1,(1+_xlfn.XLOOKUP(K95,'Complexity Factors'!$B$24:$B$28,'Complexity Factors'!$C$24:$C$28))))),"")</f>
        <v/>
      </c>
      <c r="M95" s="1015"/>
      <c r="N95" s="881"/>
      <c r="O95" s="881"/>
      <c r="P95" s="1511">
        <f>IF(TB.ScopeEstimation[[#This Row],[Option 1]]="Yes",TB.ScopeEstimation[[#This Row],[WED]],0)</f>
        <v>0</v>
      </c>
      <c r="Q95" s="1511">
        <f>IF(TB.ScopeEstimation[[#This Row],[Option 2]]="Yes",TB.ScopeEstimation[[#This Row],[WED]],0)</f>
        <v>0</v>
      </c>
      <c r="R95" s="1511">
        <f>IF(TB.ScopeEstimation[[#This Row],[Option 3]]="Yes",TB.ScopeEstimation[[#This Row],[WED]],0)</f>
        <v>0</v>
      </c>
      <c r="S95" s="1012"/>
      <c r="T95" s="1063"/>
      <c r="U95" s="629"/>
      <c r="V95" s="629"/>
      <c r="AE95" s="556"/>
    </row>
    <row r="96" spans="2:31" outlineLevel="1" x14ac:dyDescent="0.25">
      <c r="B96" s="628"/>
      <c r="C96" s="1163"/>
      <c r="D96" s="1165"/>
      <c r="E96" s="1165"/>
      <c r="F96" s="1169"/>
      <c r="G96" s="1167"/>
      <c r="H96" s="1167"/>
      <c r="I96" s="1167"/>
      <c r="J96" s="1167"/>
      <c r="K96" s="1167"/>
      <c r="L96" s="1168" t="str">
        <f>IFERROR(IF(ISBLANK(C96),"",(IF(OR($D$20="Consulting",$D$20="Digital - MarTech Consulting/Strategy")=TRUE,IFERROR(F96*(1+_xlfn.XLOOKUP(G96,'1. Project Inputs'!$I$39:$I$45,'1. Project Inputs'!$J$39:$J$45)),F96),IF(C96="E-Commerce",(_xlfn.XLOOKUP(G96,'Complexity Factors'!$B$12:$B$18,'Complexity Factors'!$C$12:$C$18)*2.9),IF(C96="Services/Integrations",_xlfn.XLOOKUP(G96,'Complexity Factors'!$D$12:$D$16,'Complexity Factors'!$E$12:$E$16)*_xlfn.XLOOKUP($D$26,'Complexity Factors'!$B$41:$B$44,'Complexity Factors'!$D$41:$D$44),IF(C96="UI",_xlfn.XLOOKUP(G96,'Complexity Factors'!$B$12:$B$18,'Complexity Factors'!$C$12:$C$18)*_xlfn.XLOOKUP($D$26,'Complexity Factors'!$B$41:$B$44,'Complexity Factors'!$D$41:$D$44),_xlfn.XLOOKUP(G96,'Complexity Factors'!$B$12:$B$18,'Complexity Factors'!$C$12:$C$18)*_xlfn.XLOOKUP($D$26,'Complexity Factors'!$B$41:$B$44,'Complexity Factors'!$C$41:$C$44))))))*(IF(TB.ScopeEstimation[[#This Row],[External Dependencies]]="",1,(1+_xlfn.XLOOKUP(K96,'Complexity Factors'!$B$24:$B$28,'Complexity Factors'!$C$24:$C$28))))),"")</f>
        <v/>
      </c>
      <c r="M96" s="1169"/>
      <c r="N96" s="1174"/>
      <c r="O96" s="1174"/>
      <c r="P96" s="1510">
        <f>IF(TB.ScopeEstimation[[#This Row],[Option 1]]="Yes",TB.ScopeEstimation[[#This Row],[WED]],0)</f>
        <v>0</v>
      </c>
      <c r="Q96" s="1510">
        <f>IF(TB.ScopeEstimation[[#This Row],[Option 2]]="Yes",TB.ScopeEstimation[[#This Row],[WED]],0)</f>
        <v>0</v>
      </c>
      <c r="R96" s="1510">
        <f>IF(TB.ScopeEstimation[[#This Row],[Option 3]]="Yes",TB.ScopeEstimation[[#This Row],[WED]],0)</f>
        <v>0</v>
      </c>
      <c r="S96" s="1167"/>
      <c r="T96" s="1172"/>
      <c r="U96" s="629"/>
      <c r="V96" s="629"/>
      <c r="AE96" s="556"/>
    </row>
    <row r="97" spans="2:31" outlineLevel="1" x14ac:dyDescent="0.25">
      <c r="B97" s="628"/>
      <c r="C97" s="1062"/>
      <c r="D97" s="1016"/>
      <c r="E97" s="1016"/>
      <c r="F97" s="1015"/>
      <c r="G97" s="1012"/>
      <c r="H97" s="1012"/>
      <c r="I97" s="1012"/>
      <c r="J97" s="1012"/>
      <c r="K97" s="1012"/>
      <c r="L97" s="1014" t="str">
        <f>IFERROR(IF(ISBLANK(C97),"",(IF(OR($D$20="Consulting",$D$20="Digital - MarTech Consulting/Strategy")=TRUE,IFERROR(F97*(1+_xlfn.XLOOKUP(G97,'1. Project Inputs'!$I$39:$I$45,'1. Project Inputs'!$J$39:$J$45)),F97),IF(C97="E-Commerce",(_xlfn.XLOOKUP(G97,'Complexity Factors'!$B$12:$B$18,'Complexity Factors'!$C$12:$C$18)*2.9),IF(C97="Services/Integrations",_xlfn.XLOOKUP(G97,'Complexity Factors'!$D$12:$D$16,'Complexity Factors'!$E$12:$E$16)*_xlfn.XLOOKUP($D$26,'Complexity Factors'!$B$41:$B$44,'Complexity Factors'!$D$41:$D$44),IF(C97="UI",_xlfn.XLOOKUP(G97,'Complexity Factors'!$B$12:$B$18,'Complexity Factors'!$C$12:$C$18)*_xlfn.XLOOKUP($D$26,'Complexity Factors'!$B$41:$B$44,'Complexity Factors'!$D$41:$D$44),_xlfn.XLOOKUP(G97,'Complexity Factors'!$B$12:$B$18,'Complexity Factors'!$C$12:$C$18)*_xlfn.XLOOKUP($D$26,'Complexity Factors'!$B$41:$B$44,'Complexity Factors'!$C$41:$C$44))))))*(IF(TB.ScopeEstimation[[#This Row],[External Dependencies]]="",1,(1+_xlfn.XLOOKUP(K97,'Complexity Factors'!$B$24:$B$28,'Complexity Factors'!$C$24:$C$28))))),"")</f>
        <v/>
      </c>
      <c r="M97" s="1015"/>
      <c r="N97" s="881"/>
      <c r="O97" s="881"/>
      <c r="P97" s="1511">
        <f>IF(TB.ScopeEstimation[[#This Row],[Option 1]]="Yes",TB.ScopeEstimation[[#This Row],[WED]],0)</f>
        <v>0</v>
      </c>
      <c r="Q97" s="1511">
        <f>IF(TB.ScopeEstimation[[#This Row],[Option 2]]="Yes",TB.ScopeEstimation[[#This Row],[WED]],0)</f>
        <v>0</v>
      </c>
      <c r="R97" s="1511">
        <f>IF(TB.ScopeEstimation[[#This Row],[Option 3]]="Yes",TB.ScopeEstimation[[#This Row],[WED]],0)</f>
        <v>0</v>
      </c>
      <c r="S97" s="1012"/>
      <c r="T97" s="1063"/>
      <c r="U97" s="629"/>
      <c r="V97" s="629"/>
      <c r="AE97" s="556"/>
    </row>
    <row r="98" spans="2:31" outlineLevel="1" x14ac:dyDescent="0.25">
      <c r="B98" s="628"/>
      <c r="C98" s="1163"/>
      <c r="D98" s="1165"/>
      <c r="E98" s="1165"/>
      <c r="F98" s="1169"/>
      <c r="G98" s="1167"/>
      <c r="H98" s="1167"/>
      <c r="I98" s="1167"/>
      <c r="J98" s="1167"/>
      <c r="K98" s="1167"/>
      <c r="L98" s="1168" t="str">
        <f>IFERROR(IF(ISBLANK(C98),"",(IF(OR($D$20="Consulting",$D$20="Digital - MarTech Consulting/Strategy")=TRUE,IFERROR(F98*(1+_xlfn.XLOOKUP(G98,'1. Project Inputs'!$I$39:$I$45,'1. Project Inputs'!$J$39:$J$45)),F98),IF(C98="E-Commerce",(_xlfn.XLOOKUP(G98,'Complexity Factors'!$B$12:$B$18,'Complexity Factors'!$C$12:$C$18)*2.9),IF(C98="Services/Integrations",_xlfn.XLOOKUP(G98,'Complexity Factors'!$D$12:$D$16,'Complexity Factors'!$E$12:$E$16)*_xlfn.XLOOKUP($D$26,'Complexity Factors'!$B$41:$B$44,'Complexity Factors'!$D$41:$D$44),IF(C98="UI",_xlfn.XLOOKUP(G98,'Complexity Factors'!$B$12:$B$18,'Complexity Factors'!$C$12:$C$18)*_xlfn.XLOOKUP($D$26,'Complexity Factors'!$B$41:$B$44,'Complexity Factors'!$D$41:$D$44),_xlfn.XLOOKUP(G98,'Complexity Factors'!$B$12:$B$18,'Complexity Factors'!$C$12:$C$18)*_xlfn.XLOOKUP($D$26,'Complexity Factors'!$B$41:$B$44,'Complexity Factors'!$C$41:$C$44))))))*(IF(TB.ScopeEstimation[[#This Row],[External Dependencies]]="",1,(1+_xlfn.XLOOKUP(K98,'Complexity Factors'!$B$24:$B$28,'Complexity Factors'!$C$24:$C$28))))),"")</f>
        <v/>
      </c>
      <c r="M98" s="1169"/>
      <c r="N98" s="1174"/>
      <c r="O98" s="1174"/>
      <c r="P98" s="1510">
        <f>IF(TB.ScopeEstimation[[#This Row],[Option 1]]="Yes",TB.ScopeEstimation[[#This Row],[WED]],0)</f>
        <v>0</v>
      </c>
      <c r="Q98" s="1510">
        <f>IF(TB.ScopeEstimation[[#This Row],[Option 2]]="Yes",TB.ScopeEstimation[[#This Row],[WED]],0)</f>
        <v>0</v>
      </c>
      <c r="R98" s="1510">
        <f>IF(TB.ScopeEstimation[[#This Row],[Option 3]]="Yes",TB.ScopeEstimation[[#This Row],[WED]],0)</f>
        <v>0</v>
      </c>
      <c r="S98" s="1167"/>
      <c r="T98" s="1172"/>
      <c r="U98" s="629"/>
      <c r="V98" s="629"/>
      <c r="AE98" s="556"/>
    </row>
    <row r="99" spans="2:31" outlineLevel="1" x14ac:dyDescent="0.25">
      <c r="B99" s="628"/>
      <c r="C99" s="1062"/>
      <c r="D99" s="1016"/>
      <c r="E99" s="1016"/>
      <c r="F99" s="1015"/>
      <c r="G99" s="1012"/>
      <c r="H99" s="1012"/>
      <c r="I99" s="1012"/>
      <c r="J99" s="1012"/>
      <c r="K99" s="1012"/>
      <c r="L99" s="1014" t="str">
        <f>IFERROR(IF(ISBLANK(C99),"",(IF(OR($D$20="Consulting",$D$20="Digital - MarTech Consulting/Strategy")=TRUE,IFERROR(F99*(1+_xlfn.XLOOKUP(G99,'1. Project Inputs'!$I$39:$I$45,'1. Project Inputs'!$J$39:$J$45)),F99),IF(C99="E-Commerce",(_xlfn.XLOOKUP(G99,'Complexity Factors'!$B$12:$B$18,'Complexity Factors'!$C$12:$C$18)*2.9),IF(C99="Services/Integrations",_xlfn.XLOOKUP(G99,'Complexity Factors'!$D$12:$D$16,'Complexity Factors'!$E$12:$E$16)*_xlfn.XLOOKUP($D$26,'Complexity Factors'!$B$41:$B$44,'Complexity Factors'!$D$41:$D$44),IF(C99="UI",_xlfn.XLOOKUP(G99,'Complexity Factors'!$B$12:$B$18,'Complexity Factors'!$C$12:$C$18)*_xlfn.XLOOKUP($D$26,'Complexity Factors'!$B$41:$B$44,'Complexity Factors'!$D$41:$D$44),_xlfn.XLOOKUP(G99,'Complexity Factors'!$B$12:$B$18,'Complexity Factors'!$C$12:$C$18)*_xlfn.XLOOKUP($D$26,'Complexity Factors'!$B$41:$B$44,'Complexity Factors'!$C$41:$C$44))))))*(IF(TB.ScopeEstimation[[#This Row],[External Dependencies]]="",1,(1+_xlfn.XLOOKUP(K99,'Complexity Factors'!$B$24:$B$28,'Complexity Factors'!$C$24:$C$28))))),"")</f>
        <v/>
      </c>
      <c r="M99" s="1015"/>
      <c r="N99" s="881"/>
      <c r="O99" s="881"/>
      <c r="P99" s="1511">
        <f>IF(TB.ScopeEstimation[[#This Row],[Option 1]]="Yes",TB.ScopeEstimation[[#This Row],[WED]],0)</f>
        <v>0</v>
      </c>
      <c r="Q99" s="1511">
        <f>IF(TB.ScopeEstimation[[#This Row],[Option 2]]="Yes",TB.ScopeEstimation[[#This Row],[WED]],0)</f>
        <v>0</v>
      </c>
      <c r="R99" s="1511">
        <f>IF(TB.ScopeEstimation[[#This Row],[Option 3]]="Yes",TB.ScopeEstimation[[#This Row],[WED]],0)</f>
        <v>0</v>
      </c>
      <c r="S99" s="1012"/>
      <c r="T99" s="1063"/>
      <c r="U99" s="629"/>
      <c r="V99" s="629"/>
      <c r="AE99" s="556"/>
    </row>
    <row r="100" spans="2:31" outlineLevel="1" x14ac:dyDescent="0.25">
      <c r="B100" s="628"/>
      <c r="C100" s="1163"/>
      <c r="D100" s="1165"/>
      <c r="E100" s="1165"/>
      <c r="F100" s="1169"/>
      <c r="G100" s="1167"/>
      <c r="H100" s="1167"/>
      <c r="I100" s="1167"/>
      <c r="J100" s="1167"/>
      <c r="K100" s="1167"/>
      <c r="L100" s="1168" t="str">
        <f>IFERROR(IF(ISBLANK(C100),"",(IF(OR($D$20="Consulting",$D$20="Digital - MarTech Consulting/Strategy")=TRUE,IFERROR(F100*(1+_xlfn.XLOOKUP(G100,'1. Project Inputs'!$I$39:$I$45,'1. Project Inputs'!$J$39:$J$45)),F100),IF(C100="E-Commerce",(_xlfn.XLOOKUP(G100,'Complexity Factors'!$B$12:$B$18,'Complexity Factors'!$C$12:$C$18)*2.9),IF(C100="Services/Integrations",_xlfn.XLOOKUP(G100,'Complexity Factors'!$D$12:$D$16,'Complexity Factors'!$E$12:$E$16)*_xlfn.XLOOKUP($D$26,'Complexity Factors'!$B$41:$B$44,'Complexity Factors'!$D$41:$D$44),IF(C100="UI",_xlfn.XLOOKUP(G100,'Complexity Factors'!$B$12:$B$18,'Complexity Factors'!$C$12:$C$18)*_xlfn.XLOOKUP($D$26,'Complexity Factors'!$B$41:$B$44,'Complexity Factors'!$D$41:$D$44),_xlfn.XLOOKUP(G100,'Complexity Factors'!$B$12:$B$18,'Complexity Factors'!$C$12:$C$18)*_xlfn.XLOOKUP($D$26,'Complexity Factors'!$B$41:$B$44,'Complexity Factors'!$C$41:$C$44))))))*(IF(TB.ScopeEstimation[[#This Row],[External Dependencies]]="",1,(1+_xlfn.XLOOKUP(K100,'Complexity Factors'!$B$24:$B$28,'Complexity Factors'!$C$24:$C$28))))),"")</f>
        <v/>
      </c>
      <c r="M100" s="1169"/>
      <c r="N100" s="1174"/>
      <c r="O100" s="1174"/>
      <c r="P100" s="1510">
        <f>IF(TB.ScopeEstimation[[#This Row],[Option 1]]="Yes",TB.ScopeEstimation[[#This Row],[WED]],0)</f>
        <v>0</v>
      </c>
      <c r="Q100" s="1510">
        <f>IF(TB.ScopeEstimation[[#This Row],[Option 2]]="Yes",TB.ScopeEstimation[[#This Row],[WED]],0)</f>
        <v>0</v>
      </c>
      <c r="R100" s="1510">
        <f>IF(TB.ScopeEstimation[[#This Row],[Option 3]]="Yes",TB.ScopeEstimation[[#This Row],[WED]],0)</f>
        <v>0</v>
      </c>
      <c r="S100" s="1167"/>
      <c r="T100" s="1172"/>
      <c r="U100" s="629"/>
      <c r="V100" s="629"/>
      <c r="AE100" s="556"/>
    </row>
    <row r="101" spans="2:31" outlineLevel="1" x14ac:dyDescent="0.25">
      <c r="B101" s="628"/>
      <c r="C101" s="1062"/>
      <c r="D101" s="1016"/>
      <c r="E101" s="1016"/>
      <c r="F101" s="1015"/>
      <c r="G101" s="1012"/>
      <c r="H101" s="1012"/>
      <c r="I101" s="1012"/>
      <c r="J101" s="1012"/>
      <c r="K101" s="1012"/>
      <c r="L101" s="1014" t="str">
        <f>IFERROR(IF(ISBLANK(C101),"",(IF(OR($D$20="Consulting",$D$20="Digital - MarTech Consulting/Strategy")=TRUE,IFERROR(F101*(1+_xlfn.XLOOKUP(G101,'1. Project Inputs'!$I$39:$I$45,'1. Project Inputs'!$J$39:$J$45)),F101),IF(C101="E-Commerce",(_xlfn.XLOOKUP(G101,'Complexity Factors'!$B$12:$B$18,'Complexity Factors'!$C$12:$C$18)*2.9),IF(C101="Services/Integrations",_xlfn.XLOOKUP(G101,'Complexity Factors'!$D$12:$D$16,'Complexity Factors'!$E$12:$E$16)*_xlfn.XLOOKUP($D$26,'Complexity Factors'!$B$41:$B$44,'Complexity Factors'!$D$41:$D$44),IF(C101="UI",_xlfn.XLOOKUP(G101,'Complexity Factors'!$B$12:$B$18,'Complexity Factors'!$C$12:$C$18)*_xlfn.XLOOKUP($D$26,'Complexity Factors'!$B$41:$B$44,'Complexity Factors'!$D$41:$D$44),_xlfn.XLOOKUP(G101,'Complexity Factors'!$B$12:$B$18,'Complexity Factors'!$C$12:$C$18)*_xlfn.XLOOKUP($D$26,'Complexity Factors'!$B$41:$B$44,'Complexity Factors'!$C$41:$C$44))))))*(IF(TB.ScopeEstimation[[#This Row],[External Dependencies]]="",1,(1+_xlfn.XLOOKUP(K101,'Complexity Factors'!$B$24:$B$28,'Complexity Factors'!$C$24:$C$28))))),"")</f>
        <v/>
      </c>
      <c r="M101" s="1015"/>
      <c r="N101" s="881"/>
      <c r="O101" s="881"/>
      <c r="P101" s="1511">
        <f>IF(TB.ScopeEstimation[[#This Row],[Option 1]]="Yes",TB.ScopeEstimation[[#This Row],[WED]],0)</f>
        <v>0</v>
      </c>
      <c r="Q101" s="1511">
        <f>IF(TB.ScopeEstimation[[#This Row],[Option 2]]="Yes",TB.ScopeEstimation[[#This Row],[WED]],0)</f>
        <v>0</v>
      </c>
      <c r="R101" s="1511">
        <f>IF(TB.ScopeEstimation[[#This Row],[Option 3]]="Yes",TB.ScopeEstimation[[#This Row],[WED]],0)</f>
        <v>0</v>
      </c>
      <c r="S101" s="1012"/>
      <c r="T101" s="1063"/>
      <c r="U101" s="629"/>
      <c r="V101" s="629"/>
      <c r="AE101" s="556"/>
    </row>
    <row r="102" spans="2:31" outlineLevel="1" x14ac:dyDescent="0.25">
      <c r="B102" s="628"/>
      <c r="C102" s="1163"/>
      <c r="D102" s="1165"/>
      <c r="E102" s="1165"/>
      <c r="F102" s="1169"/>
      <c r="G102" s="1167"/>
      <c r="H102" s="1167"/>
      <c r="I102" s="1167"/>
      <c r="J102" s="1167"/>
      <c r="K102" s="1167"/>
      <c r="L102" s="1168" t="str">
        <f>IFERROR(IF(ISBLANK(C102),"",(IF(OR($D$20="Consulting",$D$20="Digital - MarTech Consulting/Strategy")=TRUE,IFERROR(F102*(1+_xlfn.XLOOKUP(G102,'1. Project Inputs'!$I$39:$I$45,'1. Project Inputs'!$J$39:$J$45)),F102),IF(C102="E-Commerce",(_xlfn.XLOOKUP(G102,'Complexity Factors'!$B$12:$B$18,'Complexity Factors'!$C$12:$C$18)*2.9),IF(C102="Services/Integrations",_xlfn.XLOOKUP(G102,'Complexity Factors'!$D$12:$D$16,'Complexity Factors'!$E$12:$E$16)*_xlfn.XLOOKUP($D$26,'Complexity Factors'!$B$41:$B$44,'Complexity Factors'!$D$41:$D$44),IF(C102="UI",_xlfn.XLOOKUP(G102,'Complexity Factors'!$B$12:$B$18,'Complexity Factors'!$C$12:$C$18)*_xlfn.XLOOKUP($D$26,'Complexity Factors'!$B$41:$B$44,'Complexity Factors'!$D$41:$D$44),_xlfn.XLOOKUP(G102,'Complexity Factors'!$B$12:$B$18,'Complexity Factors'!$C$12:$C$18)*_xlfn.XLOOKUP($D$26,'Complexity Factors'!$B$41:$B$44,'Complexity Factors'!$C$41:$C$44))))))*(IF(TB.ScopeEstimation[[#This Row],[External Dependencies]]="",1,(1+_xlfn.XLOOKUP(K102,'Complexity Factors'!$B$24:$B$28,'Complexity Factors'!$C$24:$C$28))))),"")</f>
        <v/>
      </c>
      <c r="M102" s="1169"/>
      <c r="N102" s="1174"/>
      <c r="O102" s="1174"/>
      <c r="P102" s="1510">
        <f>IF(TB.ScopeEstimation[[#This Row],[Option 1]]="Yes",TB.ScopeEstimation[[#This Row],[WED]],0)</f>
        <v>0</v>
      </c>
      <c r="Q102" s="1510">
        <f>IF(TB.ScopeEstimation[[#This Row],[Option 2]]="Yes",TB.ScopeEstimation[[#This Row],[WED]],0)</f>
        <v>0</v>
      </c>
      <c r="R102" s="1510">
        <f>IF(TB.ScopeEstimation[[#This Row],[Option 3]]="Yes",TB.ScopeEstimation[[#This Row],[WED]],0)</f>
        <v>0</v>
      </c>
      <c r="S102" s="1167"/>
      <c r="T102" s="1172"/>
      <c r="U102" s="629"/>
      <c r="V102" s="629"/>
      <c r="AE102" s="556"/>
    </row>
    <row r="103" spans="2:31" outlineLevel="1" x14ac:dyDescent="0.25">
      <c r="B103" s="628"/>
      <c r="C103" s="1062"/>
      <c r="D103" s="1016"/>
      <c r="E103" s="1016"/>
      <c r="F103" s="1015"/>
      <c r="G103" s="1012"/>
      <c r="H103" s="1012"/>
      <c r="I103" s="1012"/>
      <c r="J103" s="1012"/>
      <c r="K103" s="1012"/>
      <c r="L103" s="1014" t="str">
        <f>IFERROR(IF(ISBLANK(C103),"",(IF(OR($D$20="Consulting",$D$20="Digital - MarTech Consulting/Strategy")=TRUE,IFERROR(F103*(1+_xlfn.XLOOKUP(G103,'1. Project Inputs'!$I$39:$I$45,'1. Project Inputs'!$J$39:$J$45)),F103),IF(C103="E-Commerce",(_xlfn.XLOOKUP(G103,'Complexity Factors'!$B$12:$B$18,'Complexity Factors'!$C$12:$C$18)*2.9),IF(C103="Services/Integrations",_xlfn.XLOOKUP(G103,'Complexity Factors'!$D$12:$D$16,'Complexity Factors'!$E$12:$E$16)*_xlfn.XLOOKUP($D$26,'Complexity Factors'!$B$41:$B$44,'Complexity Factors'!$D$41:$D$44),IF(C103="UI",_xlfn.XLOOKUP(G103,'Complexity Factors'!$B$12:$B$18,'Complexity Factors'!$C$12:$C$18)*_xlfn.XLOOKUP($D$26,'Complexity Factors'!$B$41:$B$44,'Complexity Factors'!$D$41:$D$44),_xlfn.XLOOKUP(G103,'Complexity Factors'!$B$12:$B$18,'Complexity Factors'!$C$12:$C$18)*_xlfn.XLOOKUP($D$26,'Complexity Factors'!$B$41:$B$44,'Complexity Factors'!$C$41:$C$44))))))*(IF(TB.ScopeEstimation[[#This Row],[External Dependencies]]="",1,(1+_xlfn.XLOOKUP(K103,'Complexity Factors'!$B$24:$B$28,'Complexity Factors'!$C$24:$C$28))))),"")</f>
        <v/>
      </c>
      <c r="M103" s="1015"/>
      <c r="N103" s="881"/>
      <c r="O103" s="881"/>
      <c r="P103" s="1511">
        <f>IF(TB.ScopeEstimation[[#This Row],[Option 1]]="Yes",TB.ScopeEstimation[[#This Row],[WED]],0)</f>
        <v>0</v>
      </c>
      <c r="Q103" s="1511">
        <f>IF(TB.ScopeEstimation[[#This Row],[Option 2]]="Yes",TB.ScopeEstimation[[#This Row],[WED]],0)</f>
        <v>0</v>
      </c>
      <c r="R103" s="1511">
        <f>IF(TB.ScopeEstimation[[#This Row],[Option 3]]="Yes",TB.ScopeEstimation[[#This Row],[WED]],0)</f>
        <v>0</v>
      </c>
      <c r="S103" s="1012"/>
      <c r="T103" s="1063"/>
      <c r="U103" s="629"/>
      <c r="V103" s="629"/>
      <c r="AE103" s="556"/>
    </row>
    <row r="104" spans="2:31" outlineLevel="1" x14ac:dyDescent="0.25">
      <c r="B104" s="628"/>
      <c r="C104" s="1163"/>
      <c r="D104" s="1165"/>
      <c r="E104" s="1165"/>
      <c r="F104" s="1169"/>
      <c r="G104" s="1167"/>
      <c r="H104" s="1167"/>
      <c r="I104" s="1167"/>
      <c r="J104" s="1167"/>
      <c r="K104" s="1167"/>
      <c r="L104" s="1168" t="str">
        <f>IFERROR(IF(ISBLANK(C104),"",(IF(OR($D$20="Consulting",$D$20="Digital - MarTech Consulting/Strategy")=TRUE,IFERROR(F104*(1+_xlfn.XLOOKUP(G104,'1. Project Inputs'!$I$39:$I$45,'1. Project Inputs'!$J$39:$J$45)),F104),IF(C104="E-Commerce",(_xlfn.XLOOKUP(G104,'Complexity Factors'!$B$12:$B$18,'Complexity Factors'!$C$12:$C$18)*2.9),IF(C104="Services/Integrations",_xlfn.XLOOKUP(G104,'Complexity Factors'!$D$12:$D$16,'Complexity Factors'!$E$12:$E$16)*_xlfn.XLOOKUP($D$26,'Complexity Factors'!$B$41:$B$44,'Complexity Factors'!$D$41:$D$44),IF(C104="UI",_xlfn.XLOOKUP(G104,'Complexity Factors'!$B$12:$B$18,'Complexity Factors'!$C$12:$C$18)*_xlfn.XLOOKUP($D$26,'Complexity Factors'!$B$41:$B$44,'Complexity Factors'!$D$41:$D$44),_xlfn.XLOOKUP(G104,'Complexity Factors'!$B$12:$B$18,'Complexity Factors'!$C$12:$C$18)*_xlfn.XLOOKUP($D$26,'Complexity Factors'!$B$41:$B$44,'Complexity Factors'!$C$41:$C$44))))))*(IF(TB.ScopeEstimation[[#This Row],[External Dependencies]]="",1,(1+_xlfn.XLOOKUP(K104,'Complexity Factors'!$B$24:$B$28,'Complexity Factors'!$C$24:$C$28))))),"")</f>
        <v/>
      </c>
      <c r="M104" s="1169"/>
      <c r="N104" s="1174"/>
      <c r="O104" s="1174"/>
      <c r="P104" s="1510">
        <f>IF(TB.ScopeEstimation[[#This Row],[Option 1]]="Yes",TB.ScopeEstimation[[#This Row],[WED]],0)</f>
        <v>0</v>
      </c>
      <c r="Q104" s="1510">
        <f>IF(TB.ScopeEstimation[[#This Row],[Option 2]]="Yes",TB.ScopeEstimation[[#This Row],[WED]],0)</f>
        <v>0</v>
      </c>
      <c r="R104" s="1510">
        <f>IF(TB.ScopeEstimation[[#This Row],[Option 3]]="Yes",TB.ScopeEstimation[[#This Row],[WED]],0)</f>
        <v>0</v>
      </c>
      <c r="S104" s="1167"/>
      <c r="T104" s="1172"/>
      <c r="U104" s="629"/>
      <c r="V104" s="629"/>
      <c r="AE104" s="556"/>
    </row>
    <row r="105" spans="2:31" outlineLevel="1" x14ac:dyDescent="0.25">
      <c r="B105" s="628"/>
      <c r="C105" s="1062"/>
      <c r="D105" s="1016"/>
      <c r="E105" s="1016"/>
      <c r="F105" s="1015"/>
      <c r="G105" s="1012"/>
      <c r="H105" s="1012"/>
      <c r="I105" s="1012"/>
      <c r="J105" s="1012"/>
      <c r="K105" s="1012"/>
      <c r="L105" s="1014" t="str">
        <f>IFERROR(IF(ISBLANK(C105),"",(IF(OR($D$20="Consulting",$D$20="Digital - MarTech Consulting/Strategy")=TRUE,IFERROR(F105*(1+_xlfn.XLOOKUP(G105,'1. Project Inputs'!$I$39:$I$45,'1. Project Inputs'!$J$39:$J$45)),F105),IF(C105="E-Commerce",(_xlfn.XLOOKUP(G105,'Complexity Factors'!$B$12:$B$18,'Complexity Factors'!$C$12:$C$18)*2.9),IF(C105="Services/Integrations",_xlfn.XLOOKUP(G105,'Complexity Factors'!$D$12:$D$16,'Complexity Factors'!$E$12:$E$16)*_xlfn.XLOOKUP($D$26,'Complexity Factors'!$B$41:$B$44,'Complexity Factors'!$D$41:$D$44),IF(C105="UI",_xlfn.XLOOKUP(G105,'Complexity Factors'!$B$12:$B$18,'Complexity Factors'!$C$12:$C$18)*_xlfn.XLOOKUP($D$26,'Complexity Factors'!$B$41:$B$44,'Complexity Factors'!$D$41:$D$44),_xlfn.XLOOKUP(G105,'Complexity Factors'!$B$12:$B$18,'Complexity Factors'!$C$12:$C$18)*_xlfn.XLOOKUP($D$26,'Complexity Factors'!$B$41:$B$44,'Complexity Factors'!$C$41:$C$44))))))*(IF(TB.ScopeEstimation[[#This Row],[External Dependencies]]="",1,(1+_xlfn.XLOOKUP(K105,'Complexity Factors'!$B$24:$B$28,'Complexity Factors'!$C$24:$C$28))))),"")</f>
        <v/>
      </c>
      <c r="M105" s="1015"/>
      <c r="N105" s="881"/>
      <c r="O105" s="881"/>
      <c r="P105" s="1511">
        <f>IF(TB.ScopeEstimation[[#This Row],[Option 1]]="Yes",TB.ScopeEstimation[[#This Row],[WED]],0)</f>
        <v>0</v>
      </c>
      <c r="Q105" s="1511">
        <f>IF(TB.ScopeEstimation[[#This Row],[Option 2]]="Yes",TB.ScopeEstimation[[#This Row],[WED]],0)</f>
        <v>0</v>
      </c>
      <c r="R105" s="1511">
        <f>IF(TB.ScopeEstimation[[#This Row],[Option 3]]="Yes",TB.ScopeEstimation[[#This Row],[WED]],0)</f>
        <v>0</v>
      </c>
      <c r="S105" s="1012"/>
      <c r="T105" s="1063"/>
      <c r="U105" s="629"/>
      <c r="V105" s="629"/>
      <c r="AE105" s="556"/>
    </row>
    <row r="106" spans="2:31" outlineLevel="1" x14ac:dyDescent="0.25">
      <c r="B106" s="628"/>
      <c r="C106" s="1163"/>
      <c r="D106" s="1165"/>
      <c r="E106" s="1165"/>
      <c r="F106" s="1169"/>
      <c r="G106" s="1167"/>
      <c r="H106" s="1167"/>
      <c r="I106" s="1167"/>
      <c r="J106" s="1167"/>
      <c r="K106" s="1167"/>
      <c r="L106" s="1168" t="str">
        <f>IFERROR(IF(ISBLANK(C106),"",(IF(OR($D$20="Consulting",$D$20="Digital - MarTech Consulting/Strategy")=TRUE,IFERROR(F106*(1+_xlfn.XLOOKUP(G106,'1. Project Inputs'!$I$39:$I$45,'1. Project Inputs'!$J$39:$J$45)),F106),IF(C106="E-Commerce",(_xlfn.XLOOKUP(G106,'Complexity Factors'!$B$12:$B$18,'Complexity Factors'!$C$12:$C$18)*2.9),IF(C106="Services/Integrations",_xlfn.XLOOKUP(G106,'Complexity Factors'!$D$12:$D$16,'Complexity Factors'!$E$12:$E$16)*_xlfn.XLOOKUP($D$26,'Complexity Factors'!$B$41:$B$44,'Complexity Factors'!$D$41:$D$44),IF(C106="UI",_xlfn.XLOOKUP(G106,'Complexity Factors'!$B$12:$B$18,'Complexity Factors'!$C$12:$C$18)*_xlfn.XLOOKUP($D$26,'Complexity Factors'!$B$41:$B$44,'Complexity Factors'!$D$41:$D$44),_xlfn.XLOOKUP(G106,'Complexity Factors'!$B$12:$B$18,'Complexity Factors'!$C$12:$C$18)*_xlfn.XLOOKUP($D$26,'Complexity Factors'!$B$41:$B$44,'Complexity Factors'!$C$41:$C$44))))))*(IF(TB.ScopeEstimation[[#This Row],[External Dependencies]]="",1,(1+_xlfn.XLOOKUP(K106,'Complexity Factors'!$B$24:$B$28,'Complexity Factors'!$C$24:$C$28))))),"")</f>
        <v/>
      </c>
      <c r="M106" s="1169"/>
      <c r="N106" s="1174"/>
      <c r="O106" s="1174"/>
      <c r="P106" s="1510">
        <f>IF(TB.ScopeEstimation[[#This Row],[Option 1]]="Yes",TB.ScopeEstimation[[#This Row],[WED]],0)</f>
        <v>0</v>
      </c>
      <c r="Q106" s="1510">
        <f>IF(TB.ScopeEstimation[[#This Row],[Option 2]]="Yes",TB.ScopeEstimation[[#This Row],[WED]],0)</f>
        <v>0</v>
      </c>
      <c r="R106" s="1510">
        <f>IF(TB.ScopeEstimation[[#This Row],[Option 3]]="Yes",TB.ScopeEstimation[[#This Row],[WED]],0)</f>
        <v>0</v>
      </c>
      <c r="S106" s="1167"/>
      <c r="T106" s="1172"/>
      <c r="U106" s="629"/>
      <c r="V106" s="629"/>
      <c r="AE106" s="556"/>
    </row>
    <row r="107" spans="2:31" outlineLevel="1" x14ac:dyDescent="0.25">
      <c r="B107" s="628"/>
      <c r="C107" s="1062"/>
      <c r="D107" s="1016"/>
      <c r="E107" s="1016"/>
      <c r="F107" s="1015"/>
      <c r="G107" s="1012"/>
      <c r="H107" s="1012"/>
      <c r="I107" s="1012"/>
      <c r="J107" s="1012"/>
      <c r="K107" s="1012"/>
      <c r="L107" s="1014" t="str">
        <f>IFERROR(IF(ISBLANK(C107),"",(IF(OR($D$20="Consulting",$D$20="Digital - MarTech Consulting/Strategy")=TRUE,IFERROR(F107*(1+_xlfn.XLOOKUP(G107,'1. Project Inputs'!$I$39:$I$45,'1. Project Inputs'!$J$39:$J$45)),F107),IF(C107="E-Commerce",(_xlfn.XLOOKUP(G107,'Complexity Factors'!$B$12:$B$18,'Complexity Factors'!$C$12:$C$18)*2.9),IF(C107="Services/Integrations",_xlfn.XLOOKUP(G107,'Complexity Factors'!$D$12:$D$16,'Complexity Factors'!$E$12:$E$16)*_xlfn.XLOOKUP($D$26,'Complexity Factors'!$B$41:$B$44,'Complexity Factors'!$D$41:$D$44),IF(C107="UI",_xlfn.XLOOKUP(G107,'Complexity Factors'!$B$12:$B$18,'Complexity Factors'!$C$12:$C$18)*_xlfn.XLOOKUP($D$26,'Complexity Factors'!$B$41:$B$44,'Complexity Factors'!$D$41:$D$44),_xlfn.XLOOKUP(G107,'Complexity Factors'!$B$12:$B$18,'Complexity Factors'!$C$12:$C$18)*_xlfn.XLOOKUP($D$26,'Complexity Factors'!$B$41:$B$44,'Complexity Factors'!$C$41:$C$44))))))*(IF(TB.ScopeEstimation[[#This Row],[External Dependencies]]="",1,(1+_xlfn.XLOOKUP(K107,'Complexity Factors'!$B$24:$B$28,'Complexity Factors'!$C$24:$C$28))))),"")</f>
        <v/>
      </c>
      <c r="M107" s="1015"/>
      <c r="N107" s="881"/>
      <c r="O107" s="881"/>
      <c r="P107" s="1511">
        <f>IF(TB.ScopeEstimation[[#This Row],[Option 1]]="Yes",TB.ScopeEstimation[[#This Row],[WED]],0)</f>
        <v>0</v>
      </c>
      <c r="Q107" s="1511">
        <f>IF(TB.ScopeEstimation[[#This Row],[Option 2]]="Yes",TB.ScopeEstimation[[#This Row],[WED]],0)</f>
        <v>0</v>
      </c>
      <c r="R107" s="1511">
        <f>IF(TB.ScopeEstimation[[#This Row],[Option 3]]="Yes",TB.ScopeEstimation[[#This Row],[WED]],0)</f>
        <v>0</v>
      </c>
      <c r="S107" s="1012"/>
      <c r="T107" s="1063"/>
      <c r="U107" s="629"/>
      <c r="V107" s="629"/>
      <c r="AE107" s="556"/>
    </row>
    <row r="108" spans="2:31" outlineLevel="1" x14ac:dyDescent="0.25">
      <c r="B108" s="628"/>
      <c r="C108" s="1163"/>
      <c r="D108" s="1165"/>
      <c r="E108" s="1165"/>
      <c r="F108" s="1169"/>
      <c r="G108" s="1167"/>
      <c r="H108" s="1167"/>
      <c r="I108" s="1167"/>
      <c r="J108" s="1167"/>
      <c r="K108" s="1167"/>
      <c r="L108" s="1168" t="str">
        <f>IFERROR(IF(ISBLANK(C108),"",(IF(OR($D$20="Consulting",$D$20="Digital - MarTech Consulting/Strategy")=TRUE,IFERROR(F108*(1+_xlfn.XLOOKUP(G108,'1. Project Inputs'!$I$39:$I$45,'1. Project Inputs'!$J$39:$J$45)),F108),IF(C108="E-Commerce",(_xlfn.XLOOKUP(G108,'Complexity Factors'!$B$12:$B$18,'Complexity Factors'!$C$12:$C$18)*2.9),IF(C108="Services/Integrations",_xlfn.XLOOKUP(G108,'Complexity Factors'!$D$12:$D$16,'Complexity Factors'!$E$12:$E$16)*_xlfn.XLOOKUP($D$26,'Complexity Factors'!$B$41:$B$44,'Complexity Factors'!$D$41:$D$44),IF(C108="UI",_xlfn.XLOOKUP(G108,'Complexity Factors'!$B$12:$B$18,'Complexity Factors'!$C$12:$C$18)*_xlfn.XLOOKUP($D$26,'Complexity Factors'!$B$41:$B$44,'Complexity Factors'!$D$41:$D$44),_xlfn.XLOOKUP(G108,'Complexity Factors'!$B$12:$B$18,'Complexity Factors'!$C$12:$C$18)*_xlfn.XLOOKUP($D$26,'Complexity Factors'!$B$41:$B$44,'Complexity Factors'!$C$41:$C$44))))))*(IF(TB.ScopeEstimation[[#This Row],[External Dependencies]]="",1,(1+_xlfn.XLOOKUP(K108,'Complexity Factors'!$B$24:$B$28,'Complexity Factors'!$C$24:$C$28))))),"")</f>
        <v/>
      </c>
      <c r="M108" s="1169"/>
      <c r="N108" s="1174"/>
      <c r="O108" s="1174"/>
      <c r="P108" s="1510">
        <f>IF(TB.ScopeEstimation[[#This Row],[Option 1]]="Yes",TB.ScopeEstimation[[#This Row],[WED]],0)</f>
        <v>0</v>
      </c>
      <c r="Q108" s="1510">
        <f>IF(TB.ScopeEstimation[[#This Row],[Option 2]]="Yes",TB.ScopeEstimation[[#This Row],[WED]],0)</f>
        <v>0</v>
      </c>
      <c r="R108" s="1510">
        <f>IF(TB.ScopeEstimation[[#This Row],[Option 3]]="Yes",TB.ScopeEstimation[[#This Row],[WED]],0)</f>
        <v>0</v>
      </c>
      <c r="S108" s="1167"/>
      <c r="T108" s="1172"/>
      <c r="U108" s="629"/>
      <c r="V108" s="629"/>
      <c r="AE108" s="556"/>
    </row>
    <row r="109" spans="2:31" outlineLevel="1" x14ac:dyDescent="0.25">
      <c r="B109" s="628"/>
      <c r="C109" s="1062"/>
      <c r="D109" s="1016"/>
      <c r="E109" s="1016"/>
      <c r="F109" s="1015"/>
      <c r="G109" s="1012"/>
      <c r="H109" s="1012"/>
      <c r="I109" s="1012"/>
      <c r="J109" s="1012"/>
      <c r="K109" s="1012"/>
      <c r="L109" s="1014" t="str">
        <f>IFERROR(IF(ISBLANK(C109),"",(IF(OR($D$20="Consulting",$D$20="Digital - MarTech Consulting/Strategy")=TRUE,IFERROR(F109*(1+_xlfn.XLOOKUP(G109,'1. Project Inputs'!$I$39:$I$45,'1. Project Inputs'!$J$39:$J$45)),F109),IF(C109="E-Commerce",(_xlfn.XLOOKUP(G109,'Complexity Factors'!$B$12:$B$18,'Complexity Factors'!$C$12:$C$18)*2.9),IF(C109="Services/Integrations",_xlfn.XLOOKUP(G109,'Complexity Factors'!$D$12:$D$16,'Complexity Factors'!$E$12:$E$16)*_xlfn.XLOOKUP($D$26,'Complexity Factors'!$B$41:$B$44,'Complexity Factors'!$D$41:$D$44),IF(C109="UI",_xlfn.XLOOKUP(G109,'Complexity Factors'!$B$12:$B$18,'Complexity Factors'!$C$12:$C$18)*_xlfn.XLOOKUP($D$26,'Complexity Factors'!$B$41:$B$44,'Complexity Factors'!$D$41:$D$44),_xlfn.XLOOKUP(G109,'Complexity Factors'!$B$12:$B$18,'Complexity Factors'!$C$12:$C$18)*_xlfn.XLOOKUP($D$26,'Complexity Factors'!$B$41:$B$44,'Complexity Factors'!$C$41:$C$44))))))*(IF(TB.ScopeEstimation[[#This Row],[External Dependencies]]="",1,(1+_xlfn.XLOOKUP(K109,'Complexity Factors'!$B$24:$B$28,'Complexity Factors'!$C$24:$C$28))))),"")</f>
        <v/>
      </c>
      <c r="M109" s="1015"/>
      <c r="N109" s="881"/>
      <c r="O109" s="881"/>
      <c r="P109" s="1511">
        <f>IF(TB.ScopeEstimation[[#This Row],[Option 1]]="Yes",TB.ScopeEstimation[[#This Row],[WED]],0)</f>
        <v>0</v>
      </c>
      <c r="Q109" s="1511">
        <f>IF(TB.ScopeEstimation[[#This Row],[Option 2]]="Yes",TB.ScopeEstimation[[#This Row],[WED]],0)</f>
        <v>0</v>
      </c>
      <c r="R109" s="1511">
        <f>IF(TB.ScopeEstimation[[#This Row],[Option 3]]="Yes",TB.ScopeEstimation[[#This Row],[WED]],0)</f>
        <v>0</v>
      </c>
      <c r="S109" s="1012"/>
      <c r="T109" s="1063"/>
      <c r="U109" s="629"/>
      <c r="V109" s="629"/>
      <c r="AE109" s="556"/>
    </row>
    <row r="110" spans="2:31" outlineLevel="1" x14ac:dyDescent="0.25">
      <c r="B110" s="628"/>
      <c r="C110" s="1163"/>
      <c r="D110" s="1165"/>
      <c r="E110" s="1165"/>
      <c r="F110" s="1169"/>
      <c r="G110" s="1167"/>
      <c r="H110" s="1167"/>
      <c r="I110" s="1167"/>
      <c r="J110" s="1167"/>
      <c r="K110" s="1167"/>
      <c r="L110" s="1168" t="str">
        <f>IFERROR(IF(ISBLANK(C110),"",(IF(OR($D$20="Consulting",$D$20="Digital - MarTech Consulting/Strategy")=TRUE,IFERROR(F110*(1+_xlfn.XLOOKUP(G110,'1. Project Inputs'!$I$39:$I$45,'1. Project Inputs'!$J$39:$J$45)),F110),IF(C110="E-Commerce",(_xlfn.XLOOKUP(G110,'Complexity Factors'!$B$12:$B$18,'Complexity Factors'!$C$12:$C$18)*2.9),IF(C110="Services/Integrations",_xlfn.XLOOKUP(G110,'Complexity Factors'!$D$12:$D$16,'Complexity Factors'!$E$12:$E$16)*_xlfn.XLOOKUP($D$26,'Complexity Factors'!$B$41:$B$44,'Complexity Factors'!$D$41:$D$44),IF(C110="UI",_xlfn.XLOOKUP(G110,'Complexity Factors'!$B$12:$B$18,'Complexity Factors'!$C$12:$C$18)*_xlfn.XLOOKUP($D$26,'Complexity Factors'!$B$41:$B$44,'Complexity Factors'!$D$41:$D$44),_xlfn.XLOOKUP(G110,'Complexity Factors'!$B$12:$B$18,'Complexity Factors'!$C$12:$C$18)*_xlfn.XLOOKUP($D$26,'Complexity Factors'!$B$41:$B$44,'Complexity Factors'!$C$41:$C$44))))))*(IF(TB.ScopeEstimation[[#This Row],[External Dependencies]]="",1,(1+_xlfn.XLOOKUP(K110,'Complexity Factors'!$B$24:$B$28,'Complexity Factors'!$C$24:$C$28))))),"")</f>
        <v/>
      </c>
      <c r="M110" s="1169"/>
      <c r="N110" s="1174"/>
      <c r="O110" s="1174"/>
      <c r="P110" s="1510">
        <f>IF(TB.ScopeEstimation[[#This Row],[Option 1]]="Yes",TB.ScopeEstimation[[#This Row],[WED]],0)</f>
        <v>0</v>
      </c>
      <c r="Q110" s="1510">
        <f>IF(TB.ScopeEstimation[[#This Row],[Option 2]]="Yes",TB.ScopeEstimation[[#This Row],[WED]],0)</f>
        <v>0</v>
      </c>
      <c r="R110" s="1510">
        <f>IF(TB.ScopeEstimation[[#This Row],[Option 3]]="Yes",TB.ScopeEstimation[[#This Row],[WED]],0)</f>
        <v>0</v>
      </c>
      <c r="S110" s="1167"/>
      <c r="T110" s="1172"/>
      <c r="U110" s="630"/>
      <c r="V110" s="630"/>
    </row>
    <row r="111" spans="2:31" outlineLevel="1" x14ac:dyDescent="0.25">
      <c r="B111" s="628"/>
      <c r="C111" s="1062"/>
      <c r="D111" s="1016"/>
      <c r="E111" s="1016"/>
      <c r="F111" s="1015"/>
      <c r="G111" s="1012"/>
      <c r="H111" s="1012"/>
      <c r="I111" s="1012"/>
      <c r="J111" s="1012"/>
      <c r="K111" s="1012"/>
      <c r="L111" s="1014" t="str">
        <f>IFERROR(IF(ISBLANK(C111),"",(IF(OR($D$20="Consulting",$D$20="Digital - MarTech Consulting/Strategy")=TRUE,IFERROR(F111*(1+_xlfn.XLOOKUP(G111,'1. Project Inputs'!$I$39:$I$45,'1. Project Inputs'!$J$39:$J$45)),F111),IF(C111="E-Commerce",(_xlfn.XLOOKUP(G111,'Complexity Factors'!$B$12:$B$18,'Complexity Factors'!$C$12:$C$18)*2.9),IF(C111="Services/Integrations",_xlfn.XLOOKUP(G111,'Complexity Factors'!$D$12:$D$16,'Complexity Factors'!$E$12:$E$16)*_xlfn.XLOOKUP($D$26,'Complexity Factors'!$B$41:$B$44,'Complexity Factors'!$D$41:$D$44),IF(C111="UI",_xlfn.XLOOKUP(G111,'Complexity Factors'!$B$12:$B$18,'Complexity Factors'!$C$12:$C$18)*_xlfn.XLOOKUP($D$26,'Complexity Factors'!$B$41:$B$44,'Complexity Factors'!$D$41:$D$44),_xlfn.XLOOKUP(G111,'Complexity Factors'!$B$12:$B$18,'Complexity Factors'!$C$12:$C$18)*_xlfn.XLOOKUP($D$26,'Complexity Factors'!$B$41:$B$44,'Complexity Factors'!$C$41:$C$44))))))*(IF(TB.ScopeEstimation[[#This Row],[External Dependencies]]="",1,(1+_xlfn.XLOOKUP(K111,'Complexity Factors'!$B$24:$B$28,'Complexity Factors'!$C$24:$C$28))))),"")</f>
        <v/>
      </c>
      <c r="M111" s="1015"/>
      <c r="N111" s="881"/>
      <c r="O111" s="881"/>
      <c r="P111" s="1511">
        <f>IF(TB.ScopeEstimation[[#This Row],[Option 1]]="Yes",TB.ScopeEstimation[[#This Row],[WED]],0)</f>
        <v>0</v>
      </c>
      <c r="Q111" s="1511">
        <f>IF(TB.ScopeEstimation[[#This Row],[Option 2]]="Yes",TB.ScopeEstimation[[#This Row],[WED]],0)</f>
        <v>0</v>
      </c>
      <c r="R111" s="1511">
        <f>IF(TB.ScopeEstimation[[#This Row],[Option 3]]="Yes",TB.ScopeEstimation[[#This Row],[WED]],0)</f>
        <v>0</v>
      </c>
      <c r="S111" s="1012"/>
      <c r="T111" s="1063"/>
      <c r="U111" s="629"/>
      <c r="V111" s="629"/>
    </row>
    <row r="112" spans="2:31" outlineLevel="1" x14ac:dyDescent="0.25">
      <c r="B112" s="628"/>
      <c r="C112" s="1163"/>
      <c r="D112" s="1165"/>
      <c r="E112" s="1165"/>
      <c r="F112" s="1169"/>
      <c r="G112" s="1167"/>
      <c r="H112" s="1167"/>
      <c r="I112" s="1167"/>
      <c r="J112" s="1167"/>
      <c r="K112" s="1167"/>
      <c r="L112" s="1168" t="str">
        <f>IFERROR(IF(ISBLANK(C112),"",(IF(OR($D$20="Consulting",$D$20="Digital - MarTech Consulting/Strategy")=TRUE,IFERROR(F112*(1+_xlfn.XLOOKUP(G112,'1. Project Inputs'!$I$39:$I$45,'1. Project Inputs'!$J$39:$J$45)),F112),IF(C112="E-Commerce",(_xlfn.XLOOKUP(G112,'Complexity Factors'!$B$12:$B$18,'Complexity Factors'!$C$12:$C$18)*2.9),IF(C112="Services/Integrations",_xlfn.XLOOKUP(G112,'Complexity Factors'!$D$12:$D$16,'Complexity Factors'!$E$12:$E$16)*_xlfn.XLOOKUP($D$26,'Complexity Factors'!$B$41:$B$44,'Complexity Factors'!$D$41:$D$44),IF(C112="UI",_xlfn.XLOOKUP(G112,'Complexity Factors'!$B$12:$B$18,'Complexity Factors'!$C$12:$C$18)*_xlfn.XLOOKUP($D$26,'Complexity Factors'!$B$41:$B$44,'Complexity Factors'!$D$41:$D$44),_xlfn.XLOOKUP(G112,'Complexity Factors'!$B$12:$B$18,'Complexity Factors'!$C$12:$C$18)*_xlfn.XLOOKUP($D$26,'Complexity Factors'!$B$41:$B$44,'Complexity Factors'!$C$41:$C$44))))))*(IF(TB.ScopeEstimation[[#This Row],[External Dependencies]]="",1,(1+_xlfn.XLOOKUP(K112,'Complexity Factors'!$B$24:$B$28,'Complexity Factors'!$C$24:$C$28))))),"")</f>
        <v/>
      </c>
      <c r="M112" s="1169"/>
      <c r="N112" s="1174"/>
      <c r="O112" s="1174"/>
      <c r="P112" s="1510">
        <f>IF(TB.ScopeEstimation[[#This Row],[Option 1]]="Yes",TB.ScopeEstimation[[#This Row],[WED]],0)</f>
        <v>0</v>
      </c>
      <c r="Q112" s="1510">
        <f>IF(TB.ScopeEstimation[[#This Row],[Option 2]]="Yes",TB.ScopeEstimation[[#This Row],[WED]],0)</f>
        <v>0</v>
      </c>
      <c r="R112" s="1510">
        <f>IF(TB.ScopeEstimation[[#This Row],[Option 3]]="Yes",TB.ScopeEstimation[[#This Row],[WED]],0)</f>
        <v>0</v>
      </c>
      <c r="S112" s="1167"/>
      <c r="T112" s="1172"/>
      <c r="U112" s="629"/>
      <c r="V112" s="629"/>
    </row>
    <row r="113" spans="2:22" outlineLevel="1" x14ac:dyDescent="0.25">
      <c r="B113" s="628"/>
      <c r="C113" s="1062"/>
      <c r="D113" s="1016"/>
      <c r="E113" s="1016"/>
      <c r="F113" s="1015"/>
      <c r="G113" s="1012"/>
      <c r="H113" s="1012"/>
      <c r="I113" s="1012"/>
      <c r="J113" s="1012"/>
      <c r="K113" s="1012"/>
      <c r="L113" s="1014" t="str">
        <f>IFERROR(IF(ISBLANK(C113),"",(IF(OR($D$20="Consulting",$D$20="Digital - MarTech Consulting/Strategy")=TRUE,IFERROR(F113*(1+_xlfn.XLOOKUP(G113,'1. Project Inputs'!$I$39:$I$45,'1. Project Inputs'!$J$39:$J$45)),F113),IF(C113="E-Commerce",(_xlfn.XLOOKUP(G113,'Complexity Factors'!$B$12:$B$18,'Complexity Factors'!$C$12:$C$18)*2.9),IF(C113="Services/Integrations",_xlfn.XLOOKUP(G113,'Complexity Factors'!$D$12:$D$16,'Complexity Factors'!$E$12:$E$16)*_xlfn.XLOOKUP($D$26,'Complexity Factors'!$B$41:$B$44,'Complexity Factors'!$D$41:$D$44),IF(C113="UI",_xlfn.XLOOKUP(G113,'Complexity Factors'!$B$12:$B$18,'Complexity Factors'!$C$12:$C$18)*_xlfn.XLOOKUP($D$26,'Complexity Factors'!$B$41:$B$44,'Complexity Factors'!$D$41:$D$44),_xlfn.XLOOKUP(G113,'Complexity Factors'!$B$12:$B$18,'Complexity Factors'!$C$12:$C$18)*_xlfn.XLOOKUP($D$26,'Complexity Factors'!$B$41:$B$44,'Complexity Factors'!$C$41:$C$44))))))*(IF(TB.ScopeEstimation[[#This Row],[External Dependencies]]="",1,(1+_xlfn.XLOOKUP(K113,'Complexity Factors'!$B$24:$B$28,'Complexity Factors'!$C$24:$C$28))))),"")</f>
        <v/>
      </c>
      <c r="M113" s="1015"/>
      <c r="N113" s="881"/>
      <c r="O113" s="881"/>
      <c r="P113" s="1511">
        <f>IF(TB.ScopeEstimation[[#This Row],[Option 1]]="Yes",TB.ScopeEstimation[[#This Row],[WED]],0)</f>
        <v>0</v>
      </c>
      <c r="Q113" s="1511">
        <f>IF(TB.ScopeEstimation[[#This Row],[Option 2]]="Yes",TB.ScopeEstimation[[#This Row],[WED]],0)</f>
        <v>0</v>
      </c>
      <c r="R113" s="1511">
        <f>IF(TB.ScopeEstimation[[#This Row],[Option 3]]="Yes",TB.ScopeEstimation[[#This Row],[WED]],0)</f>
        <v>0</v>
      </c>
      <c r="S113" s="1012"/>
      <c r="T113" s="1063"/>
      <c r="U113" s="629"/>
      <c r="V113" s="629"/>
    </row>
    <row r="114" spans="2:22" outlineLevel="1" x14ac:dyDescent="0.25">
      <c r="B114" s="628"/>
      <c r="C114" s="1163"/>
      <c r="D114" s="1165"/>
      <c r="E114" s="1165"/>
      <c r="F114" s="1169"/>
      <c r="G114" s="1167"/>
      <c r="H114" s="1167"/>
      <c r="I114" s="1167"/>
      <c r="J114" s="1167"/>
      <c r="K114" s="1167"/>
      <c r="L114" s="1168" t="str">
        <f>IFERROR(IF(ISBLANK(C114),"",(IF(OR($D$20="Consulting",$D$20="Digital - MarTech Consulting/Strategy")=TRUE,IFERROR(F114*(1+_xlfn.XLOOKUP(G114,'1. Project Inputs'!$I$39:$I$45,'1. Project Inputs'!$J$39:$J$45)),F114),IF(C114="E-Commerce",(_xlfn.XLOOKUP(G114,'Complexity Factors'!$B$12:$B$18,'Complexity Factors'!$C$12:$C$18)*2.9),IF(C114="Services/Integrations",_xlfn.XLOOKUP(G114,'Complexity Factors'!$D$12:$D$16,'Complexity Factors'!$E$12:$E$16)*_xlfn.XLOOKUP($D$26,'Complexity Factors'!$B$41:$B$44,'Complexity Factors'!$D$41:$D$44),IF(C114="UI",_xlfn.XLOOKUP(G114,'Complexity Factors'!$B$12:$B$18,'Complexity Factors'!$C$12:$C$18)*_xlfn.XLOOKUP($D$26,'Complexity Factors'!$B$41:$B$44,'Complexity Factors'!$D$41:$D$44),_xlfn.XLOOKUP(G114,'Complexity Factors'!$B$12:$B$18,'Complexity Factors'!$C$12:$C$18)*_xlfn.XLOOKUP($D$26,'Complexity Factors'!$B$41:$B$44,'Complexity Factors'!$C$41:$C$44))))))*(IF(TB.ScopeEstimation[[#This Row],[External Dependencies]]="",1,(1+_xlfn.XLOOKUP(K114,'Complexity Factors'!$B$24:$B$28,'Complexity Factors'!$C$24:$C$28))))),"")</f>
        <v/>
      </c>
      <c r="M114" s="1169"/>
      <c r="N114" s="1174"/>
      <c r="O114" s="1174"/>
      <c r="P114" s="1510">
        <f>IF(TB.ScopeEstimation[[#This Row],[Option 1]]="Yes",TB.ScopeEstimation[[#This Row],[WED]],0)</f>
        <v>0</v>
      </c>
      <c r="Q114" s="1510">
        <f>IF(TB.ScopeEstimation[[#This Row],[Option 2]]="Yes",TB.ScopeEstimation[[#This Row],[WED]],0)</f>
        <v>0</v>
      </c>
      <c r="R114" s="1510">
        <f>IF(TB.ScopeEstimation[[#This Row],[Option 3]]="Yes",TB.ScopeEstimation[[#This Row],[WED]],0)</f>
        <v>0</v>
      </c>
      <c r="S114" s="1167"/>
      <c r="T114" s="1172"/>
      <c r="U114" s="630"/>
      <c r="V114" s="630"/>
    </row>
    <row r="115" spans="2:22" outlineLevel="1" x14ac:dyDescent="0.25">
      <c r="B115" s="628"/>
      <c r="C115" s="1062"/>
      <c r="D115" s="1016"/>
      <c r="E115" s="1016"/>
      <c r="F115" s="1015"/>
      <c r="G115" s="1012"/>
      <c r="H115" s="1012"/>
      <c r="I115" s="1012"/>
      <c r="J115" s="1012"/>
      <c r="K115" s="1012"/>
      <c r="L115" s="1014" t="str">
        <f>IFERROR(IF(ISBLANK(C115),"",(IF(OR($D$20="Consulting",$D$20="Digital - MarTech Consulting/Strategy")=TRUE,IFERROR(F115*(1+_xlfn.XLOOKUP(G115,'1. Project Inputs'!$I$39:$I$45,'1. Project Inputs'!$J$39:$J$45)),F115),IF(C115="E-Commerce",(_xlfn.XLOOKUP(G115,'Complexity Factors'!$B$12:$B$18,'Complexity Factors'!$C$12:$C$18)*2.9),IF(C115="Services/Integrations",_xlfn.XLOOKUP(G115,'Complexity Factors'!$D$12:$D$16,'Complexity Factors'!$E$12:$E$16)*_xlfn.XLOOKUP($D$26,'Complexity Factors'!$B$41:$B$44,'Complexity Factors'!$D$41:$D$44),IF(C115="UI",_xlfn.XLOOKUP(G115,'Complexity Factors'!$B$12:$B$18,'Complexity Factors'!$C$12:$C$18)*_xlfn.XLOOKUP($D$26,'Complexity Factors'!$B$41:$B$44,'Complexity Factors'!$D$41:$D$44),_xlfn.XLOOKUP(G115,'Complexity Factors'!$B$12:$B$18,'Complexity Factors'!$C$12:$C$18)*_xlfn.XLOOKUP($D$26,'Complexity Factors'!$B$41:$B$44,'Complexity Factors'!$C$41:$C$44))))))*(IF(TB.ScopeEstimation[[#This Row],[External Dependencies]]="",1,(1+_xlfn.XLOOKUP(K115,'Complexity Factors'!$B$24:$B$28,'Complexity Factors'!$C$24:$C$28))))),"")</f>
        <v/>
      </c>
      <c r="M115" s="1015"/>
      <c r="N115" s="881"/>
      <c r="O115" s="881"/>
      <c r="P115" s="1511">
        <f>IF(TB.ScopeEstimation[[#This Row],[Option 1]]="Yes",TB.ScopeEstimation[[#This Row],[WED]],0)</f>
        <v>0</v>
      </c>
      <c r="Q115" s="1511">
        <f>IF(TB.ScopeEstimation[[#This Row],[Option 2]]="Yes",TB.ScopeEstimation[[#This Row],[WED]],0)</f>
        <v>0</v>
      </c>
      <c r="R115" s="1511">
        <f>IF(TB.ScopeEstimation[[#This Row],[Option 3]]="Yes",TB.ScopeEstimation[[#This Row],[WED]],0)</f>
        <v>0</v>
      </c>
      <c r="S115" s="1012"/>
      <c r="T115" s="1063"/>
      <c r="U115" s="629"/>
      <c r="V115" s="629"/>
    </row>
    <row r="116" spans="2:22" outlineLevel="1" x14ac:dyDescent="0.25">
      <c r="B116" s="628"/>
      <c r="C116" s="1163"/>
      <c r="D116" s="1165"/>
      <c r="E116" s="1165"/>
      <c r="F116" s="1169"/>
      <c r="G116" s="1167"/>
      <c r="H116" s="1167"/>
      <c r="I116" s="1167"/>
      <c r="J116" s="1167"/>
      <c r="K116" s="1167"/>
      <c r="L116" s="1168" t="str">
        <f>IFERROR(IF(ISBLANK(C116),"",(IF(OR($D$20="Consulting",$D$20="Digital - MarTech Consulting/Strategy")=TRUE,IFERROR(F116*(1+_xlfn.XLOOKUP(G116,'1. Project Inputs'!$I$39:$I$45,'1. Project Inputs'!$J$39:$J$45)),F116),IF(C116="E-Commerce",(_xlfn.XLOOKUP(G116,'Complexity Factors'!$B$12:$B$18,'Complexity Factors'!$C$12:$C$18)*2.9),IF(C116="Services/Integrations",_xlfn.XLOOKUP(G116,'Complexity Factors'!$D$12:$D$16,'Complexity Factors'!$E$12:$E$16)*_xlfn.XLOOKUP($D$26,'Complexity Factors'!$B$41:$B$44,'Complexity Factors'!$D$41:$D$44),IF(C116="UI",_xlfn.XLOOKUP(G116,'Complexity Factors'!$B$12:$B$18,'Complexity Factors'!$C$12:$C$18)*_xlfn.XLOOKUP($D$26,'Complexity Factors'!$B$41:$B$44,'Complexity Factors'!$D$41:$D$44),_xlfn.XLOOKUP(G116,'Complexity Factors'!$B$12:$B$18,'Complexity Factors'!$C$12:$C$18)*_xlfn.XLOOKUP($D$26,'Complexity Factors'!$B$41:$B$44,'Complexity Factors'!$C$41:$C$44))))))*(IF(TB.ScopeEstimation[[#This Row],[External Dependencies]]="",1,(1+_xlfn.XLOOKUP(K116,'Complexity Factors'!$B$24:$B$28,'Complexity Factors'!$C$24:$C$28))))),"")</f>
        <v/>
      </c>
      <c r="M116" s="1169"/>
      <c r="N116" s="1174"/>
      <c r="O116" s="1174"/>
      <c r="P116" s="1510">
        <f>IF(TB.ScopeEstimation[[#This Row],[Option 1]]="Yes",TB.ScopeEstimation[[#This Row],[WED]],0)</f>
        <v>0</v>
      </c>
      <c r="Q116" s="1510">
        <f>IF(TB.ScopeEstimation[[#This Row],[Option 2]]="Yes",TB.ScopeEstimation[[#This Row],[WED]],0)</f>
        <v>0</v>
      </c>
      <c r="R116" s="1510">
        <f>IF(TB.ScopeEstimation[[#This Row],[Option 3]]="Yes",TB.ScopeEstimation[[#This Row],[WED]],0)</f>
        <v>0</v>
      </c>
      <c r="S116" s="1167"/>
      <c r="T116" s="1172"/>
      <c r="U116" s="629"/>
      <c r="V116" s="629"/>
    </row>
    <row r="117" spans="2:22" outlineLevel="1" x14ac:dyDescent="0.25">
      <c r="B117" s="628"/>
      <c r="C117" s="1062"/>
      <c r="D117" s="1016"/>
      <c r="E117" s="1016"/>
      <c r="F117" s="1015"/>
      <c r="G117" s="1012"/>
      <c r="H117" s="1012"/>
      <c r="I117" s="1012"/>
      <c r="J117" s="1012"/>
      <c r="K117" s="1012"/>
      <c r="L117" s="1014" t="str">
        <f>IFERROR(IF(ISBLANK(C117),"",(IF(OR($D$20="Consulting",$D$20="Digital - MarTech Consulting/Strategy")=TRUE,IFERROR(F117*(1+_xlfn.XLOOKUP(G117,'1. Project Inputs'!$I$39:$I$45,'1. Project Inputs'!$J$39:$J$45)),F117),IF(C117="E-Commerce",(_xlfn.XLOOKUP(G117,'Complexity Factors'!$B$12:$B$18,'Complexity Factors'!$C$12:$C$18)*2.9),IF(C117="Services/Integrations",_xlfn.XLOOKUP(G117,'Complexity Factors'!$D$12:$D$16,'Complexity Factors'!$E$12:$E$16)*_xlfn.XLOOKUP($D$26,'Complexity Factors'!$B$41:$B$44,'Complexity Factors'!$D$41:$D$44),IF(C117="UI",_xlfn.XLOOKUP(G117,'Complexity Factors'!$B$12:$B$18,'Complexity Factors'!$C$12:$C$18)*_xlfn.XLOOKUP($D$26,'Complexity Factors'!$B$41:$B$44,'Complexity Factors'!$D$41:$D$44),_xlfn.XLOOKUP(G117,'Complexity Factors'!$B$12:$B$18,'Complexity Factors'!$C$12:$C$18)*_xlfn.XLOOKUP($D$26,'Complexity Factors'!$B$41:$B$44,'Complexity Factors'!$C$41:$C$44))))))*(IF(TB.ScopeEstimation[[#This Row],[External Dependencies]]="",1,(1+_xlfn.XLOOKUP(K117,'Complexity Factors'!$B$24:$B$28,'Complexity Factors'!$C$24:$C$28))))),"")</f>
        <v/>
      </c>
      <c r="M117" s="1015"/>
      <c r="N117" s="881"/>
      <c r="O117" s="881"/>
      <c r="P117" s="1511">
        <f>IF(TB.ScopeEstimation[[#This Row],[Option 1]]="Yes",TB.ScopeEstimation[[#This Row],[WED]],0)</f>
        <v>0</v>
      </c>
      <c r="Q117" s="1511">
        <f>IF(TB.ScopeEstimation[[#This Row],[Option 2]]="Yes",TB.ScopeEstimation[[#This Row],[WED]],0)</f>
        <v>0</v>
      </c>
      <c r="R117" s="1511">
        <f>IF(TB.ScopeEstimation[[#This Row],[Option 3]]="Yes",TB.ScopeEstimation[[#This Row],[WED]],0)</f>
        <v>0</v>
      </c>
      <c r="S117" s="1012"/>
      <c r="T117" s="1063"/>
      <c r="U117" s="629"/>
      <c r="V117" s="629"/>
    </row>
    <row r="118" spans="2:22" outlineLevel="1" x14ac:dyDescent="0.25">
      <c r="B118" s="628"/>
      <c r="C118" s="1163"/>
      <c r="D118" s="1165"/>
      <c r="E118" s="1165"/>
      <c r="F118" s="1169"/>
      <c r="G118" s="1167"/>
      <c r="H118" s="1167"/>
      <c r="I118" s="1167"/>
      <c r="J118" s="1167"/>
      <c r="K118" s="1167"/>
      <c r="L118" s="1168" t="str">
        <f>IFERROR(IF(ISBLANK(C118),"",(IF(OR($D$20="Consulting",$D$20="Digital - MarTech Consulting/Strategy")=TRUE,IFERROR(F118*(1+_xlfn.XLOOKUP(G118,'1. Project Inputs'!$I$39:$I$45,'1. Project Inputs'!$J$39:$J$45)),F118),IF(C118="E-Commerce",(_xlfn.XLOOKUP(G118,'Complexity Factors'!$B$12:$B$18,'Complexity Factors'!$C$12:$C$18)*2.9),IF(C118="Services/Integrations",_xlfn.XLOOKUP(G118,'Complexity Factors'!$D$12:$D$16,'Complexity Factors'!$E$12:$E$16)*_xlfn.XLOOKUP($D$26,'Complexity Factors'!$B$41:$B$44,'Complexity Factors'!$D$41:$D$44),IF(C118="UI",_xlfn.XLOOKUP(G118,'Complexity Factors'!$B$12:$B$18,'Complexity Factors'!$C$12:$C$18)*_xlfn.XLOOKUP($D$26,'Complexity Factors'!$B$41:$B$44,'Complexity Factors'!$D$41:$D$44),_xlfn.XLOOKUP(G118,'Complexity Factors'!$B$12:$B$18,'Complexity Factors'!$C$12:$C$18)*_xlfn.XLOOKUP($D$26,'Complexity Factors'!$B$41:$B$44,'Complexity Factors'!$C$41:$C$44))))))*(IF(TB.ScopeEstimation[[#This Row],[External Dependencies]]="",1,(1+_xlfn.XLOOKUP(K118,'Complexity Factors'!$B$24:$B$28,'Complexity Factors'!$C$24:$C$28))))),"")</f>
        <v/>
      </c>
      <c r="M118" s="1169"/>
      <c r="N118" s="1174"/>
      <c r="O118" s="1174"/>
      <c r="P118" s="1510">
        <f>IF(TB.ScopeEstimation[[#This Row],[Option 1]]="Yes",TB.ScopeEstimation[[#This Row],[WED]],0)</f>
        <v>0</v>
      </c>
      <c r="Q118" s="1510">
        <f>IF(TB.ScopeEstimation[[#This Row],[Option 2]]="Yes",TB.ScopeEstimation[[#This Row],[WED]],0)</f>
        <v>0</v>
      </c>
      <c r="R118" s="1510">
        <f>IF(TB.ScopeEstimation[[#This Row],[Option 3]]="Yes",TB.ScopeEstimation[[#This Row],[WED]],0)</f>
        <v>0</v>
      </c>
      <c r="S118" s="1167"/>
      <c r="T118" s="1172"/>
      <c r="U118" s="629"/>
      <c r="V118" s="629"/>
    </row>
    <row r="119" spans="2:22" outlineLevel="1" x14ac:dyDescent="0.25">
      <c r="B119" s="628"/>
      <c r="C119" s="1062"/>
      <c r="D119" s="1016"/>
      <c r="E119" s="1016"/>
      <c r="F119" s="1015"/>
      <c r="G119" s="1012"/>
      <c r="H119" s="1012"/>
      <c r="I119" s="1012"/>
      <c r="J119" s="1012"/>
      <c r="K119" s="1012"/>
      <c r="L119" s="1014" t="str">
        <f>IFERROR(IF(ISBLANK(C119),"",(IF(OR($D$20="Consulting",$D$20="Digital - MarTech Consulting/Strategy")=TRUE,IFERROR(F119*(1+_xlfn.XLOOKUP(G119,'1. Project Inputs'!$I$39:$I$45,'1. Project Inputs'!$J$39:$J$45)),F119),IF(C119="E-Commerce",(_xlfn.XLOOKUP(G119,'Complexity Factors'!$B$12:$B$18,'Complexity Factors'!$C$12:$C$18)*2.9),IF(C119="Services/Integrations",_xlfn.XLOOKUP(G119,'Complexity Factors'!$D$12:$D$16,'Complexity Factors'!$E$12:$E$16)*_xlfn.XLOOKUP($D$26,'Complexity Factors'!$B$41:$B$44,'Complexity Factors'!$D$41:$D$44),IF(C119="UI",_xlfn.XLOOKUP(G119,'Complexity Factors'!$B$12:$B$18,'Complexity Factors'!$C$12:$C$18)*_xlfn.XLOOKUP($D$26,'Complexity Factors'!$B$41:$B$44,'Complexity Factors'!$D$41:$D$44),_xlfn.XLOOKUP(G119,'Complexity Factors'!$B$12:$B$18,'Complexity Factors'!$C$12:$C$18)*_xlfn.XLOOKUP($D$26,'Complexity Factors'!$B$41:$B$44,'Complexity Factors'!$C$41:$C$44))))))*(IF(TB.ScopeEstimation[[#This Row],[External Dependencies]]="",1,(1+_xlfn.XLOOKUP(K119,'Complexity Factors'!$B$24:$B$28,'Complexity Factors'!$C$24:$C$28))))),"")</f>
        <v/>
      </c>
      <c r="M119" s="1015"/>
      <c r="N119" s="881"/>
      <c r="O119" s="881"/>
      <c r="P119" s="1511">
        <f>IF(TB.ScopeEstimation[[#This Row],[Option 1]]="Yes",TB.ScopeEstimation[[#This Row],[WED]],0)</f>
        <v>0</v>
      </c>
      <c r="Q119" s="1511">
        <f>IF(TB.ScopeEstimation[[#This Row],[Option 2]]="Yes",TB.ScopeEstimation[[#This Row],[WED]],0)</f>
        <v>0</v>
      </c>
      <c r="R119" s="1511">
        <f>IF(TB.ScopeEstimation[[#This Row],[Option 3]]="Yes",TB.ScopeEstimation[[#This Row],[WED]],0)</f>
        <v>0</v>
      </c>
      <c r="S119" s="1012"/>
      <c r="T119" s="1063"/>
      <c r="U119" s="629"/>
      <c r="V119" s="629"/>
    </row>
    <row r="120" spans="2:22" outlineLevel="1" x14ac:dyDescent="0.25">
      <c r="B120" s="628" t="s">
        <v>78</v>
      </c>
      <c r="C120" s="1163"/>
      <c r="D120" s="1165"/>
      <c r="E120" s="1165"/>
      <c r="F120" s="1169"/>
      <c r="G120" s="1167"/>
      <c r="H120" s="1167"/>
      <c r="I120" s="1167"/>
      <c r="J120" s="1167"/>
      <c r="K120" s="1167"/>
      <c r="L120" s="1168" t="str">
        <f>IFERROR(IF(ISBLANK(C120),"",(IF(OR($D$20="Consulting",$D$20="Digital - MarTech Consulting/Strategy")=TRUE,IFERROR(F120*(1+_xlfn.XLOOKUP(G120,'1. Project Inputs'!$I$39:$I$45,'1. Project Inputs'!$J$39:$J$45)),F120),IF(C120="E-Commerce",(_xlfn.XLOOKUP(G120,'Complexity Factors'!$B$12:$B$18,'Complexity Factors'!$C$12:$C$18)*2.9),IF(C120="Services/Integrations",_xlfn.XLOOKUP(G120,'Complexity Factors'!$D$12:$D$16,'Complexity Factors'!$E$12:$E$16)*_xlfn.XLOOKUP($D$26,'Complexity Factors'!$B$41:$B$44,'Complexity Factors'!$D$41:$D$44),IF(C120="UI",_xlfn.XLOOKUP(G120,'Complexity Factors'!$B$12:$B$18,'Complexity Factors'!$C$12:$C$18)*_xlfn.XLOOKUP($D$26,'Complexity Factors'!$B$41:$B$44,'Complexity Factors'!$D$41:$D$44),_xlfn.XLOOKUP(G120,'Complexity Factors'!$B$12:$B$18,'Complexity Factors'!$C$12:$C$18)*_xlfn.XLOOKUP($D$26,'Complexity Factors'!$B$41:$B$44,'Complexity Factors'!$C$41:$C$44))))))*(IF(TB.ScopeEstimation[[#This Row],[External Dependencies]]="",1,(1+_xlfn.XLOOKUP(K120,'Complexity Factors'!$B$24:$B$28,'Complexity Factors'!$C$24:$C$28))))),"")</f>
        <v/>
      </c>
      <c r="M120" s="1169"/>
      <c r="N120" s="1174"/>
      <c r="O120" s="1174"/>
      <c r="P120" s="1510">
        <f>IF(TB.ScopeEstimation[[#This Row],[Option 1]]="Yes",TB.ScopeEstimation[[#This Row],[WED]],0)</f>
        <v>0</v>
      </c>
      <c r="Q120" s="1510">
        <f>IF(TB.ScopeEstimation[[#This Row],[Option 2]]="Yes",TB.ScopeEstimation[[#This Row],[WED]],0)</f>
        <v>0</v>
      </c>
      <c r="R120" s="1510">
        <f>IF(TB.ScopeEstimation[[#This Row],[Option 3]]="Yes",TB.ScopeEstimation[[#This Row],[WED]],0)</f>
        <v>0</v>
      </c>
      <c r="S120" s="1167"/>
      <c r="T120" s="1172"/>
      <c r="U120" s="629"/>
      <c r="V120" s="629"/>
    </row>
    <row r="121" spans="2:22" outlineLevel="1" x14ac:dyDescent="0.25">
      <c r="B121" s="628" t="s">
        <v>78</v>
      </c>
      <c r="C121" s="1062"/>
      <c r="D121" s="1016"/>
      <c r="E121" s="1016"/>
      <c r="F121" s="1015"/>
      <c r="G121" s="1012"/>
      <c r="H121" s="1012"/>
      <c r="I121" s="1012"/>
      <c r="J121" s="1012"/>
      <c r="K121" s="1012"/>
      <c r="L121" s="1014" t="str">
        <f>IFERROR(IF(ISBLANK(C121),"",(IF(OR($D$20="Consulting",$D$20="Digital - MarTech Consulting/Strategy")=TRUE,IFERROR(F121*(1+_xlfn.XLOOKUP(G121,'1. Project Inputs'!$I$39:$I$45,'1. Project Inputs'!$J$39:$J$45)),F121),IF(C121="E-Commerce",(_xlfn.XLOOKUP(G121,'Complexity Factors'!$B$12:$B$18,'Complexity Factors'!$C$12:$C$18)*2.9),IF(C121="Services/Integrations",_xlfn.XLOOKUP(G121,'Complexity Factors'!$D$12:$D$16,'Complexity Factors'!$E$12:$E$16)*_xlfn.XLOOKUP($D$26,'Complexity Factors'!$B$41:$B$44,'Complexity Factors'!$D$41:$D$44),IF(C121="UI",_xlfn.XLOOKUP(G121,'Complexity Factors'!$B$12:$B$18,'Complexity Factors'!$C$12:$C$18)*_xlfn.XLOOKUP($D$26,'Complexity Factors'!$B$41:$B$44,'Complexity Factors'!$D$41:$D$44),_xlfn.XLOOKUP(G121,'Complexity Factors'!$B$12:$B$18,'Complexity Factors'!$C$12:$C$18)*_xlfn.XLOOKUP($D$26,'Complexity Factors'!$B$41:$B$44,'Complexity Factors'!$C$41:$C$44))))))*(IF(TB.ScopeEstimation[[#This Row],[External Dependencies]]="",1,(1+_xlfn.XLOOKUP(K121,'Complexity Factors'!$B$24:$B$28,'Complexity Factors'!$C$24:$C$28))))),"")</f>
        <v/>
      </c>
      <c r="M121" s="1015"/>
      <c r="N121" s="881"/>
      <c r="O121" s="881"/>
      <c r="P121" s="1511">
        <f>IF(TB.ScopeEstimation[[#This Row],[Option 1]]="Yes",TB.ScopeEstimation[[#This Row],[WED]],0)</f>
        <v>0</v>
      </c>
      <c r="Q121" s="1511">
        <f>IF(TB.ScopeEstimation[[#This Row],[Option 2]]="Yes",TB.ScopeEstimation[[#This Row],[WED]],0)</f>
        <v>0</v>
      </c>
      <c r="R121" s="1511">
        <f>IF(TB.ScopeEstimation[[#This Row],[Option 3]]="Yes",TB.ScopeEstimation[[#This Row],[WED]],0)</f>
        <v>0</v>
      </c>
      <c r="S121" s="1012"/>
      <c r="T121" s="1063"/>
      <c r="U121" s="629"/>
      <c r="V121" s="629"/>
    </row>
    <row r="122" spans="2:22" outlineLevel="1" x14ac:dyDescent="0.25">
      <c r="B122" s="628" t="s">
        <v>78</v>
      </c>
      <c r="C122" s="1163"/>
      <c r="D122" s="1165"/>
      <c r="E122" s="1165"/>
      <c r="F122" s="1169"/>
      <c r="G122" s="1167"/>
      <c r="H122" s="1167"/>
      <c r="I122" s="1167"/>
      <c r="J122" s="1167"/>
      <c r="K122" s="1167"/>
      <c r="L122" s="1168" t="str">
        <f>IFERROR(IF(ISBLANK(C122),"",(IF(OR($D$20="Consulting",$D$20="Digital - MarTech Consulting/Strategy")=TRUE,IFERROR(F122*(1+_xlfn.XLOOKUP(G122,'1. Project Inputs'!$I$39:$I$45,'1. Project Inputs'!$J$39:$J$45)),F122),IF(C122="E-Commerce",(_xlfn.XLOOKUP(G122,'Complexity Factors'!$B$12:$B$18,'Complexity Factors'!$C$12:$C$18)*2.9),IF(C122="Services/Integrations",_xlfn.XLOOKUP(G122,'Complexity Factors'!$D$12:$D$16,'Complexity Factors'!$E$12:$E$16)*_xlfn.XLOOKUP($D$26,'Complexity Factors'!$B$41:$B$44,'Complexity Factors'!$D$41:$D$44),IF(C122="UI",_xlfn.XLOOKUP(G122,'Complexity Factors'!$B$12:$B$18,'Complexity Factors'!$C$12:$C$18)*_xlfn.XLOOKUP($D$26,'Complexity Factors'!$B$41:$B$44,'Complexity Factors'!$D$41:$D$44),_xlfn.XLOOKUP(G122,'Complexity Factors'!$B$12:$B$18,'Complexity Factors'!$C$12:$C$18)*_xlfn.XLOOKUP($D$26,'Complexity Factors'!$B$41:$B$44,'Complexity Factors'!$C$41:$C$44))))))*(IF(TB.ScopeEstimation[[#This Row],[External Dependencies]]="",1,(1+_xlfn.XLOOKUP(K122,'Complexity Factors'!$B$24:$B$28,'Complexity Factors'!$C$24:$C$28))))),"")</f>
        <v/>
      </c>
      <c r="M122" s="1169"/>
      <c r="N122" s="1174"/>
      <c r="O122" s="1174"/>
      <c r="P122" s="1510">
        <f>IF(TB.ScopeEstimation[[#This Row],[Option 1]]="Yes",TB.ScopeEstimation[[#This Row],[WED]],0)</f>
        <v>0</v>
      </c>
      <c r="Q122" s="1510">
        <f>IF(TB.ScopeEstimation[[#This Row],[Option 2]]="Yes",TB.ScopeEstimation[[#This Row],[WED]],0)</f>
        <v>0</v>
      </c>
      <c r="R122" s="1510">
        <f>IF(TB.ScopeEstimation[[#This Row],[Option 3]]="Yes",TB.ScopeEstimation[[#This Row],[WED]],0)</f>
        <v>0</v>
      </c>
      <c r="S122" s="1167"/>
      <c r="T122" s="1172"/>
      <c r="U122" s="629"/>
      <c r="V122" s="629"/>
    </row>
    <row r="123" spans="2:22" outlineLevel="1" x14ac:dyDescent="0.25">
      <c r="B123" s="631" t="s">
        <v>78</v>
      </c>
      <c r="C123" s="1064"/>
      <c r="D123" s="1065"/>
      <c r="E123" s="1065"/>
      <c r="F123" s="1066"/>
      <c r="G123" s="1067"/>
      <c r="H123" s="1067"/>
      <c r="I123" s="1067"/>
      <c r="J123" s="1067"/>
      <c r="K123" s="1067"/>
      <c r="L123" s="1068" t="str">
        <f>IFERROR(IF(ISBLANK(C123),"",(IF(OR($D$20="Consulting",$D$20="Digital - MarTech Consulting/Strategy")=TRUE,IFERROR(F123*(1+_xlfn.XLOOKUP(G123,'1. Project Inputs'!$I$39:$I$45,'1. Project Inputs'!$J$39:$J$45)),F123),IF(C123="E-Commerce",(_xlfn.XLOOKUP(G123,'Complexity Factors'!$B$12:$B$18,'Complexity Factors'!$C$12:$C$18)*2.9),IF(C123="Services/Integrations",_xlfn.XLOOKUP(G123,'Complexity Factors'!$D$12:$D$16,'Complexity Factors'!$E$12:$E$16)*_xlfn.XLOOKUP($D$26,'Complexity Factors'!$B$41:$B$44,'Complexity Factors'!$D$41:$D$44),IF(C123="UI",_xlfn.XLOOKUP(G123,'Complexity Factors'!$B$12:$B$18,'Complexity Factors'!$C$12:$C$18)*_xlfn.XLOOKUP($D$26,'Complexity Factors'!$B$41:$B$44,'Complexity Factors'!$D$41:$D$44),_xlfn.XLOOKUP(G123,'Complexity Factors'!$B$12:$B$18,'Complexity Factors'!$C$12:$C$18)*_xlfn.XLOOKUP($D$26,'Complexity Factors'!$B$41:$B$44,'Complexity Factors'!$C$41:$C$44))))))*(IF(TB.ScopeEstimation[[#This Row],[External Dependencies]]="",1,(1+_xlfn.XLOOKUP(K123,'Complexity Factors'!$B$24:$B$28,'Complexity Factors'!$C$24:$C$28))))),"")</f>
        <v/>
      </c>
      <c r="M123" s="1066"/>
      <c r="N123" s="894"/>
      <c r="O123" s="894"/>
      <c r="P123" s="1513">
        <f>IF(TB.ScopeEstimation[[#This Row],[Option 1]]="Yes",TB.ScopeEstimation[[#This Row],[WED]],0)</f>
        <v>0</v>
      </c>
      <c r="Q123" s="1513">
        <f>IF(TB.ScopeEstimation[[#This Row],[Option 2]]="Yes",TB.ScopeEstimation[[#This Row],[WED]],0)</f>
        <v>0</v>
      </c>
      <c r="R123" s="1513">
        <f>IF(TB.ScopeEstimation[[#This Row],[Option 3]]="Yes",TB.ScopeEstimation[[#This Row],[WED]],0)</f>
        <v>0</v>
      </c>
      <c r="S123" s="1067"/>
      <c r="T123" s="1069"/>
      <c r="U123" s="629"/>
      <c r="V123" s="629"/>
    </row>
    <row r="125" spans="2:22" ht="25.05" customHeight="1" x14ac:dyDescent="0.25">
      <c r="C125" s="741" t="s">
        <v>2293</v>
      </c>
      <c r="D125" s="475"/>
      <c r="E125" s="636"/>
      <c r="F125" s="637"/>
      <c r="G125" s="638"/>
      <c r="H125" s="638"/>
      <c r="I125" s="638"/>
      <c r="J125" s="638"/>
      <c r="K125" s="475"/>
      <c r="L125" s="475"/>
      <c r="M125" s="639"/>
      <c r="N125" s="515"/>
      <c r="O125" s="515"/>
      <c r="P125" s="515"/>
      <c r="Q125" s="515"/>
      <c r="R125" s="515"/>
      <c r="S125" s="475"/>
      <c r="T125" s="475"/>
      <c r="U125" s="475"/>
    </row>
    <row r="127" spans="2:22" x14ac:dyDescent="0.25">
      <c r="C127" s="579"/>
      <c r="D127" s="632"/>
      <c r="E127" s="633"/>
      <c r="G127" s="640"/>
      <c r="H127" s="640"/>
      <c r="I127" s="640"/>
      <c r="J127" s="640"/>
      <c r="K127" s="413"/>
      <c r="L127" s="413"/>
      <c r="M127" s="641"/>
      <c r="N127" s="505"/>
      <c r="O127" s="505"/>
      <c r="P127" s="505"/>
      <c r="Q127" s="505"/>
      <c r="R127" s="505"/>
      <c r="S127" s="413"/>
      <c r="T127" s="413"/>
    </row>
    <row r="128" spans="2:22" ht="15" x14ac:dyDescent="0.25">
      <c r="C128" s="2006" t="s">
        <v>79</v>
      </c>
      <c r="D128" s="2007"/>
      <c r="E128" s="2008"/>
      <c r="G128" s="413"/>
      <c r="H128" s="413"/>
      <c r="I128" s="413"/>
      <c r="J128" s="413"/>
      <c r="K128" s="413"/>
      <c r="L128" s="413"/>
      <c r="M128" s="413"/>
      <c r="N128" s="642"/>
      <c r="O128" s="505"/>
      <c r="P128" s="505"/>
      <c r="Q128" s="505"/>
      <c r="R128" s="505"/>
      <c r="S128" s="413"/>
      <c r="T128" s="413"/>
    </row>
    <row r="129" spans="3:20" x14ac:dyDescent="0.25">
      <c r="C129" s="1030" t="s">
        <v>80</v>
      </c>
      <c r="D129" s="1248" t="e">
        <f>'Optional - Scope Options Review'!#REF!/8</f>
        <v>#REF!</v>
      </c>
      <c r="E129" s="1252"/>
      <c r="G129" s="643"/>
      <c r="H129" s="643"/>
      <c r="I129" s="643"/>
      <c r="J129" s="643"/>
      <c r="K129" s="644"/>
      <c r="L129" s="644"/>
      <c r="M129" s="645"/>
      <c r="N129" s="413"/>
      <c r="O129" s="505"/>
      <c r="P129" s="505"/>
      <c r="Q129" s="505"/>
      <c r="R129" s="505"/>
      <c r="S129" s="413"/>
      <c r="T129" s="413"/>
    </row>
    <row r="130" spans="3:20" x14ac:dyDescent="0.25">
      <c r="C130" s="1031" t="str">
        <f>IF($D$20="Consulting",CONCATENATE(G15," Total Days"),CONCATENATE('Rates &amp; Drop Downs INT'!AE7," Development Days"))</f>
        <v>UX Development Days</v>
      </c>
      <c r="D130" s="1249">
        <f>IFERROR(IF($D$20="Consulting",SUMIFS(L$63:L$123,C$63:$C$123,G15),SUMIFS(L$63:$L$123,C$63:$C$123,'Rates &amp; Drop Downs INT'!AE7))," ")</f>
        <v>0</v>
      </c>
      <c r="E130" s="1253" t="s">
        <v>81</v>
      </c>
      <c r="G130" s="643"/>
      <c r="H130" s="643"/>
      <c r="I130" s="643"/>
      <c r="J130" s="643"/>
      <c r="K130" s="644"/>
      <c r="L130" s="644"/>
      <c r="M130" s="645"/>
      <c r="N130" s="413"/>
      <c r="O130" s="505"/>
      <c r="P130" s="505"/>
      <c r="Q130" s="505"/>
      <c r="R130" s="505"/>
      <c r="S130" s="413"/>
      <c r="T130" s="413"/>
    </row>
    <row r="131" spans="3:20" x14ac:dyDescent="0.25">
      <c r="C131" s="1031" t="str">
        <f>IF($D$20="Consulting",CONCATENATE(G16," Total Days"),CONCATENATE('Rates &amp; Drop Downs INT'!AE8," Development Days"))</f>
        <v>UI Development Days</v>
      </c>
      <c r="D131" s="1249">
        <f>IFERROR(IF($D$20="Consulting",SUMIFS(L$63:L$123,C$63:$C$123,G16),SUMIFS(L$63:$L$123,C$63:$C$123,'Rates &amp; Drop Downs INT'!AE8))," ")</f>
        <v>0</v>
      </c>
      <c r="E131" s="1253" t="s">
        <v>81</v>
      </c>
      <c r="G131" s="643"/>
      <c r="H131" s="643"/>
      <c r="I131" s="643"/>
      <c r="J131" s="643"/>
      <c r="K131" s="644"/>
      <c r="L131" s="644"/>
      <c r="M131" s="645"/>
      <c r="N131" s="413"/>
      <c r="O131" s="505"/>
      <c r="P131" s="505"/>
      <c r="Q131" s="505"/>
      <c r="R131" s="505"/>
      <c r="S131" s="413"/>
      <c r="T131" s="413"/>
    </row>
    <row r="132" spans="3:20" x14ac:dyDescent="0.25">
      <c r="C132" s="1031" t="str">
        <f>IF($D$20="Consulting",CONCATENATE(G17," Total Days"),CONCATENATE('Rates &amp; Drop Downs INT'!AE9," Development Days"))</f>
        <v>CMS + Web Integration Development Days</v>
      </c>
      <c r="D132" s="1249">
        <f>IFERROR(IF($D$20="Consulting",SUMIFS(L$63:L$123,C$63:$C$123,G17),SUMIFS(L$63:$L$123,C$63:$C$123,'Rates &amp; Drop Downs INT'!AE9))," ")</f>
        <v>0</v>
      </c>
      <c r="E132" s="1254" t="s">
        <v>81</v>
      </c>
      <c r="G132" s="643"/>
      <c r="H132" s="643"/>
      <c r="I132" s="643"/>
      <c r="J132" s="643"/>
      <c r="K132" s="644"/>
      <c r="L132" s="644"/>
      <c r="M132" s="645"/>
      <c r="N132" s="413"/>
      <c r="O132" s="505"/>
      <c r="P132" s="505"/>
      <c r="Q132" s="505"/>
      <c r="R132" s="505"/>
      <c r="S132" s="413"/>
      <c r="T132" s="413"/>
    </row>
    <row r="133" spans="3:20" x14ac:dyDescent="0.25">
      <c r="C133" s="1031" t="str">
        <f>IF($D$20="Consulting",CONCATENATE(G18," Total Days"),CONCATENATE('Rates &amp; Drop Downs INT'!AE10," Development Days"))</f>
        <v>Services/Integrations Development Days</v>
      </c>
      <c r="D133" s="1249">
        <f>IFERROR(IF($D$20="Consulting",SUMIFS(L$63:L$123,C$63:$C$123,G18),SUMIFS(L$63:$L$123,C$63:$C$123,'Rates &amp; Drop Downs INT'!AE10))," ")</f>
        <v>0</v>
      </c>
      <c r="E133" s="1253" t="s">
        <v>81</v>
      </c>
      <c r="G133" s="643"/>
      <c r="H133" s="643"/>
      <c r="I133" s="643"/>
      <c r="J133" s="643"/>
      <c r="K133" s="644"/>
      <c r="L133" s="644"/>
      <c r="M133" s="645"/>
      <c r="N133" s="413"/>
      <c r="O133" s="505"/>
      <c r="P133" s="505"/>
      <c r="Q133" s="505"/>
      <c r="R133" s="505"/>
      <c r="S133" s="413"/>
      <c r="T133" s="413"/>
    </row>
    <row r="134" spans="3:20" x14ac:dyDescent="0.25">
      <c r="C134" s="1031" t="str">
        <f>IF($D$20="Consulting",CONCATENATE(G19," Total Days"),CONCATENATE('Rates &amp; Drop Downs INT'!AE11," Development Days"))</f>
        <v>E-Commerce Development Days</v>
      </c>
      <c r="D134" s="1249">
        <f>IFERROR(IF($D$20="Consulting",SUMIFS(L$63:L$123,C$63:$C$123,G19),SUMIFS(L$63:$L$123,C$63:$C$123,'Rates &amp; Drop Downs INT'!AE11))," ")</f>
        <v>0</v>
      </c>
      <c r="E134" s="1253" t="s">
        <v>81</v>
      </c>
      <c r="F134" s="646"/>
      <c r="G134" s="643"/>
      <c r="H134" s="643"/>
      <c r="I134" s="643"/>
      <c r="J134" s="643"/>
      <c r="K134" s="644"/>
      <c r="L134" s="644"/>
      <c r="M134" s="645"/>
      <c r="N134" s="413"/>
      <c r="O134" s="505"/>
      <c r="P134" s="505"/>
      <c r="Q134" s="505"/>
      <c r="R134" s="505"/>
      <c r="S134" s="413"/>
      <c r="T134" s="413"/>
    </row>
    <row r="135" spans="3:20" x14ac:dyDescent="0.25">
      <c r="C135" s="1031" t="str">
        <f>IF($D$20="Consulting",CONCATENATE(G20," Total Days"),CONCATENATE('Rates &amp; Drop Downs INT'!AE8," Unit Testing Days"))</f>
        <v>UI Unit Testing Days</v>
      </c>
      <c r="D135" s="1249">
        <f>IFERROR(IF($D$20="Consulting",SUMIFS(L$63:L$123,C$63:$C$123,G20),D131*'Complexity Factors'!$G$74)," ")</f>
        <v>0</v>
      </c>
      <c r="E135" s="1253" t="s">
        <v>81</v>
      </c>
      <c r="G135" s="643"/>
      <c r="H135" s="643"/>
      <c r="I135" s="643"/>
      <c r="J135" s="643"/>
      <c r="K135" s="647"/>
      <c r="L135" s="648"/>
      <c r="M135" s="648"/>
      <c r="N135" s="649"/>
      <c r="O135" s="505"/>
      <c r="P135" s="505"/>
      <c r="Q135" s="505"/>
      <c r="R135" s="505"/>
      <c r="S135" s="413"/>
      <c r="T135" s="413"/>
    </row>
    <row r="136" spans="3:20" x14ac:dyDescent="0.25">
      <c r="C136" s="1031" t="str">
        <f>IF($D$20="Consulting",CONCATENATE(G21," Total Days"),CONCATENATE('Rates &amp; Drop Downs INT'!AE9," Unit Testing Days"))</f>
        <v>CMS + Web Integration Unit Testing Days</v>
      </c>
      <c r="D136" s="1249">
        <f>IFERROR(IF($D$20="Consulting",SUMIFS(L$63:L$123,C$63:$C$123,G21),D132*'Complexity Factors'!$G$74)," ")</f>
        <v>0</v>
      </c>
      <c r="E136" s="1253" t="s">
        <v>81</v>
      </c>
      <c r="G136" s="643"/>
      <c r="H136" s="643"/>
      <c r="I136" s="643"/>
      <c r="J136" s="643"/>
      <c r="K136" s="413"/>
      <c r="L136" s="649"/>
      <c r="M136" s="649"/>
      <c r="N136" s="649"/>
      <c r="O136" s="505"/>
      <c r="P136" s="505"/>
      <c r="Q136" s="505"/>
      <c r="R136" s="505"/>
      <c r="S136" s="413"/>
      <c r="T136" s="413"/>
    </row>
    <row r="137" spans="3:20" x14ac:dyDescent="0.25">
      <c r="C137" s="1031" t="str">
        <f>IF($D$20="Consulting",CONCATENATE(G22," Total Days"),CONCATENATE('Rates &amp; Drop Downs INT'!AE10," Unit Testing Days"))</f>
        <v>Services/Integrations Unit Testing Days</v>
      </c>
      <c r="D137" s="1249">
        <f>IFERROR(IF($D$20="Consulting",SUMIFS(L$63:L$123,C$63:$C$123,G22),D133*'Complexity Factors'!$G$74)," ")</f>
        <v>0</v>
      </c>
      <c r="E137" s="1253" t="s">
        <v>81</v>
      </c>
      <c r="G137" s="643"/>
      <c r="H137" s="643"/>
      <c r="I137" s="643"/>
      <c r="J137" s="643"/>
      <c r="K137" s="615"/>
      <c r="L137" s="650"/>
      <c r="M137" s="650"/>
      <c r="N137" s="650"/>
      <c r="O137" s="650"/>
      <c r="P137" s="650"/>
      <c r="Q137" s="650"/>
      <c r="R137" s="650"/>
      <c r="S137" s="413"/>
      <c r="T137" s="413"/>
    </row>
    <row r="138" spans="3:20" ht="16.8" x14ac:dyDescent="0.3">
      <c r="C138" s="1031" t="str">
        <f>IF($D$20="Consulting",CONCATENATE(G23," Total Days"),CONCATENATE('Rates &amp; Drop Downs INT'!AE11," Unit Testing Days"))</f>
        <v>E-Commerce Unit Testing Days</v>
      </c>
      <c r="D138" s="1249">
        <f>IFERROR(IF($D$20="Consulting",SUMIFS(L$63:L$123,C$63:$C$123,G23),D134*'Complexity Factors'!$G$74)," ")</f>
        <v>0</v>
      </c>
      <c r="E138" s="1253" t="s">
        <v>81</v>
      </c>
      <c r="G138" s="643"/>
      <c r="H138" s="643"/>
      <c r="I138" s="643"/>
      <c r="J138" s="643"/>
      <c r="K138" s="651"/>
      <c r="L138" s="652"/>
      <c r="M138" s="652"/>
      <c r="N138" s="653"/>
      <c r="O138" s="413"/>
      <c r="P138" s="413"/>
      <c r="Q138" s="413"/>
      <c r="R138" s="413"/>
      <c r="S138" s="413"/>
      <c r="T138" s="413"/>
    </row>
    <row r="139" spans="3:20" x14ac:dyDescent="0.25">
      <c r="C139" s="1031" t="str">
        <f>IF($D$20="Consulting",CONCATENATE(G24," Total Days"),"")</f>
        <v/>
      </c>
      <c r="D139" s="1249" t="str">
        <f>IFERROR(IF($D$20="Consulting",SUMIFS(L$63:L$123,C$63:$C$123,G24),"")," ")</f>
        <v/>
      </c>
      <c r="E139" s="1253" t="s">
        <v>81</v>
      </c>
      <c r="G139" s="448"/>
      <c r="H139" s="448"/>
      <c r="I139" s="448"/>
      <c r="J139" s="448"/>
      <c r="K139" s="654"/>
      <c r="L139" s="655"/>
      <c r="M139" s="641"/>
      <c r="N139" s="413"/>
      <c r="O139" s="413"/>
      <c r="P139" s="413"/>
      <c r="Q139" s="413"/>
      <c r="R139" s="413"/>
      <c r="S139" s="413"/>
      <c r="T139" s="413"/>
    </row>
    <row r="140" spans="3:20" ht="14.25" customHeight="1" x14ac:dyDescent="0.25">
      <c r="C140" s="1031" t="str">
        <f>IF($D$20="Consulting",CONCATENATE(G25," Total Days"),"Total Dev Days")</f>
        <v>Total Dev Days</v>
      </c>
      <c r="D140" s="1249">
        <f>IFERROR(IF($D$20="Consulting",SUMIFS(L$63:L$123,C$63:$C$123,G25),SUM(D130:D138))," ")</f>
        <v>0</v>
      </c>
      <c r="E140" s="1253" t="s">
        <v>81</v>
      </c>
      <c r="G140" s="413"/>
      <c r="H140" s="413"/>
      <c r="I140" s="413"/>
      <c r="J140" s="413"/>
      <c r="K140" s="413"/>
      <c r="L140" s="655"/>
      <c r="M140" s="413"/>
      <c r="N140" s="413"/>
      <c r="O140" s="413"/>
      <c r="P140" s="413"/>
      <c r="Q140" s="413"/>
      <c r="R140" s="413"/>
      <c r="S140" s="413"/>
      <c r="T140" s="413"/>
    </row>
    <row r="141" spans="3:20" ht="16.8" x14ac:dyDescent="0.3">
      <c r="C141" s="1032" t="str">
        <f>IF($D$20="Consulting",CONCATENATE(G26," Total Days"),"Total QA Days")</f>
        <v>Total QA Days</v>
      </c>
      <c r="D141" s="1250" t="str">
        <f>IFERROR(IF($D$20="Consulting",SUMIFS(L$63:L$123,C$63:$C$123,G26),IFERROR(_xlfn.XLOOKUP('1. Project Inputs'!G20,'Complexity Factors'!B66:B70,'Complexity Factors'!D66:D70)*SUM('Optional - Scope Estimation'!D134:D138,'Optional - Scope Estimation'!D130:D132),"Select QA Intensity"))," ")</f>
        <v>Select QA Intensity</v>
      </c>
      <c r="E141" s="1255" t="s">
        <v>81</v>
      </c>
      <c r="G141" s="640"/>
      <c r="H141" s="640"/>
      <c r="I141" s="640"/>
      <c r="J141" s="640"/>
      <c r="K141" s="651"/>
      <c r="L141" s="652"/>
      <c r="M141" s="651"/>
      <c r="N141" s="656"/>
      <c r="O141" s="413"/>
      <c r="P141" s="413"/>
      <c r="Q141" s="413"/>
      <c r="R141" s="413"/>
      <c r="S141" s="413"/>
      <c r="T141" s="413"/>
    </row>
    <row r="142" spans="3:20" x14ac:dyDescent="0.25">
      <c r="C142" s="1033" t="s">
        <v>82</v>
      </c>
      <c r="D142" s="1251" t="str">
        <f>IFERROR(SUM(D129:D141),"Need Bucket Estimates")</f>
        <v>Need Bucket Estimates</v>
      </c>
      <c r="E142" s="1256" t="s">
        <v>81</v>
      </c>
      <c r="G142" s="640"/>
      <c r="H142" s="640"/>
      <c r="I142" s="640"/>
      <c r="J142" s="640"/>
      <c r="K142" s="413"/>
      <c r="L142" s="413"/>
      <c r="M142" s="641"/>
      <c r="N142" s="505"/>
      <c r="O142" s="505"/>
      <c r="P142" s="505"/>
      <c r="Q142" s="505"/>
      <c r="R142" s="505"/>
      <c r="S142" s="413"/>
      <c r="T142" s="413"/>
    </row>
    <row r="143" spans="3:20" x14ac:dyDescent="0.25">
      <c r="G143" s="640"/>
      <c r="H143" s="640"/>
      <c r="I143" s="640"/>
      <c r="J143" s="640"/>
      <c r="K143" s="413"/>
      <c r="L143" s="413"/>
      <c r="M143" s="641"/>
      <c r="N143" s="505"/>
      <c r="O143" s="505"/>
      <c r="P143" s="505"/>
      <c r="Q143" s="505"/>
      <c r="R143" s="505"/>
      <c r="S143" s="413"/>
      <c r="T143" s="413"/>
    </row>
    <row r="144" spans="3:20" x14ac:dyDescent="0.25">
      <c r="D144" s="632"/>
      <c r="E144" s="633"/>
      <c r="G144" s="640"/>
      <c r="H144" s="640"/>
      <c r="I144" s="640"/>
      <c r="J144" s="640"/>
      <c r="K144" s="413"/>
      <c r="L144" s="413"/>
      <c r="M144" s="641"/>
      <c r="N144" s="505"/>
      <c r="O144" s="505"/>
      <c r="P144" s="505"/>
      <c r="Q144" s="505"/>
      <c r="R144" s="505"/>
      <c r="S144" s="413"/>
      <c r="T144" s="413"/>
    </row>
    <row r="145" spans="3:20" ht="22.05" customHeight="1" x14ac:dyDescent="0.25">
      <c r="C145" s="411" t="s">
        <v>3266</v>
      </c>
      <c r="G145" s="640"/>
      <c r="H145" s="640"/>
      <c r="I145" s="640"/>
      <c r="J145" s="640"/>
      <c r="K145" s="413"/>
      <c r="L145" s="413"/>
      <c r="M145" s="641"/>
      <c r="N145" s="505"/>
      <c r="O145" s="505"/>
      <c r="P145" s="505"/>
      <c r="Q145" s="505"/>
      <c r="R145" s="505"/>
      <c r="S145" s="413"/>
      <c r="T145" s="413"/>
    </row>
    <row r="146" spans="3:20" ht="15" x14ac:dyDescent="0.25">
      <c r="C146" s="2006" t="s">
        <v>83</v>
      </c>
      <c r="D146" s="2007"/>
      <c r="E146" s="2007"/>
      <c r="F146" s="2008"/>
      <c r="G146" s="1306"/>
      <c r="H146" s="1053"/>
      <c r="I146" s="1053"/>
      <c r="J146" s="1053"/>
      <c r="K146" s="1052" t="str">
        <f>IF(G148="Select","","Bucket Totals")</f>
        <v>Bucket Totals</v>
      </c>
      <c r="L146" s="1312"/>
      <c r="M146" s="1305"/>
      <c r="N146" s="1307"/>
      <c r="P146" s="649"/>
      <c r="Q146" s="649"/>
      <c r="R146" s="649"/>
      <c r="S146" s="413"/>
      <c r="T146" s="413"/>
    </row>
    <row r="147" spans="3:20" x14ac:dyDescent="0.25">
      <c r="C147" s="1034" t="s">
        <v>84</v>
      </c>
      <c r="D147" s="1035" t="s">
        <v>85</v>
      </c>
      <c r="E147" s="1036" t="s">
        <v>68</v>
      </c>
      <c r="F147" s="1037" t="s">
        <v>86</v>
      </c>
      <c r="G147" s="1307"/>
      <c r="H147" s="1049"/>
      <c r="I147" s="1049"/>
      <c r="J147" s="1049"/>
      <c r="K147" s="1048" t="str">
        <f>IF($C$148="Select","","UX")</f>
        <v>UX</v>
      </c>
      <c r="L147" s="1313" t="str">
        <f>CONCATENATE("   ",IF(COUNTIF($C$148:$C$161,K147)&gt;0,ROUNDUP(SUMIFS($F$148:$F$161,$C$148:$C$161,K147),0),""))</f>
        <v xml:space="preserve">   5</v>
      </c>
      <c r="M147" s="1305"/>
      <c r="N147" s="1307"/>
      <c r="P147" s="505"/>
      <c r="Q147" s="505"/>
      <c r="R147" s="505"/>
      <c r="S147" s="413"/>
      <c r="T147" s="413"/>
    </row>
    <row r="148" spans="3:20" x14ac:dyDescent="0.25">
      <c r="C148" s="1038" t="s">
        <v>267</v>
      </c>
      <c r="D148" s="1018">
        <v>10</v>
      </c>
      <c r="E148" s="1019" t="s">
        <v>33</v>
      </c>
      <c r="F148" s="1039">
        <v>5</v>
      </c>
      <c r="G148" s="1307"/>
      <c r="H148" s="1049"/>
      <c r="I148" s="1049"/>
      <c r="J148" s="1049"/>
      <c r="K148" s="1048" t="str">
        <f>IF($C$148="Select","","UI")</f>
        <v>UI</v>
      </c>
      <c r="L148" s="1313" t="str">
        <f>CONCATENATE("   ",IF(COUNTIF($C$148:$C$161,K148)&gt;0,ROUNDUP(SUMIFS($F$148:$F$161,$C$148:$C$161,K148),0),""))</f>
        <v xml:space="preserve">   </v>
      </c>
      <c r="M148" s="1305"/>
      <c r="N148" s="1307"/>
      <c r="P148" s="505"/>
      <c r="Q148" s="505"/>
      <c r="R148" s="505"/>
      <c r="S148" s="413"/>
      <c r="T148" s="413"/>
    </row>
    <row r="149" spans="3:20" x14ac:dyDescent="0.25">
      <c r="C149" s="1038" t="s">
        <v>293</v>
      </c>
      <c r="D149" s="1018">
        <v>5</v>
      </c>
      <c r="E149" s="1019" t="s">
        <v>35</v>
      </c>
      <c r="F149" s="1039">
        <v>4</v>
      </c>
      <c r="G149" s="1307"/>
      <c r="H149" s="1049"/>
      <c r="I149" s="1049"/>
      <c r="J149" s="1049"/>
      <c r="K149" s="1048" t="str">
        <f>IF($C$148="Select","","E-Commerce")</f>
        <v>E-Commerce</v>
      </c>
      <c r="L149" s="1313" t="str">
        <f>CONCATENATE("   ",IF(COUNTIF($C$148:$C$161,K149)&gt;0,ROUNDUP(SUMIFS($F$148:$F$161,$C$148:$C$161,K149),0),""))</f>
        <v xml:space="preserve">   </v>
      </c>
      <c r="M149" s="1305"/>
      <c r="N149" s="1307"/>
      <c r="P149" s="505"/>
      <c r="Q149" s="505"/>
      <c r="R149" s="505"/>
      <c r="S149" s="413"/>
      <c r="T149" s="413"/>
    </row>
    <row r="150" spans="3:20" x14ac:dyDescent="0.25">
      <c r="C150" s="1038" t="s">
        <v>20</v>
      </c>
      <c r="D150" s="1018" t="s">
        <v>4</v>
      </c>
      <c r="E150" s="1019"/>
      <c r="F150" s="1039" t="str">
        <f>IFERROR(IF(C150="E-Commerce",(_xlfn.XLOOKUP(E150,'Complexity Factors'!$B$12:$B$18,'Complexity Factors'!$C$12:$C$18)*2.9),IF(C150="Services/Integrations",_xlfn.XLOOKUP(E150,'Complexity Factors'!$D$12:$D$16,'Complexity Factors'!$E$12:$E$16)*_xlfn.XLOOKUP($D$26,'Complexity Factors'!$B$41:$B$44,'Complexity Factors'!$D$41:$D$44),IF(C150="UI",_xlfn.XLOOKUP(E150,'Complexity Factors'!$B$12:$B$18,'Complexity Factors'!$C$12:$C$18)*_xlfn.XLOOKUP($D$26,'Complexity Factors'!$B$41:$B$44,'Complexity Factors'!$D$41:$D$44),_xlfn.XLOOKUP(E150,'Complexity Factors'!$B$12:$B$18,'Complexity Factors'!$C$12:$C$18)*_xlfn.XLOOKUP($D$26,'Complexity Factors'!$B$41:$B$44,'Complexity Factors'!$C$41:$C$44))))*D150,"Enter Component Quantity")</f>
        <v>Enter Component Quantity</v>
      </c>
      <c r="G150" s="1307"/>
      <c r="H150" s="1049"/>
      <c r="I150" s="1049"/>
      <c r="J150" s="1049"/>
      <c r="K150" s="1048" t="str">
        <f>IF($C$148="Select","","CMS + Web Integration")</f>
        <v>CMS + Web Integration</v>
      </c>
      <c r="L150" s="1313" t="str">
        <f>CONCATENATE("   ",IF(COUNTIF($C$148:$C$161,K150)&gt;0,ROUNDUP(SUMIFS($F$148:$F$161,$C$148:$C$161,K150),0),""))</f>
        <v xml:space="preserve">   4</v>
      </c>
      <c r="M150" s="1305"/>
      <c r="N150" s="1307"/>
      <c r="P150" s="505"/>
      <c r="Q150" s="505"/>
      <c r="R150" s="505"/>
      <c r="S150" s="413"/>
      <c r="T150" s="413"/>
    </row>
    <row r="151" spans="3:20" x14ac:dyDescent="0.25">
      <c r="C151" s="1038" t="s">
        <v>20</v>
      </c>
      <c r="D151" s="1018" t="s">
        <v>4</v>
      </c>
      <c r="E151" s="1019"/>
      <c r="F151" s="1039" t="str">
        <f>IFERROR(IF(C151="E-Commerce",(_xlfn.XLOOKUP(E151,'Complexity Factors'!$B$12:$B$18,'Complexity Factors'!$C$12:$C$18)*2.9),IF(C151="Services/Integrations",_xlfn.XLOOKUP(E151,'Complexity Factors'!$D$12:$D$16,'Complexity Factors'!$E$12:$E$16)*_xlfn.XLOOKUP($D$26,'Complexity Factors'!$B$41:$B$44,'Complexity Factors'!$D$41:$D$44),IF(C151="UI",_xlfn.XLOOKUP(E151,'Complexity Factors'!$B$12:$B$18,'Complexity Factors'!$C$12:$C$18)*_xlfn.XLOOKUP($D$26,'Complexity Factors'!$B$41:$B$44,'Complexity Factors'!$D$41:$D$44),_xlfn.XLOOKUP(E151,'Complexity Factors'!$B$12:$B$18,'Complexity Factors'!$C$12:$C$18)*_xlfn.XLOOKUP($D$26,'Complexity Factors'!$B$41:$B$44,'Complexity Factors'!$C$41:$C$44))))*D151,"Enter Component Quantity")</f>
        <v>Enter Component Quantity</v>
      </c>
      <c r="G151" s="1307"/>
      <c r="H151" s="1051"/>
      <c r="I151" s="1051"/>
      <c r="J151" s="1051"/>
      <c r="K151" s="1050" t="str">
        <f>IF($C$148="Select","","Services/Integrations")</f>
        <v>Services/Integrations</v>
      </c>
      <c r="L151" s="1314" t="str">
        <f>CONCATENATE("   ",IF(COUNTIF($C$148:$C$161,K151)&gt;0,ROUNDUP(SUMIFS($F$148:$F$161,$C$148:$C$161,K151),0),""))</f>
        <v xml:space="preserve">   </v>
      </c>
      <c r="M151" s="1305"/>
      <c r="N151" s="1307"/>
      <c r="P151" s="505"/>
      <c r="Q151" s="505"/>
      <c r="R151" s="505"/>
      <c r="S151" s="413"/>
      <c r="T151" s="413"/>
    </row>
    <row r="152" spans="3:20" x14ac:dyDescent="0.25">
      <c r="C152" s="1308" t="s">
        <v>20</v>
      </c>
      <c r="D152" s="1309" t="s">
        <v>4</v>
      </c>
      <c r="E152" s="1310"/>
      <c r="F152" s="1311" t="str">
        <f>IFERROR(IF(C152="E-Commerce",(_xlfn.XLOOKUP(E152,'Complexity Factors'!$B$12:$B$18,'Complexity Factors'!$C$12:$C$18)*2.9),IF(C152="Services/Integrations",_xlfn.XLOOKUP(E152,'Complexity Factors'!$D$12:$D$16,'Complexity Factors'!$E$12:$E$16)*_xlfn.XLOOKUP($D$26,'Complexity Factors'!$B$41:$B$44,'Complexity Factors'!$D$41:$D$44),IF(C152="UI",_xlfn.XLOOKUP(E152,'Complexity Factors'!$B$12:$B$18,'Complexity Factors'!$C$12:$C$18)*_xlfn.XLOOKUP($D$26,'Complexity Factors'!$B$41:$B$44,'Complexity Factors'!$D$41:$D$44),_xlfn.XLOOKUP(E152,'Complexity Factors'!$B$12:$B$18,'Complexity Factors'!$C$12:$C$18)*_xlfn.XLOOKUP($D$26,'Complexity Factors'!$B$41:$B$44,'Complexity Factors'!$C$41:$C$44))))*D152,"Enter Component Quantity")</f>
        <v>Enter Component Quantity</v>
      </c>
      <c r="G152" s="640"/>
      <c r="H152" s="640"/>
      <c r="I152" s="640"/>
      <c r="J152" s="640"/>
      <c r="K152" s="413"/>
      <c r="L152" s="413"/>
      <c r="M152" s="641"/>
      <c r="N152" s="505"/>
      <c r="O152" s="505"/>
      <c r="P152" s="505"/>
      <c r="Q152" s="505"/>
      <c r="R152" s="505"/>
      <c r="S152" s="413"/>
      <c r="T152" s="413"/>
    </row>
    <row r="153" spans="3:20" x14ac:dyDescent="0.25">
      <c r="C153" s="1038" t="s">
        <v>20</v>
      </c>
      <c r="D153" s="1018" t="s">
        <v>4</v>
      </c>
      <c r="E153" s="1019"/>
      <c r="F153" s="1039" t="str">
        <f>IFERROR(IF(C153="E-Commerce",(_xlfn.XLOOKUP(E153,'Complexity Factors'!$B$12:$B$18,'Complexity Factors'!$C$12:$C$18)*2.9),IF(C153="Services/Integrations",_xlfn.XLOOKUP(E153,'Complexity Factors'!$D$12:$D$16,'Complexity Factors'!$E$12:$E$16)*_xlfn.XLOOKUP($D$26,'Complexity Factors'!$B$41:$B$44,'Complexity Factors'!$D$41:$D$44),IF(C153="UI",_xlfn.XLOOKUP(E153,'Complexity Factors'!$B$12:$B$18,'Complexity Factors'!$C$12:$C$18)*_xlfn.XLOOKUP($D$26,'Complexity Factors'!$B$41:$B$44,'Complexity Factors'!$D$41:$D$44),_xlfn.XLOOKUP(E153,'Complexity Factors'!$B$12:$B$18,'Complexity Factors'!$C$12:$C$18)*_xlfn.XLOOKUP($D$26,'Complexity Factors'!$B$41:$B$44,'Complexity Factors'!$C$41:$C$44))))*D153,"Enter Component Quantity")</f>
        <v>Enter Component Quantity</v>
      </c>
      <c r="G153" s="640"/>
      <c r="H153" s="640"/>
      <c r="I153" s="640"/>
      <c r="J153" s="640"/>
      <c r="K153" s="413"/>
      <c r="L153" s="413"/>
      <c r="M153" s="641"/>
      <c r="N153" s="505"/>
      <c r="O153" s="505"/>
      <c r="P153" s="505"/>
      <c r="Q153" s="505"/>
      <c r="R153" s="505"/>
      <c r="S153" s="413"/>
      <c r="T153" s="413"/>
    </row>
    <row r="154" spans="3:20" x14ac:dyDescent="0.25">
      <c r="C154" s="1038" t="s">
        <v>20</v>
      </c>
      <c r="D154" s="1018" t="s">
        <v>4</v>
      </c>
      <c r="E154" s="1019"/>
      <c r="F154" s="1039" t="str">
        <f>IFERROR(IF(C154="E-Commerce",(_xlfn.XLOOKUP(E154,'Complexity Factors'!$B$12:$B$18,'Complexity Factors'!$C$12:$C$18)*2.9),IF(C154="Services/Integrations",_xlfn.XLOOKUP(E154,'Complexity Factors'!$D$12:$D$16,'Complexity Factors'!$E$12:$E$16)*_xlfn.XLOOKUP($D$26,'Complexity Factors'!$B$41:$B$44,'Complexity Factors'!$D$41:$D$44),IF(C154="UI",_xlfn.XLOOKUP(E154,'Complexity Factors'!$B$12:$B$18,'Complexity Factors'!$C$12:$C$18)*_xlfn.XLOOKUP($D$26,'Complexity Factors'!$B$41:$B$44,'Complexity Factors'!$D$41:$D$44),_xlfn.XLOOKUP(E154,'Complexity Factors'!$B$12:$B$18,'Complexity Factors'!$C$12:$C$18)*_xlfn.XLOOKUP($D$26,'Complexity Factors'!$B$41:$B$44,'Complexity Factors'!$C$41:$C$44))))*D154,"Enter Component Quantity")</f>
        <v>Enter Component Quantity</v>
      </c>
      <c r="G154" s="640"/>
      <c r="H154" s="640"/>
      <c r="I154" s="640"/>
      <c r="J154" s="640"/>
      <c r="K154" s="413"/>
      <c r="L154" s="413"/>
      <c r="M154" s="641"/>
      <c r="N154" s="505"/>
      <c r="O154" s="505"/>
      <c r="P154" s="505"/>
      <c r="Q154" s="505"/>
      <c r="R154" s="505"/>
      <c r="S154" s="413"/>
      <c r="T154" s="413"/>
    </row>
    <row r="155" spans="3:20" x14ac:dyDescent="0.25">
      <c r="C155" s="1038" t="s">
        <v>20</v>
      </c>
      <c r="D155" s="1018" t="s">
        <v>4</v>
      </c>
      <c r="E155" s="1019"/>
      <c r="F155" s="1039" t="str">
        <f>IFERROR(IF(C155="E-Commerce",(_xlfn.XLOOKUP(E155,'Complexity Factors'!$B$12:$B$18,'Complexity Factors'!$C$12:$C$18)*2.9),IF(C155="Services/Integrations",_xlfn.XLOOKUP(E155,'Complexity Factors'!$D$12:$D$16,'Complexity Factors'!$E$12:$E$16)*_xlfn.XLOOKUP($D$26,'Complexity Factors'!$B$41:$B$44,'Complexity Factors'!$D$41:$D$44),IF(C155="UI",_xlfn.XLOOKUP(E155,'Complexity Factors'!$B$12:$B$18,'Complexity Factors'!$C$12:$C$18)*_xlfn.XLOOKUP($D$26,'Complexity Factors'!$B$41:$B$44,'Complexity Factors'!$D$41:$D$44),_xlfn.XLOOKUP(E155,'Complexity Factors'!$B$12:$B$18,'Complexity Factors'!$C$12:$C$18)*_xlfn.XLOOKUP($D$26,'Complexity Factors'!$B$41:$B$44,'Complexity Factors'!$C$41:$C$44))))*D155,"Enter Component Quantity")</f>
        <v>Enter Component Quantity</v>
      </c>
      <c r="G155" s="640"/>
      <c r="H155" s="640"/>
      <c r="I155" s="640"/>
      <c r="J155" s="640"/>
      <c r="K155" s="413"/>
      <c r="L155" s="413"/>
      <c r="M155" s="641"/>
      <c r="N155" s="505"/>
      <c r="O155" s="505"/>
      <c r="P155" s="505"/>
      <c r="Q155" s="505"/>
      <c r="R155" s="505"/>
      <c r="S155" s="413"/>
      <c r="T155" s="413"/>
    </row>
    <row r="156" spans="3:20" x14ac:dyDescent="0.25">
      <c r="C156" s="1038" t="s">
        <v>20</v>
      </c>
      <c r="D156" s="1018" t="s">
        <v>4</v>
      </c>
      <c r="E156" s="1019"/>
      <c r="F156" s="1039" t="str">
        <f>IFERROR(IF(C156="E-Commerce",(_xlfn.XLOOKUP(E156,'Complexity Factors'!$B$12:$B$18,'Complexity Factors'!$C$12:$C$18)*2.9),IF(C156="Services/Integrations",_xlfn.XLOOKUP(E156,'Complexity Factors'!$D$12:$D$16,'Complexity Factors'!$E$12:$E$16)*_xlfn.XLOOKUP($D$26,'Complexity Factors'!$B$41:$B$44,'Complexity Factors'!$D$41:$D$44),IF(C156="UI",_xlfn.XLOOKUP(E156,'Complexity Factors'!$B$12:$B$18,'Complexity Factors'!$C$12:$C$18)*_xlfn.XLOOKUP($D$26,'Complexity Factors'!$B$41:$B$44,'Complexity Factors'!$D$41:$D$44),_xlfn.XLOOKUP(E156,'Complexity Factors'!$B$12:$B$18,'Complexity Factors'!$C$12:$C$18)*_xlfn.XLOOKUP($D$26,'Complexity Factors'!$B$41:$B$44,'Complexity Factors'!$C$41:$C$44))))*D156,"Enter Component Quantity")</f>
        <v>Enter Component Quantity</v>
      </c>
      <c r="G156" s="640"/>
      <c r="H156" s="640"/>
      <c r="I156" s="640"/>
      <c r="J156" s="640"/>
      <c r="K156" s="413"/>
      <c r="L156" s="413"/>
      <c r="M156" s="641"/>
      <c r="N156" s="505"/>
      <c r="O156" s="505"/>
      <c r="P156" s="505"/>
      <c r="Q156" s="505"/>
      <c r="R156" s="505"/>
      <c r="S156" s="413"/>
      <c r="T156" s="413"/>
    </row>
    <row r="157" spans="3:20" x14ac:dyDescent="0.25">
      <c r="C157" s="1038" t="s">
        <v>20</v>
      </c>
      <c r="D157" s="1018" t="s">
        <v>4</v>
      </c>
      <c r="E157" s="1019"/>
      <c r="F157" s="1039" t="str">
        <f>IFERROR(IF(C157="E-Commerce",(_xlfn.XLOOKUP(E157,'Complexity Factors'!$B$12:$B$18,'Complexity Factors'!$C$12:$C$18)*2.9),IF(C157="Services/Integrations",_xlfn.XLOOKUP(E157,'Complexity Factors'!$D$12:$D$16,'Complexity Factors'!$E$12:$E$16)*_xlfn.XLOOKUP($D$26,'Complexity Factors'!$B$41:$B$44,'Complexity Factors'!$D$41:$D$44),IF(C157="UI",_xlfn.XLOOKUP(E157,'Complexity Factors'!$B$12:$B$18,'Complexity Factors'!$C$12:$C$18)*_xlfn.XLOOKUP($D$26,'Complexity Factors'!$B$41:$B$44,'Complexity Factors'!$D$41:$D$44),_xlfn.XLOOKUP(E157,'Complexity Factors'!$B$12:$B$18,'Complexity Factors'!$C$12:$C$18)*_xlfn.XLOOKUP($D$26,'Complexity Factors'!$B$41:$B$44,'Complexity Factors'!$C$41:$C$44))))*D157,"Enter Component Quantity")</f>
        <v>Enter Component Quantity</v>
      </c>
      <c r="G157" s="640"/>
      <c r="H157" s="640"/>
      <c r="I157" s="640"/>
      <c r="J157" s="640"/>
      <c r="K157" s="413"/>
      <c r="L157" s="413"/>
      <c r="M157" s="641"/>
      <c r="N157" s="505"/>
      <c r="O157" s="505"/>
      <c r="P157" s="505"/>
      <c r="Q157" s="505"/>
      <c r="R157" s="505"/>
      <c r="S157" s="413"/>
      <c r="T157" s="413"/>
    </row>
    <row r="158" spans="3:20" x14ac:dyDescent="0.25">
      <c r="C158" s="1038" t="s">
        <v>20</v>
      </c>
      <c r="D158" s="1018" t="s">
        <v>4</v>
      </c>
      <c r="E158" s="1019"/>
      <c r="F158" s="1039" t="str">
        <f>IFERROR(IF(C158="E-Commerce",(_xlfn.XLOOKUP(E158,'Complexity Factors'!$B$12:$B$18,'Complexity Factors'!$C$12:$C$18)*2.9),IF(C158="Services/Integrations",_xlfn.XLOOKUP(E158,'Complexity Factors'!$D$12:$D$16,'Complexity Factors'!$E$12:$E$16)*_xlfn.XLOOKUP($D$26,'Complexity Factors'!$B$41:$B$44,'Complexity Factors'!$D$41:$D$44),IF(C158="UI",_xlfn.XLOOKUP(E158,'Complexity Factors'!$B$12:$B$18,'Complexity Factors'!$C$12:$C$18)*_xlfn.XLOOKUP($D$26,'Complexity Factors'!$B$41:$B$44,'Complexity Factors'!$D$41:$D$44),_xlfn.XLOOKUP(E158,'Complexity Factors'!$B$12:$B$18,'Complexity Factors'!$C$12:$C$18)*_xlfn.XLOOKUP($D$26,'Complexity Factors'!$B$41:$B$44,'Complexity Factors'!$C$41:$C$44))))*D158,"Enter Component Quantity")</f>
        <v>Enter Component Quantity</v>
      </c>
      <c r="G158" s="640"/>
      <c r="H158" s="640"/>
      <c r="I158" s="640"/>
      <c r="J158" s="640"/>
      <c r="K158" s="413"/>
      <c r="L158" s="413"/>
      <c r="M158" s="641"/>
      <c r="N158" s="505"/>
      <c r="O158" s="505"/>
      <c r="P158" s="505"/>
      <c r="Q158" s="505"/>
      <c r="R158" s="505"/>
      <c r="S158" s="413"/>
      <c r="T158" s="413"/>
    </row>
    <row r="159" spans="3:20" x14ac:dyDescent="0.25">
      <c r="C159" s="1038" t="s">
        <v>20</v>
      </c>
      <c r="D159" s="1018" t="s">
        <v>4</v>
      </c>
      <c r="E159" s="1019"/>
      <c r="F159" s="1039" t="str">
        <f>IFERROR(IF(C159="E-Commerce",(_xlfn.XLOOKUP(E159,'Complexity Factors'!$B$12:$B$18,'Complexity Factors'!$C$12:$C$18)*2.9),IF(C159="Services/Integrations",_xlfn.XLOOKUP(E159,'Complexity Factors'!$D$12:$D$16,'Complexity Factors'!$E$12:$E$16)*_xlfn.XLOOKUP($D$26,'Complexity Factors'!$B$41:$B$44,'Complexity Factors'!$D$41:$D$44),IF(C159="UI",_xlfn.XLOOKUP(E159,'Complexity Factors'!$B$12:$B$18,'Complexity Factors'!$C$12:$C$18)*_xlfn.XLOOKUP($D$26,'Complexity Factors'!$B$41:$B$44,'Complexity Factors'!$D$41:$D$44),_xlfn.XLOOKUP(E159,'Complexity Factors'!$B$12:$B$18,'Complexity Factors'!$C$12:$C$18)*_xlfn.XLOOKUP($D$26,'Complexity Factors'!$B$41:$B$44,'Complexity Factors'!$C$41:$C$44))))*D159,"Enter Component Quantity")</f>
        <v>Enter Component Quantity</v>
      </c>
      <c r="G159" s="640"/>
      <c r="H159" s="640"/>
      <c r="I159" s="640"/>
      <c r="J159" s="640"/>
      <c r="K159" s="413"/>
      <c r="L159" s="413"/>
      <c r="M159" s="641"/>
      <c r="N159" s="505"/>
      <c r="O159" s="505"/>
      <c r="P159" s="505"/>
      <c r="Q159" s="505"/>
      <c r="R159" s="505"/>
      <c r="S159" s="413"/>
      <c r="T159" s="413"/>
    </row>
    <row r="160" spans="3:20" x14ac:dyDescent="0.25">
      <c r="C160" s="1038" t="s">
        <v>20</v>
      </c>
      <c r="D160" s="1018" t="s">
        <v>4</v>
      </c>
      <c r="E160" s="1019"/>
      <c r="F160" s="1039" t="str">
        <f>IFERROR(IF(C160="E-Commerce",(_xlfn.XLOOKUP(E160,'Complexity Factors'!$B$12:$B$18,'Complexity Factors'!$C$12:$C$18)*2.9),IF(C160="Services/Integrations",_xlfn.XLOOKUP(E160,'Complexity Factors'!$D$12:$D$16,'Complexity Factors'!$E$12:$E$16)*_xlfn.XLOOKUP($D$26,'Complexity Factors'!$B$41:$B$44,'Complexity Factors'!$D$41:$D$44),IF(C160="UI",_xlfn.XLOOKUP(E160,'Complexity Factors'!$B$12:$B$18,'Complexity Factors'!$C$12:$C$18)*_xlfn.XLOOKUP($D$26,'Complexity Factors'!$B$41:$B$44,'Complexity Factors'!$D$41:$D$44),_xlfn.XLOOKUP(E160,'Complexity Factors'!$B$12:$B$18,'Complexity Factors'!$C$12:$C$18)*_xlfn.XLOOKUP($D$26,'Complexity Factors'!$B$41:$B$44,'Complexity Factors'!$C$41:$C$44))))*D160,"Enter Component Quantity")</f>
        <v>Enter Component Quantity</v>
      </c>
      <c r="G160" s="640"/>
      <c r="H160" s="640"/>
      <c r="I160" s="640"/>
      <c r="J160" s="640"/>
      <c r="K160" s="413"/>
      <c r="L160" s="413"/>
      <c r="M160" s="641"/>
      <c r="N160" s="505"/>
      <c r="O160" s="505"/>
      <c r="P160" s="505"/>
      <c r="Q160" s="505"/>
      <c r="R160" s="505"/>
      <c r="S160" s="413"/>
      <c r="T160" s="413"/>
    </row>
    <row r="161" spans="3:20" x14ac:dyDescent="0.25">
      <c r="C161" s="1040" t="s">
        <v>20</v>
      </c>
      <c r="D161" s="1041" t="s">
        <v>4</v>
      </c>
      <c r="E161" s="1042"/>
      <c r="F161" s="1043" t="str">
        <f>IFERROR(IF(C161="E-Commerce",(_xlfn.XLOOKUP(E161,'Complexity Factors'!$B$12:$B$18,'Complexity Factors'!$C$12:$C$18)*2.9),IF(C161="Services/Integrations",_xlfn.XLOOKUP(E161,'Complexity Factors'!$D$12:$D$16,'Complexity Factors'!$E$12:$E$16)*_xlfn.XLOOKUP($D$26,'Complexity Factors'!$B$41:$B$44,'Complexity Factors'!$D$41:$D$44),IF(C161="UI",_xlfn.XLOOKUP(E161,'Complexity Factors'!$B$12:$B$18,'Complexity Factors'!$C$12:$C$18)*_xlfn.XLOOKUP($D$26,'Complexity Factors'!$B$41:$B$44,'Complexity Factors'!$D$41:$D$44),_xlfn.XLOOKUP(E161,'Complexity Factors'!$B$12:$B$18,'Complexity Factors'!$C$12:$C$18)*_xlfn.XLOOKUP($D$26,'Complexity Factors'!$B$41:$B$44,'Complexity Factors'!$C$41:$C$44))))*D161,"Enter Component Quantity")</f>
        <v>Enter Component Quantity</v>
      </c>
      <c r="G161" s="640"/>
      <c r="H161" s="640"/>
      <c r="I161" s="640"/>
      <c r="J161" s="640"/>
      <c r="K161" s="413"/>
      <c r="L161" s="413"/>
      <c r="M161" s="641"/>
      <c r="N161" s="505"/>
      <c r="O161" s="505"/>
      <c r="P161" s="505"/>
      <c r="Q161" s="505"/>
      <c r="R161" s="505"/>
      <c r="S161" s="413"/>
      <c r="T161" s="413"/>
    </row>
    <row r="162" spans="3:20" x14ac:dyDescent="0.25">
      <c r="C162" s="1044" t="s">
        <v>87</v>
      </c>
      <c r="D162" s="1045">
        <f>SUM(D148:D161)</f>
        <v>15</v>
      </c>
      <c r="E162" s="1046"/>
      <c r="F162" s="1047">
        <f>SUM(F148:F161)</f>
        <v>9</v>
      </c>
      <c r="G162" s="640"/>
      <c r="H162" s="640"/>
      <c r="I162" s="640"/>
      <c r="J162" s="640"/>
      <c r="K162" s="413"/>
      <c r="L162" s="413"/>
      <c r="M162" s="641"/>
      <c r="N162" s="505"/>
      <c r="O162" s="505"/>
      <c r="P162" s="505"/>
      <c r="Q162" s="505"/>
      <c r="R162" s="505"/>
      <c r="S162" s="413"/>
      <c r="T162" s="413"/>
    </row>
  </sheetData>
  <sheetProtection autoFilter="0" pivotTables="0"/>
  <mergeCells count="34">
    <mergeCell ref="F15:F34"/>
    <mergeCell ref="L59:L61"/>
    <mergeCell ref="P59:R59"/>
    <mergeCell ref="B59:B60"/>
    <mergeCell ref="C59:C60"/>
    <mergeCell ref="D59:D60"/>
    <mergeCell ref="E59:E60"/>
    <mergeCell ref="M11:N11"/>
    <mergeCell ref="L2:N2"/>
    <mergeCell ref="C146:F146"/>
    <mergeCell ref="U15:U26"/>
    <mergeCell ref="F13:G13"/>
    <mergeCell ref="M59:O59"/>
    <mergeCell ref="F59:F60"/>
    <mergeCell ref="G59:G60"/>
    <mergeCell ref="K59:K60"/>
    <mergeCell ref="S59:S60"/>
    <mergeCell ref="M60:M61"/>
    <mergeCell ref="N60:N61"/>
    <mergeCell ref="O60:O61"/>
    <mergeCell ref="T59:T61"/>
    <mergeCell ref="C13:D13"/>
    <mergeCell ref="C128:E128"/>
    <mergeCell ref="X14:Y14"/>
    <mergeCell ref="M15:N15"/>
    <mergeCell ref="M14:N14"/>
    <mergeCell ref="M13:N13"/>
    <mergeCell ref="M12:N12"/>
    <mergeCell ref="C6:F6"/>
    <mergeCell ref="C7:F7"/>
    <mergeCell ref="C8:F8"/>
    <mergeCell ref="C9:F9"/>
    <mergeCell ref="W1:Y1"/>
    <mergeCell ref="C5:F5"/>
  </mergeCells>
  <phoneticPr fontId="33" type="noConversion"/>
  <conditionalFormatting sqref="D26:D29 C30 K129:L134">
    <cfRule type="expression" dxfId="28" priority="169">
      <formula>#REF!="Canada"</formula>
    </cfRule>
    <cfRule type="expression" dxfId="27" priority="170">
      <formula>#REF!="India"</formula>
    </cfRule>
    <cfRule type="expression" dxfId="26" priority="171">
      <formula>#REF!="US"</formula>
    </cfRule>
    <cfRule type="expression" dxfId="25" priority="172">
      <formula>#REF!="UK"</formula>
    </cfRule>
  </conditionalFormatting>
  <conditionalFormatting sqref="L17:L51 S52:T58 M58:R58 M60 S63:T1048576">
    <cfRule type="containsText" dxfId="24" priority="38" operator="containsText" text="Yes">
      <formula>NOT(ISERROR(SEARCH("Yes",L17)))</formula>
    </cfRule>
  </conditionalFormatting>
  <conditionalFormatting sqref="M63:M80">
    <cfRule type="containsText" dxfId="23" priority="21" operator="containsText" text="NO">
      <formula>NOT(ISERROR(SEARCH("NO",M63)))</formula>
    </cfRule>
    <cfRule type="containsText" dxfId="22" priority="22" operator="containsText" text="YES">
      <formula>NOT(ISERROR(SEARCH("YES",M63)))</formula>
    </cfRule>
  </conditionalFormatting>
  <conditionalFormatting sqref="M129:M134">
    <cfRule type="expression" dxfId="21" priority="31">
      <formula>$L129="Hrs"</formula>
    </cfRule>
  </conditionalFormatting>
  <conditionalFormatting sqref="N63:N77">
    <cfRule type="containsText" dxfId="20" priority="3" operator="containsText" text="NO">
      <formula>NOT(ISERROR(SEARCH("NO",N63)))</formula>
    </cfRule>
    <cfRule type="containsText" dxfId="19" priority="4" operator="containsText" text="YES">
      <formula>NOT(ISERROR(SEARCH("YES",N63)))</formula>
    </cfRule>
  </conditionalFormatting>
  <conditionalFormatting sqref="N78:R80 M81:R123">
    <cfRule type="containsText" dxfId="18" priority="34" operator="containsText" text="NO">
      <formula>NOT(ISERROR(SEARCH("NO",M78)))</formula>
    </cfRule>
    <cfRule type="containsText" dxfId="17" priority="35" operator="containsText" text="YES">
      <formula>NOT(ISERROR(SEARCH("YES",M78)))</formula>
    </cfRule>
  </conditionalFormatting>
  <conditionalFormatting sqref="O1:R21">
    <cfRule type="expression" dxfId="16" priority="23">
      <formula>$T$1="Canada"</formula>
    </cfRule>
    <cfRule type="expression" dxfId="15" priority="24">
      <formula>$T$1="India"</formula>
    </cfRule>
    <cfRule type="expression" dxfId="14" priority="25">
      <formula>$T$1="US"</formula>
    </cfRule>
    <cfRule type="expression" dxfId="13" priority="26">
      <formula>$T$1="UK"</formula>
    </cfRule>
  </conditionalFormatting>
  <conditionalFormatting sqref="O23:R23">
    <cfRule type="expression" dxfId="12" priority="27">
      <formula>$T$1="Canada"</formula>
    </cfRule>
    <cfRule type="expression" dxfId="11" priority="28">
      <formula>$T$1="India"</formula>
    </cfRule>
    <cfRule type="expression" dxfId="10" priority="29">
      <formula>$T$1="US"</formula>
    </cfRule>
    <cfRule type="expression" dxfId="9" priority="30">
      <formula>$T$1="UK"</formula>
    </cfRule>
  </conditionalFormatting>
  <conditionalFormatting sqref="O63:R77">
    <cfRule type="containsText" dxfId="8" priority="17" operator="containsText" text="NO">
      <formula>NOT(ISERROR(SEARCH("NO",O63)))</formula>
    </cfRule>
    <cfRule type="containsText" dxfId="7" priority="18" operator="containsText" text="YES">
      <formula>NOT(ISERROR(SEARCH("YES",O63)))</formula>
    </cfRule>
  </conditionalFormatting>
  <dataValidations count="2">
    <dataValidation allowBlank="1" showInputMessage="1" showErrorMessage="1" prompt="Select CMS" sqref="D129" xr:uid="{5BEC0731-CFFB-4576-875E-7842A3A56491}"/>
    <dataValidation type="list" allowBlank="1" showInputMessage="1" showErrorMessage="1" sqref="W15:W51" xr:uid="{C7E7630F-46AB-4AC2-B6BB-9E142B46112A}">
      <formula1>"%, Hrs"</formula1>
    </dataValidation>
  </dataValidations>
  <pageMargins left="0.7" right="0.7" top="0.75" bottom="0.75" header="0.3" footer="0.3"/>
  <pageSetup orientation="portrait" horizontalDpi="4294967293" r:id="rId1"/>
  <headerFooter>
    <oddFooter>&amp;C_x000D_&amp;1#&amp;"Calibri"&amp;10&amp;K000000 Confidential - Not for Public Consumption or Distribution</oddFooter>
  </headerFooter>
  <ignoredErrors>
    <ignoredError sqref="F150:F161 K146:K151 L147:L151 P63:R74 L85:L123 P102:R124" unlockedFormula="1"/>
    <ignoredError sqref="L75:L80" calculatedColumn="1"/>
    <ignoredError sqref="L63:L74 L81:L84" unlockedFormula="1" calculatedColumn="1"/>
  </ignoredErrors>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expression" priority="1" id="{87FAD5D2-8E8A-4508-86CF-241DE3E1C53E}">
            <xm:f>OR('1. Project Inputs'!$C$19="Select Entity",'1. Project Inputs'!$C$19="Credera US")</xm:f>
            <x14:dxf>
              <font>
                <color theme="0" tint="-4.9989318521683403E-2"/>
              </font>
              <fill>
                <patternFill>
                  <bgColor theme="0" tint="-4.9989318521683403E-2"/>
                </patternFill>
              </fill>
              <border>
                <left/>
                <right/>
                <top/>
                <bottom/>
                <vertical/>
                <horizontal/>
              </border>
            </x14:dxf>
          </x14:cfRule>
          <xm:sqref>C145:L162</xm:sqref>
        </x14:conditionalFormatting>
      </x14:conditionalFormattings>
    </ext>
    <ext xmlns:x14="http://schemas.microsoft.com/office/spreadsheetml/2009/9/main" uri="{CCE6A557-97BC-4b89-ADB6-D9C93CAAB3DF}">
      <x14:dataValidations xmlns:xm="http://schemas.microsoft.com/office/excel/2006/main" count="12">
        <x14:dataValidation type="list" allowBlank="1" showInputMessage="1" showErrorMessage="1" xr:uid="{18BB6745-7CD9-41E9-BB1C-8415BAF3D0F3}">
          <x14:formula1>
            <xm:f>'Complexity Factors'!$B$24:$B$28</xm:f>
          </x14:formula1>
          <xm:sqref>K63:K80</xm:sqref>
        </x14:dataValidation>
        <x14:dataValidation type="list" allowBlank="1" showInputMessage="1" showErrorMessage="1" xr:uid="{766CE45A-D01D-4030-BD70-720D0BDDC13B}">
          <x14:formula1>
            <xm:f>'Rates &amp; Drop Downs INT'!$AD$6:$AD$12</xm:f>
          </x14:formula1>
          <xm:sqref>O11:R11 O23:R23 O15:R20 O1:R1</xm:sqref>
        </x14:dataValidation>
        <x14:dataValidation type="list" allowBlank="1" showInputMessage="1" showErrorMessage="1" xr:uid="{CB88B68E-0666-4BE1-8AF2-08FDC25F147C}">
          <x14:formula1>
            <xm:f>IF($D$17='Complexity Factors'!$D$11,'Complexity Factors'!$D$12:$D$16,'Complexity Factors'!$B$12:$B$18)</xm:f>
          </x14:formula1>
          <xm:sqref>H69:J72</xm:sqref>
        </x14:dataValidation>
        <x14:dataValidation type="list" allowBlank="1" showInputMessage="1" showErrorMessage="1" xr:uid="{8E117C5B-3660-4EFA-9825-20FCBC1C6915}">
          <x14:formula1>
            <xm:f>'Rates &amp; Drop Downs INT'!$AE$6:$AE$11</xm:f>
          </x14:formula1>
          <xm:sqref>C148:C161</xm:sqref>
        </x14:dataValidation>
        <x14:dataValidation type="list" allowBlank="1" showInputMessage="1" showErrorMessage="1" xr:uid="{C50099EC-F260-4CA2-BCEF-10BE82F7C5F1}">
          <x14:formula1>
            <xm:f>IF(C148="Services/Integrations",'Complexity Factors'!$D$12:$D$16,'Complexity Factors'!$B$12:$B$18)</xm:f>
          </x14:formula1>
          <xm:sqref>E148:E161</xm:sqref>
        </x14:dataValidation>
        <x14:dataValidation type="list" allowBlank="1" showInputMessage="1" showErrorMessage="1" xr:uid="{79C7563C-E620-4F03-ADC0-07B1E423C3E4}">
          <x14:formula1>
            <xm:f>'Rates &amp; Drop Downs INT'!#REF!</xm:f>
          </x14:formula1>
          <xm:sqref>N78:O123 M81:M123</xm:sqref>
        </x14:dataValidation>
        <x14:dataValidation type="list" allowBlank="1" showInputMessage="1" xr:uid="{F948A5ED-636A-4924-AA0B-9D986CF7B7B9}">
          <x14:formula1>
            <xm:f>IF($D$20="Consulting",$G$15:$G$26,'Rates &amp; Drop Downs INT'!$AE$6:$AE$11)</xm:f>
          </x14:formula1>
          <xm:sqref>C85:C123</xm:sqref>
        </x14:dataValidation>
        <x14:dataValidation type="list" allowBlank="1" showInputMessage="1" showErrorMessage="1" xr:uid="{C51D80F9-14DD-4958-BD8C-4404F97C903A}">
          <x14:formula1>
            <xm:f>IF(D63='Complexity Factors'!$D$11,'Complexity Factors'!$D$12:$D$16,'Complexity Factors'!$B$12:$B$18)</xm:f>
          </x14:formula1>
          <xm:sqref>J63:J67</xm:sqref>
        </x14:dataValidation>
        <x14:dataValidation type="list" allowBlank="1" showInputMessage="1" showErrorMessage="1" xr:uid="{1771FDFB-632B-462B-BA66-4AD1E8D9F5CE}">
          <x14:formula1>
            <xm:f>IF(C63='Complexity Factors'!$D$11,'Complexity Factors'!$D$12:$D$16,'Complexity Factors'!$B$12:$B$18)</xm:f>
          </x14:formula1>
          <xm:sqref>H63:H67 G63:G80</xm:sqref>
        </x14:dataValidation>
        <x14:dataValidation type="list" allowBlank="1" showInputMessage="1" showErrorMessage="1" xr:uid="{A66CAE19-3DB2-403B-AF63-AD3BE0DC7796}">
          <x14:formula1>
            <xm:f>IF(D63='Complexity Factors'!$D$11,'Complexity Factors'!$D$12:$D$16,'Complexity Factors'!$B$12:$B$18)</xm:f>
          </x14:formula1>
          <xm:sqref>I63:I67</xm:sqref>
        </x14:dataValidation>
        <x14:dataValidation type="list" allowBlank="1" showInputMessage="1" showErrorMessage="1" xr:uid="{8DD1FEE3-CB30-465F-87E3-57770C132751}">
          <x14:formula1>
            <xm:f>'Rates &amp; Drop Downs INT'!$T$6:$T$8</xm:f>
          </x14:formula1>
          <xm:sqref>M63:M80 N63:O77</xm:sqref>
        </x14:dataValidation>
        <x14:dataValidation type="list" allowBlank="1" showInputMessage="1" xr:uid="{4AF9759C-74BC-4DE5-B551-92222E28764E}">
          <x14:formula1>
            <xm:f>'Rates &amp; Drop Downs INT'!$AN$6:$AN$36</xm:f>
          </x14:formula1>
          <xm:sqref>C63:C84</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9A6BD-B982-434C-8148-ADD328AD1BA3}">
  <sheetPr codeName="Sheet3">
    <tabColor theme="3" tint="0.249977111117893"/>
    <pageSetUpPr autoPageBreaks="0"/>
  </sheetPr>
  <dimension ref="B1:AQ779"/>
  <sheetViews>
    <sheetView showGridLines="0" topLeftCell="B1" zoomScale="119" zoomScaleNormal="80" workbookViewId="0">
      <pane ySplit="4" topLeftCell="A11" activePane="bottomLeft" state="frozen"/>
      <selection pane="bottomLeft" activeCell="D13" sqref="D13"/>
    </sheetView>
  </sheetViews>
  <sheetFormatPr defaultColWidth="8.77734375" defaultRowHeight="13.8" x14ac:dyDescent="0.25"/>
  <cols>
    <col min="1" max="1" width="3.21875" style="395" customWidth="1"/>
    <col min="2" max="2" width="6" style="107" customWidth="1"/>
    <col min="3" max="3" width="29.21875" style="4" customWidth="1"/>
    <col min="4" max="4" width="24.6640625" style="4" customWidth="1"/>
    <col min="5" max="5" width="17.44140625" style="4" bestFit="1" customWidth="1"/>
    <col min="6" max="6" width="6" style="4" customWidth="1"/>
    <col min="7" max="7" width="3.44140625" style="395" customWidth="1"/>
    <col min="8" max="8" width="6" style="4" customWidth="1"/>
    <col min="9" max="9" width="30.44140625" style="4" bestFit="1" customWidth="1"/>
    <col min="10" max="10" width="24.6640625" style="4" customWidth="1"/>
    <col min="11" max="11" width="17.44140625" style="4" bestFit="1" customWidth="1"/>
    <col min="12" max="12" width="6" style="4" customWidth="1"/>
    <col min="13" max="13" width="3.44140625" style="413" customWidth="1"/>
    <col min="14" max="14" width="6" style="4" customWidth="1"/>
    <col min="15" max="15" width="30.44140625" style="4" bestFit="1" customWidth="1"/>
    <col min="16" max="16" width="20.21875" style="4" customWidth="1"/>
    <col min="17" max="17" width="17.44140625" style="4" bestFit="1" customWidth="1"/>
    <col min="18" max="18" width="6" style="4" customWidth="1"/>
    <col min="19" max="19" width="15.44140625" style="395" bestFit="1" customWidth="1"/>
    <col min="20" max="20" width="16.44140625" style="395" bestFit="1" customWidth="1"/>
    <col min="21" max="42" width="10.44140625" style="395" customWidth="1"/>
    <col min="43" max="16384" width="8.77734375" style="395"/>
  </cols>
  <sheetData>
    <row r="1" spans="2:18" s="469" customFormat="1" ht="9.4499999999999993" customHeight="1" x14ac:dyDescent="0.25">
      <c r="B1" s="618"/>
      <c r="M1" s="618"/>
    </row>
    <row r="2" spans="2:18" s="472" customFormat="1" ht="25.8" x14ac:dyDescent="0.3">
      <c r="B2" s="828" t="s">
        <v>88</v>
      </c>
      <c r="M2" s="827"/>
    </row>
    <row r="3" spans="2:18" s="469" customFormat="1" x14ac:dyDescent="0.25">
      <c r="B3" s="472" t="s">
        <v>2307</v>
      </c>
      <c r="M3" s="618"/>
    </row>
    <row r="4" spans="2:18" s="469" customFormat="1" ht="7.05" customHeight="1" x14ac:dyDescent="0.25">
      <c r="B4" s="618"/>
      <c r="C4" s="826"/>
      <c r="D4" s="826"/>
      <c r="E4" s="826"/>
      <c r="F4" s="826"/>
      <c r="M4" s="618"/>
    </row>
    <row r="5" spans="2:18" x14ac:dyDescent="0.25">
      <c r="B5" s="413"/>
      <c r="C5" s="825"/>
      <c r="D5" s="825"/>
      <c r="E5" s="825"/>
      <c r="F5" s="825"/>
      <c r="H5" s="395"/>
      <c r="I5" s="395"/>
      <c r="J5" s="395"/>
      <c r="K5" s="395"/>
      <c r="L5" s="395"/>
      <c r="N5" s="395"/>
      <c r="O5" s="395"/>
      <c r="P5" s="395"/>
      <c r="Q5" s="395"/>
      <c r="R5" s="395"/>
    </row>
    <row r="6" spans="2:18" ht="14.25" customHeight="1" x14ac:dyDescent="0.25">
      <c r="B6" s="740" t="s">
        <v>2</v>
      </c>
      <c r="C6" s="829"/>
      <c r="D6" s="829"/>
      <c r="E6" s="829"/>
      <c r="F6" s="829"/>
      <c r="G6" s="829"/>
      <c r="H6" s="403"/>
      <c r="I6" s="403"/>
      <c r="J6" s="403"/>
      <c r="K6" s="403"/>
      <c r="L6" s="403"/>
      <c r="M6" s="454"/>
      <c r="N6" s="403"/>
      <c r="O6" s="403"/>
      <c r="P6" s="403"/>
      <c r="Q6" s="403"/>
      <c r="R6" s="403"/>
    </row>
    <row r="7" spans="2:18" ht="14.25" customHeight="1" x14ac:dyDescent="0.25">
      <c r="B7" s="2035" t="s">
        <v>2303</v>
      </c>
      <c r="C7" s="2035"/>
      <c r="D7" s="2035"/>
      <c r="E7" s="2035"/>
      <c r="F7" s="2035"/>
      <c r="G7" s="2035"/>
      <c r="H7" s="2035"/>
      <c r="I7" s="2035"/>
      <c r="J7" s="2035"/>
      <c r="K7" s="395"/>
      <c r="L7" s="395"/>
      <c r="N7" s="395"/>
      <c r="O7" s="395"/>
      <c r="P7" s="395"/>
      <c r="Q7" s="395"/>
      <c r="R7" s="395"/>
    </row>
    <row r="8" spans="2:18" ht="14.25" customHeight="1" x14ac:dyDescent="0.25">
      <c r="B8" s="2036" t="s">
        <v>3268</v>
      </c>
      <c r="C8" s="2036"/>
      <c r="D8" s="2036"/>
      <c r="E8" s="2036"/>
      <c r="F8" s="2036"/>
      <c r="G8" s="2036"/>
      <c r="H8" s="2036"/>
      <c r="I8" s="2036"/>
      <c r="J8" s="2036"/>
      <c r="K8" s="395"/>
      <c r="L8" s="395"/>
      <c r="N8" s="395"/>
      <c r="O8" s="395"/>
      <c r="P8" s="395"/>
      <c r="Q8" s="395"/>
      <c r="R8" s="395"/>
    </row>
    <row r="9" spans="2:18" x14ac:dyDescent="0.25">
      <c r="B9" s="1687" t="s">
        <v>3269</v>
      </c>
      <c r="C9" s="1687"/>
      <c r="D9" s="1687"/>
      <c r="E9" s="1687"/>
      <c r="F9" s="1687"/>
      <c r="G9" s="1687"/>
      <c r="H9" s="1687"/>
      <c r="I9" s="1687"/>
      <c r="J9" s="1687"/>
      <c r="K9" s="395"/>
      <c r="L9" s="395"/>
      <c r="N9" s="395"/>
      <c r="O9" s="395"/>
      <c r="P9" s="395"/>
      <c r="Q9" s="395"/>
      <c r="R9" s="395"/>
    </row>
    <row r="10" spans="2:18" x14ac:dyDescent="0.25">
      <c r="B10" s="1687" t="s">
        <v>89</v>
      </c>
      <c r="C10" s="1687"/>
      <c r="D10" s="1687"/>
      <c r="E10" s="1687"/>
      <c r="F10" s="1687"/>
      <c r="G10" s="1687"/>
      <c r="H10" s="1687"/>
      <c r="I10" s="1687"/>
      <c r="J10" s="1687"/>
      <c r="K10" s="395"/>
      <c r="L10" s="395"/>
      <c r="M10" s="395"/>
      <c r="N10" s="413"/>
      <c r="O10" s="395"/>
      <c r="P10" s="395"/>
      <c r="Q10" s="395"/>
      <c r="R10" s="395"/>
    </row>
    <row r="11" spans="2:18" ht="20.25" customHeight="1" x14ac:dyDescent="0.25">
      <c r="B11" s="413"/>
      <c r="C11" s="606"/>
      <c r="D11" s="395"/>
      <c r="E11" s="395"/>
      <c r="F11" s="395"/>
      <c r="H11" s="413"/>
      <c r="I11" s="395"/>
      <c r="J11" s="395"/>
      <c r="K11" s="395"/>
      <c r="L11" s="395"/>
      <c r="M11" s="395"/>
      <c r="N11" s="413"/>
      <c r="O11" s="395"/>
      <c r="P11" s="395"/>
      <c r="Q11" s="395"/>
      <c r="R11" s="395"/>
    </row>
    <row r="12" spans="2:18" ht="17.399999999999999" x14ac:dyDescent="0.3">
      <c r="B12" s="413"/>
      <c r="C12" s="2037" t="s">
        <v>90</v>
      </c>
      <c r="D12" s="2038"/>
      <c r="E12" s="395"/>
      <c r="F12" s="395"/>
      <c r="G12" s="1475"/>
      <c r="H12" s="413"/>
      <c r="I12" s="2037" t="s">
        <v>91</v>
      </c>
      <c r="J12" s="2038"/>
      <c r="K12" s="395"/>
      <c r="L12" s="395"/>
      <c r="M12" s="1475"/>
      <c r="N12" s="413"/>
      <c r="O12" s="2037" t="s">
        <v>92</v>
      </c>
      <c r="P12" s="2038"/>
      <c r="Q12" s="395"/>
      <c r="R12" s="395"/>
    </row>
    <row r="13" spans="2:18" x14ac:dyDescent="0.25">
      <c r="B13" s="413"/>
      <c r="C13" s="1082" t="s">
        <v>93</v>
      </c>
      <c r="D13" s="1083" t="str">
        <f>IF('1. Project Inputs'!C64="Manual Entry","No Approach Named",'1. Project Inputs'!C64)</f>
        <v>Enter Option 1 Name</v>
      </c>
      <c r="E13" s="395"/>
      <c r="F13" s="395"/>
      <c r="G13" s="1475"/>
      <c r="H13" s="413"/>
      <c r="I13" s="1082" t="s">
        <v>93</v>
      </c>
      <c r="J13" s="1083" t="str">
        <f>IF('1. Project Inputs'!C65="Manual Entry","No Approach Named",'1. Project Inputs'!C65)</f>
        <v>Enter Option 2 Name</v>
      </c>
      <c r="K13" s="395"/>
      <c r="L13" s="395"/>
      <c r="M13" s="1475"/>
      <c r="N13" s="413"/>
      <c r="O13" s="1082" t="s">
        <v>93</v>
      </c>
      <c r="P13" s="1087" t="str">
        <f>IF('1. Project Inputs'!C66="Manual Entry","No Approach Named",'1. Project Inputs'!C66)</f>
        <v>Enter Option 3 Name</v>
      </c>
      <c r="Q13" s="395"/>
      <c r="R13" s="395"/>
    </row>
    <row r="14" spans="2:18" x14ac:dyDescent="0.25">
      <c r="B14" s="413"/>
      <c r="C14" s="1084" t="s">
        <v>3267</v>
      </c>
      <c r="D14" s="1476">
        <f>'1. Project Inputs'!$C$27</f>
        <v>45916</v>
      </c>
      <c r="E14" s="395"/>
      <c r="F14" s="395"/>
      <c r="G14" s="1475"/>
      <c r="H14" s="413"/>
      <c r="I14" s="1084" t="s">
        <v>3267</v>
      </c>
      <c r="J14" s="1476">
        <f>'1. Project Inputs'!$C$27</f>
        <v>45916</v>
      </c>
      <c r="K14" s="395"/>
      <c r="L14" s="395"/>
      <c r="M14" s="1475"/>
      <c r="N14" s="413"/>
      <c r="O14" s="1084" t="s">
        <v>3267</v>
      </c>
      <c r="P14" s="1476">
        <f>'1. Project Inputs'!$C$27</f>
        <v>45916</v>
      </c>
      <c r="Q14" s="395"/>
      <c r="R14" s="395"/>
    </row>
    <row r="15" spans="2:18" x14ac:dyDescent="0.25">
      <c r="B15" s="413"/>
      <c r="C15" s="1085" t="s">
        <v>94</v>
      </c>
      <c r="D15" s="1086">
        <f>D49</f>
        <v>17.8</v>
      </c>
      <c r="E15" s="395"/>
      <c r="F15" s="395"/>
      <c r="G15" s="1475"/>
      <c r="H15" s="413"/>
      <c r="I15" s="1085" t="s">
        <v>94</v>
      </c>
      <c r="J15" s="1086">
        <f>J49</f>
        <v>7.6</v>
      </c>
      <c r="K15" s="395"/>
      <c r="L15" s="395"/>
      <c r="M15" s="1475"/>
      <c r="N15" s="413"/>
      <c r="O15" s="1085" t="s">
        <v>94</v>
      </c>
      <c r="P15" s="1086">
        <f>P49</f>
        <v>10.199999999999999</v>
      </c>
      <c r="Q15" s="395"/>
      <c r="R15" s="395"/>
    </row>
    <row r="16" spans="2:18" x14ac:dyDescent="0.25">
      <c r="B16" s="413"/>
      <c r="C16" s="1477"/>
      <c r="D16" s="1478"/>
      <c r="E16" s="395"/>
      <c r="F16" s="395"/>
      <c r="G16" s="1475"/>
      <c r="H16" s="413"/>
      <c r="I16" s="1477"/>
      <c r="J16" s="1478"/>
      <c r="K16" s="395"/>
      <c r="L16" s="395"/>
      <c r="M16" s="1475"/>
      <c r="N16" s="413"/>
      <c r="O16" s="1477"/>
      <c r="P16" s="1478"/>
      <c r="Q16" s="395"/>
      <c r="R16" s="395"/>
    </row>
    <row r="17" spans="2:18" ht="17.399999999999999" x14ac:dyDescent="0.25">
      <c r="B17" s="1479" t="s">
        <v>95</v>
      </c>
      <c r="C17" s="403"/>
      <c r="D17" s="1483"/>
      <c r="E17" s="475"/>
      <c r="F17" s="475"/>
      <c r="G17" s="1480"/>
      <c r="H17" s="1481"/>
      <c r="I17" s="1482"/>
      <c r="J17" s="1483"/>
      <c r="K17" s="475"/>
      <c r="L17" s="475"/>
      <c r="M17" s="1480"/>
      <c r="N17" s="1481"/>
      <c r="O17" s="1482"/>
      <c r="P17" s="1483"/>
      <c r="Q17" s="475"/>
      <c r="R17" s="475"/>
    </row>
    <row r="18" spans="2:18" ht="17.399999999999999" x14ac:dyDescent="0.25">
      <c r="B18" s="1500"/>
      <c r="C18" s="395"/>
      <c r="D18" s="1478"/>
      <c r="E18" s="395"/>
      <c r="F18" s="395"/>
      <c r="G18" s="1475"/>
      <c r="H18" s="413"/>
      <c r="I18" s="1477"/>
      <c r="J18" s="1478"/>
      <c r="K18" s="395"/>
      <c r="L18" s="395"/>
      <c r="M18" s="1475"/>
      <c r="N18" s="413"/>
      <c r="O18" s="1477"/>
      <c r="P18" s="1478"/>
      <c r="Q18" s="395"/>
      <c r="R18" s="395"/>
    </row>
    <row r="19" spans="2:18" x14ac:dyDescent="0.25">
      <c r="B19" s="413"/>
      <c r="C19" s="395"/>
      <c r="D19" s="395"/>
      <c r="E19" s="395"/>
      <c r="F19" s="395"/>
      <c r="G19" s="1475"/>
      <c r="H19" s="395"/>
      <c r="I19" s="395"/>
      <c r="J19" s="395"/>
      <c r="K19" s="395"/>
      <c r="L19" s="395"/>
      <c r="M19" s="1484"/>
      <c r="N19" s="395"/>
      <c r="O19" s="395"/>
      <c r="P19" s="395"/>
      <c r="Q19" s="395"/>
      <c r="R19" s="395"/>
    </row>
    <row r="20" spans="2:18" x14ac:dyDescent="0.25">
      <c r="B20" s="413"/>
      <c r="C20" s="1509" t="s">
        <v>3257</v>
      </c>
      <c r="D20" s="1506" t="s">
        <v>3259</v>
      </c>
      <c r="E20" s="1501" t="s">
        <v>82</v>
      </c>
      <c r="F20" s="395"/>
      <c r="G20" s="1475"/>
      <c r="H20" s="395"/>
      <c r="I20" s="1502" t="s">
        <v>3257</v>
      </c>
      <c r="J20" s="1506" t="s">
        <v>3259</v>
      </c>
      <c r="K20" s="1501" t="s">
        <v>82</v>
      </c>
      <c r="L20" s="395"/>
      <c r="M20" s="1475"/>
      <c r="N20" s="413"/>
      <c r="O20" s="1502" t="s">
        <v>3257</v>
      </c>
      <c r="P20" s="1506" t="s">
        <v>3259</v>
      </c>
      <c r="Q20" s="1501" t="s">
        <v>82</v>
      </c>
      <c r="R20" s="395"/>
    </row>
    <row r="21" spans="2:18" x14ac:dyDescent="0.25">
      <c r="B21" s="413"/>
      <c r="C21" s="4" t="s">
        <v>3178</v>
      </c>
      <c r="D21" s="2" t="s">
        <v>3229</v>
      </c>
      <c r="E21" s="1504">
        <v>23</v>
      </c>
      <c r="F21" s="395"/>
      <c r="G21" s="1475"/>
      <c r="H21" s="395"/>
      <c r="I21" s="569" t="s">
        <v>3178</v>
      </c>
      <c r="J21" s="2" t="s">
        <v>3229</v>
      </c>
      <c r="K21" s="1504">
        <v>23</v>
      </c>
      <c r="L21" s="395"/>
      <c r="M21" s="1475"/>
      <c r="N21" s="413"/>
      <c r="O21" s="569" t="s">
        <v>3178</v>
      </c>
      <c r="P21" s="2" t="s">
        <v>3229</v>
      </c>
      <c r="Q21" s="1504">
        <v>0</v>
      </c>
      <c r="R21" s="395"/>
    </row>
    <row r="22" spans="2:18" x14ac:dyDescent="0.25">
      <c r="B22" s="413"/>
      <c r="D22" s="2" t="s">
        <v>3274</v>
      </c>
      <c r="E22" s="1505">
        <v>0</v>
      </c>
      <c r="F22" s="395"/>
      <c r="G22" s="1475"/>
      <c r="H22" s="395"/>
      <c r="I22" s="569"/>
      <c r="J22" s="2" t="s">
        <v>3274</v>
      </c>
      <c r="K22" s="1505">
        <v>0</v>
      </c>
      <c r="L22" s="395"/>
      <c r="M22" s="1475"/>
      <c r="N22" s="413"/>
      <c r="O22" s="569"/>
      <c r="P22" s="2" t="s">
        <v>3274</v>
      </c>
      <c r="Q22" s="1505">
        <v>0</v>
      </c>
      <c r="R22" s="395"/>
    </row>
    <row r="23" spans="2:18" x14ac:dyDescent="0.25">
      <c r="B23" s="413"/>
      <c r="D23" s="2" t="s">
        <v>3277</v>
      </c>
      <c r="E23" s="1505">
        <v>3</v>
      </c>
      <c r="F23" s="395"/>
      <c r="G23" s="1475"/>
      <c r="H23" s="395"/>
      <c r="I23" s="569"/>
      <c r="J23" s="2" t="s">
        <v>3277</v>
      </c>
      <c r="K23" s="1505">
        <v>3</v>
      </c>
      <c r="L23" s="395"/>
      <c r="M23" s="1475"/>
      <c r="N23" s="413"/>
      <c r="O23" s="569"/>
      <c r="P23" s="2" t="s">
        <v>3277</v>
      </c>
      <c r="Q23" s="1505">
        <v>3</v>
      </c>
      <c r="R23" s="395"/>
    </row>
    <row r="24" spans="2:18" x14ac:dyDescent="0.25">
      <c r="B24" s="413"/>
      <c r="D24" s="2" t="s">
        <v>3278</v>
      </c>
      <c r="E24" s="1505">
        <v>1</v>
      </c>
      <c r="F24" s="395"/>
      <c r="G24" s="1475"/>
      <c r="H24" s="395"/>
      <c r="I24" s="569"/>
      <c r="J24" s="2" t="s">
        <v>3278</v>
      </c>
      <c r="K24" s="1505">
        <v>1</v>
      </c>
      <c r="L24" s="395"/>
      <c r="M24" s="1475"/>
      <c r="N24" s="413"/>
      <c r="O24" s="569"/>
      <c r="P24" s="2" t="s">
        <v>3278</v>
      </c>
      <c r="Q24" s="1505">
        <v>1</v>
      </c>
      <c r="R24" s="395"/>
    </row>
    <row r="25" spans="2:18" x14ac:dyDescent="0.25">
      <c r="B25" s="413"/>
      <c r="D25" s="2" t="s">
        <v>3279</v>
      </c>
      <c r="E25" s="1505">
        <v>0</v>
      </c>
      <c r="F25" s="395"/>
      <c r="G25" s="1475"/>
      <c r="H25" s="395"/>
      <c r="I25" s="569"/>
      <c r="J25" s="2" t="s">
        <v>3279</v>
      </c>
      <c r="K25" s="1505">
        <v>0</v>
      </c>
      <c r="L25" s="395"/>
      <c r="M25" s="1475"/>
      <c r="N25" s="413"/>
      <c r="O25" s="569"/>
      <c r="P25" s="2" t="s">
        <v>3279</v>
      </c>
      <c r="Q25" s="1505">
        <v>0</v>
      </c>
      <c r="R25" s="395"/>
    </row>
    <row r="26" spans="2:18" x14ac:dyDescent="0.25">
      <c r="B26" s="413"/>
      <c r="D26" s="2" t="s">
        <v>3280</v>
      </c>
      <c r="E26" s="1505">
        <v>0</v>
      </c>
      <c r="F26" s="395"/>
      <c r="G26" s="1475"/>
      <c r="H26" s="395"/>
      <c r="I26" s="569"/>
      <c r="J26" s="2" t="s">
        <v>3280</v>
      </c>
      <c r="K26" s="1505">
        <v>0</v>
      </c>
      <c r="L26" s="395"/>
      <c r="M26" s="1475"/>
      <c r="N26" s="413"/>
      <c r="O26" s="569"/>
      <c r="P26" s="2" t="s">
        <v>3280</v>
      </c>
      <c r="Q26" s="1505">
        <v>0</v>
      </c>
      <c r="R26" s="395"/>
    </row>
    <row r="27" spans="2:18" x14ac:dyDescent="0.25">
      <c r="B27" s="413"/>
      <c r="D27" s="2" t="s">
        <v>3281</v>
      </c>
      <c r="E27" s="1505">
        <v>0</v>
      </c>
      <c r="F27" s="395"/>
      <c r="G27" s="1475"/>
      <c r="H27" s="395"/>
      <c r="I27" s="569"/>
      <c r="J27" s="2" t="s">
        <v>3281</v>
      </c>
      <c r="K27" s="1505">
        <v>0</v>
      </c>
      <c r="L27" s="395"/>
      <c r="M27" s="1475"/>
      <c r="N27" s="413"/>
      <c r="O27" s="569"/>
      <c r="P27" s="2" t="s">
        <v>3281</v>
      </c>
      <c r="Q27" s="1505">
        <v>0</v>
      </c>
      <c r="R27" s="395"/>
    </row>
    <row r="28" spans="2:18" x14ac:dyDescent="0.25">
      <c r="B28" s="413"/>
      <c r="C28" s="4" t="s">
        <v>2247</v>
      </c>
      <c r="D28" s="2" t="s">
        <v>3275</v>
      </c>
      <c r="E28" s="1505">
        <v>5</v>
      </c>
      <c r="F28" s="395"/>
      <c r="G28" s="1475"/>
      <c r="H28" s="395"/>
      <c r="I28" s="569" t="s">
        <v>2247</v>
      </c>
      <c r="J28" s="2" t="s">
        <v>3275</v>
      </c>
      <c r="K28" s="1505">
        <v>5</v>
      </c>
      <c r="L28" s="395"/>
      <c r="M28" s="1475"/>
      <c r="N28" s="413"/>
      <c r="O28" s="569" t="s">
        <v>2247</v>
      </c>
      <c r="P28" s="2" t="s">
        <v>3275</v>
      </c>
      <c r="Q28" s="1505">
        <v>5</v>
      </c>
      <c r="R28" s="395"/>
    </row>
    <row r="29" spans="2:18" x14ac:dyDescent="0.25">
      <c r="B29" s="413"/>
      <c r="C29" s="4" t="s">
        <v>2248</v>
      </c>
      <c r="D29" s="2" t="s">
        <v>3272</v>
      </c>
      <c r="E29" s="1505">
        <v>25</v>
      </c>
      <c r="F29" s="395"/>
      <c r="G29" s="1475"/>
      <c r="H29" s="395"/>
      <c r="I29" s="569" t="s">
        <v>2248</v>
      </c>
      <c r="J29" s="2" t="s">
        <v>3272</v>
      </c>
      <c r="K29" s="1505">
        <v>0</v>
      </c>
      <c r="L29" s="395"/>
      <c r="M29" s="1475"/>
      <c r="N29" s="413"/>
      <c r="O29" s="569" t="s">
        <v>2248</v>
      </c>
      <c r="P29" s="2" t="s">
        <v>3272</v>
      </c>
      <c r="Q29" s="1505">
        <v>25</v>
      </c>
      <c r="R29" s="395"/>
    </row>
    <row r="30" spans="2:18" x14ac:dyDescent="0.25">
      <c r="B30" s="413"/>
      <c r="C30" s="4" t="s">
        <v>2250</v>
      </c>
      <c r="D30" s="2" t="s">
        <v>3273</v>
      </c>
      <c r="E30" s="1505">
        <v>15</v>
      </c>
      <c r="F30" s="395"/>
      <c r="G30" s="1475"/>
      <c r="H30" s="395"/>
      <c r="I30" s="569" t="s">
        <v>2250</v>
      </c>
      <c r="J30" s="2" t="s">
        <v>3273</v>
      </c>
      <c r="K30" s="1505">
        <v>0</v>
      </c>
      <c r="L30" s="395"/>
      <c r="M30" s="1475"/>
      <c r="N30" s="413"/>
      <c r="O30" s="569" t="s">
        <v>2250</v>
      </c>
      <c r="P30" s="2" t="s">
        <v>3273</v>
      </c>
      <c r="Q30" s="1505">
        <v>0</v>
      </c>
      <c r="R30" s="395"/>
    </row>
    <row r="31" spans="2:18" x14ac:dyDescent="0.25">
      <c r="B31" s="413"/>
      <c r="D31" s="2" t="s">
        <v>3274</v>
      </c>
      <c r="E31" s="1505">
        <v>11</v>
      </c>
      <c r="F31" s="395"/>
      <c r="G31" s="1475"/>
      <c r="H31" s="395"/>
      <c r="I31" s="569"/>
      <c r="J31" s="2" t="s">
        <v>3274</v>
      </c>
      <c r="K31" s="1505">
        <v>0</v>
      </c>
      <c r="L31" s="395"/>
      <c r="M31" s="1475"/>
      <c r="N31" s="413"/>
      <c r="O31" s="569"/>
      <c r="P31" s="2" t="s">
        <v>3274</v>
      </c>
      <c r="Q31" s="1505">
        <v>11</v>
      </c>
      <c r="R31" s="395"/>
    </row>
    <row r="32" spans="2:18" x14ac:dyDescent="0.25">
      <c r="B32" s="413"/>
      <c r="C32" s="4" t="s">
        <v>2253</v>
      </c>
      <c r="D32" s="2" t="s">
        <v>3276</v>
      </c>
      <c r="E32" s="1505">
        <v>6</v>
      </c>
      <c r="F32" s="395"/>
      <c r="G32" s="1475"/>
      <c r="H32" s="395"/>
      <c r="I32" s="569" t="s">
        <v>2253</v>
      </c>
      <c r="J32" s="2" t="s">
        <v>3276</v>
      </c>
      <c r="K32" s="1505">
        <v>6</v>
      </c>
      <c r="L32" s="395"/>
      <c r="M32" s="1475"/>
      <c r="N32" s="413"/>
      <c r="O32" s="569" t="s">
        <v>2253</v>
      </c>
      <c r="P32" s="2" t="s">
        <v>3276</v>
      </c>
      <c r="Q32" s="1505">
        <v>6</v>
      </c>
      <c r="R32" s="395"/>
    </row>
    <row r="33" spans="2:43" x14ac:dyDescent="0.25">
      <c r="B33" s="413"/>
      <c r="C33" s="1507" t="s">
        <v>96</v>
      </c>
      <c r="D33" s="1508"/>
      <c r="E33" s="3">
        <v>89</v>
      </c>
      <c r="F33" s="395"/>
      <c r="G33" s="1475"/>
      <c r="H33" s="395"/>
      <c r="I33" s="1507" t="s">
        <v>96</v>
      </c>
      <c r="J33" s="1508"/>
      <c r="K33" s="3">
        <v>38</v>
      </c>
      <c r="L33" s="395"/>
      <c r="M33" s="1475"/>
      <c r="N33" s="413"/>
      <c r="O33" s="1507" t="s">
        <v>96</v>
      </c>
      <c r="P33" s="1508"/>
      <c r="Q33" s="3">
        <v>51</v>
      </c>
      <c r="R33" s="395"/>
    </row>
    <row r="34" spans="2:43" ht="14.4" x14ac:dyDescent="0.3">
      <c r="B34" s="413"/>
      <c r="C34"/>
      <c r="D34"/>
      <c r="E34"/>
      <c r="F34" s="395"/>
      <c r="G34" s="1475"/>
      <c r="H34" s="395"/>
      <c r="I34"/>
      <c r="J34"/>
      <c r="K34"/>
      <c r="L34" s="395"/>
      <c r="M34" s="1475"/>
      <c r="N34" s="413"/>
      <c r="O34"/>
      <c r="P34"/>
      <c r="Q34"/>
      <c r="R34" s="395"/>
    </row>
    <row r="35" spans="2:43" ht="14.4" x14ac:dyDescent="0.3">
      <c r="B35" s="413"/>
      <c r="C35"/>
      <c r="D35"/>
      <c r="E35"/>
      <c r="F35" s="395"/>
      <c r="G35" s="1475"/>
      <c r="H35" s="395"/>
      <c r="I35"/>
      <c r="J35"/>
      <c r="K35"/>
      <c r="L35" s="395"/>
      <c r="M35" s="1475"/>
      <c r="N35" s="413"/>
      <c r="O35"/>
      <c r="P35"/>
      <c r="Q35"/>
      <c r="R35" s="395"/>
    </row>
    <row r="36" spans="2:43" ht="14.4" x14ac:dyDescent="0.3">
      <c r="B36" s="413"/>
      <c r="C36"/>
      <c r="D36"/>
      <c r="E36"/>
      <c r="F36" s="395"/>
      <c r="G36" s="1475"/>
      <c r="H36" s="395"/>
      <c r="I36"/>
      <c r="J36"/>
      <c r="K36"/>
      <c r="L36" s="395"/>
      <c r="M36" s="1475"/>
      <c r="N36" s="413"/>
      <c r="O36"/>
      <c r="P36"/>
      <c r="Q36"/>
      <c r="R36" s="395"/>
    </row>
    <row r="37" spans="2:43" ht="14.4" x14ac:dyDescent="0.3">
      <c r="B37" s="413"/>
      <c r="C37"/>
      <c r="D37"/>
      <c r="E37"/>
      <c r="F37" s="395"/>
      <c r="G37" s="1475"/>
      <c r="H37" s="395"/>
      <c r="I37"/>
      <c r="J37"/>
      <c r="K37"/>
      <c r="L37" s="395"/>
      <c r="M37" s="1475"/>
      <c r="N37" s="413"/>
      <c r="O37"/>
      <c r="P37"/>
      <c r="Q37"/>
      <c r="R37" s="395"/>
    </row>
    <row r="38" spans="2:43" ht="14.4" x14ac:dyDescent="0.3">
      <c r="B38" s="413"/>
      <c r="C38" s="1503"/>
      <c r="D38" s="2"/>
      <c r="E38" s="2"/>
      <c r="F38" s="395"/>
      <c r="G38" s="1475"/>
      <c r="H38" s="395"/>
      <c r="I38" s="1503"/>
      <c r="J38" s="2"/>
      <c r="K38" s="2"/>
      <c r="L38" s="395"/>
      <c r="M38" s="1475"/>
      <c r="N38" s="413"/>
      <c r="O38"/>
      <c r="P38"/>
      <c r="Q38"/>
      <c r="R38" s="395"/>
    </row>
    <row r="39" spans="2:43" x14ac:dyDescent="0.25">
      <c r="B39" s="413"/>
      <c r="C39" s="1503"/>
      <c r="D39" s="2"/>
      <c r="E39" s="2"/>
      <c r="F39" s="395"/>
      <c r="G39" s="1475"/>
      <c r="H39" s="395"/>
      <c r="I39" s="1503"/>
      <c r="J39" s="2"/>
      <c r="K39" s="2"/>
      <c r="L39" s="395"/>
      <c r="M39" s="1475"/>
      <c r="N39" s="413"/>
      <c r="O39" s="1503"/>
      <c r="P39" s="2"/>
      <c r="Q39" s="2"/>
      <c r="R39" s="395"/>
    </row>
    <row r="40" spans="2:43" x14ac:dyDescent="0.25">
      <c r="B40" s="413"/>
      <c r="C40" s="1503"/>
      <c r="D40" s="2"/>
      <c r="E40" s="2"/>
      <c r="F40" s="395"/>
      <c r="G40" s="1475"/>
      <c r="H40" s="395"/>
      <c r="I40" s="1503"/>
      <c r="J40" s="2"/>
      <c r="K40" s="2"/>
      <c r="L40" s="395"/>
      <c r="M40" s="1475"/>
      <c r="N40" s="413"/>
      <c r="O40" s="1503"/>
      <c r="P40" s="2"/>
      <c r="Q40" s="2"/>
      <c r="R40" s="395"/>
    </row>
    <row r="41" spans="2:43" x14ac:dyDescent="0.25">
      <c r="B41" s="413"/>
      <c r="C41" s="1503"/>
      <c r="D41" s="2"/>
      <c r="E41" s="2"/>
      <c r="F41" s="395"/>
      <c r="G41" s="1475"/>
      <c r="H41" s="395"/>
      <c r="I41" s="1503"/>
      <c r="J41" s="2"/>
      <c r="K41" s="2"/>
      <c r="L41" s="395"/>
      <c r="M41" s="1475"/>
      <c r="N41" s="413"/>
      <c r="O41" s="1503"/>
      <c r="P41" s="2"/>
      <c r="Q41" s="2"/>
      <c r="R41" s="395"/>
    </row>
    <row r="42" spans="2:43" x14ac:dyDescent="0.25">
      <c r="B42" s="413"/>
      <c r="C42" s="1503"/>
      <c r="D42" s="2"/>
      <c r="E42" s="2"/>
      <c r="F42" s="395"/>
      <c r="G42" s="1475"/>
      <c r="H42" s="395"/>
      <c r="I42" s="1503"/>
      <c r="J42" s="2"/>
      <c r="K42" s="2"/>
      <c r="L42" s="395"/>
      <c r="M42" s="1475"/>
      <c r="N42" s="413"/>
      <c r="O42" s="1503"/>
      <c r="P42" s="2"/>
      <c r="Q42" s="2"/>
      <c r="R42" s="395"/>
    </row>
    <row r="43" spans="2:43" x14ac:dyDescent="0.25">
      <c r="B43" s="413"/>
      <c r="C43" s="1503"/>
      <c r="D43" s="2"/>
      <c r="E43" s="2"/>
      <c r="F43" s="395"/>
      <c r="G43" s="1475"/>
      <c r="H43" s="395"/>
      <c r="I43" s="1503"/>
      <c r="J43" s="2"/>
      <c r="K43" s="2"/>
      <c r="L43" s="395"/>
      <c r="M43" s="1475"/>
      <c r="N43" s="413"/>
      <c r="O43" s="1503"/>
      <c r="P43" s="2"/>
      <c r="Q43" s="2"/>
      <c r="R43" s="395"/>
    </row>
    <row r="44" spans="2:43" x14ac:dyDescent="0.25">
      <c r="B44" s="413"/>
      <c r="C44" s="1503"/>
      <c r="D44" s="2"/>
      <c r="E44" s="2"/>
      <c r="F44" s="395"/>
      <c r="G44" s="1475"/>
      <c r="H44" s="395"/>
      <c r="I44" s="1503"/>
      <c r="J44" s="2"/>
      <c r="K44" s="2"/>
      <c r="L44" s="395"/>
      <c r="M44" s="1475"/>
      <c r="N44" s="413"/>
      <c r="O44" s="1503"/>
      <c r="P44" s="2"/>
      <c r="Q44" s="2"/>
      <c r="R44" s="395"/>
    </row>
    <row r="45" spans="2:43" x14ac:dyDescent="0.25">
      <c r="B45" s="413"/>
      <c r="C45" s="2"/>
      <c r="D45" s="2"/>
      <c r="E45" s="2"/>
      <c r="F45" s="395"/>
      <c r="G45" s="1475"/>
      <c r="H45" s="395"/>
      <c r="I45" s="2"/>
      <c r="J45" s="2"/>
      <c r="K45" s="2"/>
      <c r="L45" s="395"/>
      <c r="M45" s="1475"/>
      <c r="N45" s="413"/>
      <c r="O45" s="2"/>
      <c r="P45" s="2"/>
      <c r="Q45" s="2"/>
      <c r="R45" s="395"/>
    </row>
    <row r="46" spans="2:43" x14ac:dyDescent="0.25">
      <c r="B46" s="413"/>
      <c r="C46" s="395"/>
      <c r="D46" s="649"/>
      <c r="E46" s="649"/>
      <c r="F46" s="649"/>
      <c r="G46" s="1485"/>
      <c r="H46" s="395"/>
      <c r="I46" s="395"/>
      <c r="J46" s="395"/>
      <c r="K46" s="395"/>
      <c r="L46" s="395"/>
      <c r="M46" s="1484"/>
      <c r="N46" s="395"/>
      <c r="O46" s="395"/>
      <c r="P46" s="395"/>
      <c r="Q46" s="395"/>
      <c r="R46" s="395"/>
      <c r="S46" s="413"/>
      <c r="U46" s="425"/>
      <c r="V46" s="425"/>
      <c r="W46" s="425"/>
      <c r="X46" s="425"/>
      <c r="Y46" s="425"/>
      <c r="Z46" s="425"/>
      <c r="AA46" s="425"/>
      <c r="AB46" s="425"/>
      <c r="AC46" s="425"/>
      <c r="AD46" s="425"/>
      <c r="AE46" s="425"/>
      <c r="AF46" s="425"/>
      <c r="AG46" s="425"/>
      <c r="AH46" s="425"/>
      <c r="AI46" s="425"/>
      <c r="AJ46" s="425"/>
      <c r="AK46" s="425"/>
      <c r="AL46" s="425"/>
      <c r="AM46" s="425"/>
      <c r="AN46" s="425"/>
      <c r="AO46" s="425"/>
      <c r="AP46" s="425"/>
      <c r="AQ46" s="413"/>
    </row>
    <row r="47" spans="2:43" x14ac:dyDescent="0.25">
      <c r="B47" s="413"/>
      <c r="C47" s="1088" t="s">
        <v>87</v>
      </c>
      <c r="D47" s="1089"/>
      <c r="E47" s="1090"/>
      <c r="F47" s="822"/>
      <c r="G47" s="1486"/>
      <c r="H47" s="395"/>
      <c r="I47" s="1088" t="s">
        <v>87</v>
      </c>
      <c r="J47" s="1089"/>
      <c r="K47" s="1090"/>
      <c r="L47" s="822"/>
      <c r="M47" s="1484"/>
      <c r="N47" s="395"/>
      <c r="O47" s="1088" t="s">
        <v>87</v>
      </c>
      <c r="P47" s="1089"/>
      <c r="Q47" s="1090"/>
      <c r="R47" s="822"/>
      <c r="S47" s="413"/>
      <c r="U47" s="425"/>
      <c r="V47" s="425"/>
      <c r="W47" s="425"/>
      <c r="X47" s="425"/>
      <c r="Y47" s="425"/>
      <c r="Z47" s="425"/>
      <c r="AA47" s="425"/>
      <c r="AB47" s="425"/>
      <c r="AC47" s="425"/>
      <c r="AD47" s="425"/>
      <c r="AE47" s="425"/>
      <c r="AF47" s="425"/>
      <c r="AG47" s="425"/>
      <c r="AH47" s="425"/>
      <c r="AI47" s="425"/>
      <c r="AJ47" s="425"/>
      <c r="AK47" s="425"/>
      <c r="AL47" s="425"/>
      <c r="AM47" s="425"/>
      <c r="AN47" s="425"/>
      <c r="AO47" s="425"/>
      <c r="AP47" s="425"/>
      <c r="AQ47" s="413"/>
    </row>
    <row r="48" spans="2:43" x14ac:dyDescent="0.25">
      <c r="B48" s="413"/>
      <c r="C48" s="1091" t="s">
        <v>97</v>
      </c>
      <c r="D48" s="1080">
        <f>GETPIVOTDATA("Op1 WD",$C$20)</f>
        <v>89</v>
      </c>
      <c r="E48" s="1092"/>
      <c r="F48" s="824"/>
      <c r="G48" s="1487"/>
      <c r="H48" s="413"/>
      <c r="I48" s="1091" t="s">
        <v>97</v>
      </c>
      <c r="J48" s="1080">
        <f>GETPIVOTDATA("Op2 WD",$I$20)</f>
        <v>38</v>
      </c>
      <c r="K48" s="1092"/>
      <c r="L48" s="1488"/>
      <c r="M48" s="1475"/>
      <c r="N48" s="413"/>
      <c r="O48" s="1091" t="s">
        <v>97</v>
      </c>
      <c r="P48" s="1080">
        <f>GETPIVOTDATA("Op3 WD",$O$20)</f>
        <v>51</v>
      </c>
      <c r="Q48" s="1092"/>
      <c r="R48" s="1488"/>
      <c r="S48" s="413"/>
      <c r="U48" s="425"/>
      <c r="V48" s="425"/>
      <c r="W48" s="425"/>
      <c r="X48" s="425"/>
      <c r="Y48" s="425"/>
      <c r="Z48" s="425"/>
      <c r="AA48" s="425"/>
      <c r="AB48" s="425"/>
      <c r="AC48" s="425"/>
      <c r="AD48" s="425"/>
      <c r="AE48" s="425"/>
      <c r="AF48" s="425"/>
      <c r="AG48" s="425"/>
      <c r="AH48" s="425"/>
      <c r="AI48" s="425"/>
      <c r="AJ48" s="425"/>
      <c r="AK48" s="425"/>
      <c r="AL48" s="425"/>
      <c r="AM48" s="425"/>
      <c r="AN48" s="425"/>
      <c r="AO48" s="425"/>
      <c r="AP48" s="425"/>
      <c r="AQ48" s="413"/>
    </row>
    <row r="49" spans="2:43" x14ac:dyDescent="0.25">
      <c r="B49" s="413"/>
      <c r="C49" s="979" t="s">
        <v>98</v>
      </c>
      <c r="D49" s="1093">
        <f>D48/5</f>
        <v>17.8</v>
      </c>
      <c r="E49" s="1094"/>
      <c r="F49" s="457"/>
      <c r="G49" s="1489"/>
      <c r="H49" s="413"/>
      <c r="I49" s="979" t="s">
        <v>98</v>
      </c>
      <c r="J49" s="1093">
        <f>J48/5</f>
        <v>7.6</v>
      </c>
      <c r="K49" s="1094"/>
      <c r="L49" s="395"/>
      <c r="M49" s="1475"/>
      <c r="N49" s="413"/>
      <c r="O49" s="979" t="s">
        <v>98</v>
      </c>
      <c r="P49" s="1093">
        <f>P48/5</f>
        <v>10.199999999999999</v>
      </c>
      <c r="Q49" s="1094"/>
      <c r="R49" s="395"/>
      <c r="S49" s="425"/>
      <c r="T49" s="425"/>
      <c r="U49" s="425"/>
      <c r="V49" s="425"/>
      <c r="W49" s="425"/>
      <c r="X49" s="425"/>
      <c r="Y49" s="425"/>
      <c r="Z49" s="425"/>
      <c r="AA49" s="425"/>
      <c r="AB49" s="425"/>
      <c r="AC49" s="425"/>
      <c r="AD49" s="425"/>
      <c r="AE49" s="425"/>
      <c r="AF49" s="425"/>
      <c r="AG49" s="425"/>
      <c r="AH49" s="425"/>
      <c r="AI49" s="425"/>
      <c r="AJ49" s="425"/>
      <c r="AK49" s="425"/>
      <c r="AL49" s="425"/>
      <c r="AM49" s="425"/>
      <c r="AN49" s="425"/>
      <c r="AO49" s="425"/>
      <c r="AP49" s="425"/>
      <c r="AQ49" s="413"/>
    </row>
    <row r="50" spans="2:43" x14ac:dyDescent="0.25">
      <c r="B50" s="413"/>
      <c r="C50" s="495"/>
      <c r="D50" s="457"/>
      <c r="E50" s="457"/>
      <c r="F50" s="457"/>
      <c r="G50" s="1489"/>
      <c r="H50" s="413"/>
      <c r="I50" s="495"/>
      <c r="J50" s="457"/>
      <c r="K50" s="457"/>
      <c r="L50" s="395"/>
      <c r="M50" s="1475"/>
      <c r="N50" s="413"/>
      <c r="O50" s="495"/>
      <c r="P50" s="457"/>
      <c r="Q50" s="457"/>
      <c r="R50" s="395"/>
      <c r="S50" s="425"/>
      <c r="T50" s="425"/>
      <c r="U50" s="425"/>
      <c r="V50" s="425"/>
      <c r="W50" s="425"/>
      <c r="X50" s="425"/>
      <c r="Y50" s="425"/>
      <c r="Z50" s="425"/>
      <c r="AA50" s="425"/>
      <c r="AB50" s="425"/>
      <c r="AC50" s="425"/>
      <c r="AD50" s="425"/>
      <c r="AE50" s="425"/>
      <c r="AF50" s="425"/>
      <c r="AG50" s="425"/>
      <c r="AH50" s="425"/>
      <c r="AI50" s="425"/>
      <c r="AJ50" s="425"/>
      <c r="AK50" s="425"/>
      <c r="AL50" s="425"/>
      <c r="AM50" s="425"/>
      <c r="AN50" s="425"/>
      <c r="AO50" s="425"/>
      <c r="AP50" s="425"/>
      <c r="AQ50" s="413"/>
    </row>
    <row r="51" spans="2:43" x14ac:dyDescent="0.25">
      <c r="B51" s="413"/>
      <c r="C51" s="495"/>
      <c r="D51" s="457"/>
      <c r="E51" s="457"/>
      <c r="F51" s="457"/>
      <c r="G51" s="1489"/>
      <c r="H51" s="413"/>
      <c r="I51" s="495"/>
      <c r="J51" s="457"/>
      <c r="K51" s="457"/>
      <c r="L51" s="395"/>
      <c r="M51" s="1475"/>
      <c r="N51" s="413"/>
      <c r="O51" s="495"/>
      <c r="P51" s="457"/>
      <c r="Q51" s="457"/>
      <c r="R51" s="395"/>
      <c r="S51" s="425"/>
      <c r="T51" s="425"/>
      <c r="U51" s="425"/>
      <c r="V51" s="425"/>
      <c r="W51" s="425"/>
      <c r="X51" s="425"/>
      <c r="Y51" s="425"/>
      <c r="Z51" s="425"/>
      <c r="AA51" s="425"/>
      <c r="AB51" s="425"/>
      <c r="AC51" s="425"/>
      <c r="AD51" s="425"/>
      <c r="AE51" s="425"/>
      <c r="AF51" s="425"/>
      <c r="AG51" s="425"/>
      <c r="AH51" s="425"/>
      <c r="AI51" s="425"/>
      <c r="AJ51" s="425"/>
      <c r="AK51" s="425"/>
      <c r="AL51" s="425"/>
      <c r="AM51" s="425"/>
      <c r="AN51" s="425"/>
      <c r="AO51" s="425"/>
      <c r="AP51" s="425"/>
      <c r="AQ51" s="413"/>
    </row>
    <row r="52" spans="2:43" x14ac:dyDescent="0.25">
      <c r="B52" s="413"/>
      <c r="C52" s="495"/>
      <c r="D52" s="457"/>
      <c r="E52" s="457"/>
      <c r="F52" s="457"/>
      <c r="G52" s="1489"/>
      <c r="H52" s="413"/>
      <c r="I52" s="495"/>
      <c r="J52" s="457"/>
      <c r="K52" s="457"/>
      <c r="L52" s="395"/>
      <c r="M52" s="1475"/>
      <c r="N52" s="413"/>
      <c r="O52" s="495"/>
      <c r="P52" s="457"/>
      <c r="Q52" s="457"/>
      <c r="R52" s="395"/>
      <c r="S52" s="425"/>
      <c r="T52" s="425"/>
      <c r="U52" s="425"/>
      <c r="V52" s="425"/>
      <c r="W52" s="425"/>
      <c r="X52" s="425"/>
      <c r="Y52" s="425"/>
      <c r="Z52" s="425"/>
      <c r="AA52" s="425"/>
      <c r="AB52" s="425"/>
      <c r="AC52" s="425"/>
      <c r="AD52" s="425"/>
      <c r="AE52" s="425"/>
      <c r="AF52" s="425"/>
      <c r="AG52" s="425"/>
      <c r="AH52" s="425"/>
      <c r="AI52" s="425"/>
      <c r="AJ52" s="425"/>
      <c r="AK52" s="425"/>
      <c r="AL52" s="425"/>
      <c r="AM52" s="425"/>
      <c r="AN52" s="425"/>
      <c r="AO52" s="425"/>
      <c r="AP52" s="425"/>
      <c r="AQ52" s="413"/>
    </row>
    <row r="53" spans="2:43" x14ac:dyDescent="0.25">
      <c r="B53" s="413"/>
      <c r="C53" s="395"/>
      <c r="D53" s="457"/>
      <c r="E53" s="457"/>
      <c r="F53" s="457"/>
      <c r="G53" s="1489"/>
      <c r="H53" s="413"/>
      <c r="I53" s="495"/>
      <c r="J53" s="457"/>
      <c r="K53" s="457"/>
      <c r="L53" s="395"/>
      <c r="M53" s="1475"/>
      <c r="N53" s="413"/>
      <c r="O53" s="495"/>
      <c r="P53" s="457"/>
      <c r="Q53" s="457"/>
      <c r="R53" s="395"/>
    </row>
    <row r="54" spans="2:43" x14ac:dyDescent="0.25">
      <c r="B54" s="413"/>
      <c r="C54" s="495"/>
      <c r="D54" s="457"/>
      <c r="E54" s="457"/>
      <c r="F54" s="457"/>
      <c r="G54" s="1489"/>
      <c r="H54" s="413"/>
      <c r="I54" s="495"/>
      <c r="J54" s="457"/>
      <c r="K54" s="457"/>
      <c r="L54" s="1490"/>
      <c r="M54" s="1475"/>
      <c r="N54" s="413"/>
      <c r="O54" s="495"/>
      <c r="P54" s="457"/>
      <c r="Q54" s="457"/>
      <c r="R54" s="1490"/>
    </row>
    <row r="55" spans="2:43" x14ac:dyDescent="0.25">
      <c r="B55" s="413"/>
      <c r="C55" s="495"/>
      <c r="D55" s="457"/>
      <c r="E55" s="457"/>
      <c r="F55" s="457"/>
      <c r="G55" s="1489"/>
      <c r="H55" s="395"/>
      <c r="I55" s="495"/>
      <c r="J55" s="457"/>
      <c r="K55" s="457"/>
      <c r="L55" s="1491"/>
      <c r="M55" s="1484"/>
      <c r="N55" s="395"/>
      <c r="O55" s="495"/>
      <c r="P55" s="457"/>
      <c r="Q55" s="457"/>
      <c r="R55" s="1491"/>
    </row>
    <row r="56" spans="2:43" x14ac:dyDescent="0.25">
      <c r="B56" s="413"/>
      <c r="C56" s="1492"/>
      <c r="D56" s="819"/>
      <c r="E56" s="819"/>
      <c r="F56" s="819"/>
      <c r="G56" s="1493"/>
      <c r="H56" s="395"/>
      <c r="I56" s="1492"/>
      <c r="J56" s="819"/>
      <c r="K56" s="819"/>
      <c r="L56" s="395"/>
      <c r="M56" s="1484"/>
      <c r="N56" s="395"/>
      <c r="O56" s="1492"/>
      <c r="P56" s="819"/>
      <c r="Q56" s="819"/>
      <c r="R56" s="395"/>
    </row>
    <row r="57" spans="2:43" x14ac:dyDescent="0.25">
      <c r="B57" s="413"/>
      <c r="C57" s="395"/>
      <c r="D57" s="395"/>
      <c r="E57" s="395"/>
      <c r="F57" s="395"/>
      <c r="G57" s="1475"/>
      <c r="H57" s="395"/>
      <c r="I57" s="395"/>
      <c r="J57" s="395"/>
      <c r="K57" s="395"/>
      <c r="L57" s="395"/>
      <c r="M57" s="1484"/>
      <c r="N57" s="395"/>
      <c r="O57" s="395"/>
      <c r="P57" s="395"/>
      <c r="Q57" s="395"/>
      <c r="R57" s="395"/>
    </row>
    <row r="58" spans="2:43" x14ac:dyDescent="0.25">
      <c r="B58" s="413"/>
      <c r="C58" s="395"/>
      <c r="D58" s="395"/>
      <c r="E58" s="395"/>
      <c r="F58" s="395"/>
      <c r="G58" s="1475"/>
      <c r="H58" s="395"/>
      <c r="I58" s="824"/>
      <c r="J58" s="824"/>
      <c r="K58" s="823"/>
      <c r="L58" s="1494"/>
      <c r="M58" s="1484"/>
      <c r="N58" s="395"/>
      <c r="O58" s="824"/>
      <c r="P58" s="824"/>
      <c r="Q58" s="823"/>
      <c r="R58" s="1494"/>
    </row>
    <row r="59" spans="2:43" x14ac:dyDescent="0.25">
      <c r="B59" s="413"/>
      <c r="C59" s="395"/>
      <c r="D59" s="395"/>
      <c r="E59" s="395"/>
      <c r="F59" s="395"/>
      <c r="G59" s="1475"/>
      <c r="H59" s="395"/>
      <c r="I59" s="654"/>
      <c r="J59" s="413"/>
      <c r="K59" s="413"/>
      <c r="L59" s="1495"/>
      <c r="M59" s="1484"/>
      <c r="N59" s="395"/>
      <c r="O59" s="654"/>
      <c r="P59" s="413"/>
      <c r="Q59" s="413"/>
      <c r="R59" s="1495"/>
    </row>
    <row r="60" spans="2:43" x14ac:dyDescent="0.25">
      <c r="B60" s="413"/>
      <c r="C60" s="395"/>
      <c r="D60" s="395"/>
      <c r="E60" s="395"/>
      <c r="F60" s="395"/>
      <c r="G60" s="1475"/>
      <c r="H60" s="395"/>
      <c r="I60" s="413"/>
      <c r="J60" s="413"/>
      <c r="K60" s="413"/>
      <c r="L60" s="413"/>
      <c r="M60" s="1484"/>
      <c r="N60" s="395"/>
      <c r="O60" s="413"/>
      <c r="P60" s="413"/>
      <c r="Q60" s="413"/>
      <c r="R60" s="413"/>
    </row>
    <row r="61" spans="2:43" x14ac:dyDescent="0.25">
      <c r="B61" s="413"/>
      <c r="C61" s="395"/>
      <c r="D61" s="395"/>
      <c r="E61" s="395"/>
      <c r="F61" s="395"/>
      <c r="G61" s="1475"/>
      <c r="H61" s="395"/>
      <c r="I61" s="824"/>
      <c r="J61" s="824"/>
      <c r="K61" s="824"/>
      <c r="L61" s="1494"/>
      <c r="M61" s="1484"/>
      <c r="N61" s="395"/>
      <c r="O61" s="824"/>
      <c r="P61" s="824"/>
      <c r="Q61" s="824"/>
      <c r="R61" s="1494"/>
    </row>
    <row r="62" spans="2:43" x14ac:dyDescent="0.25">
      <c r="B62" s="413"/>
      <c r="C62" s="395"/>
      <c r="D62" s="395"/>
      <c r="E62" s="395"/>
      <c r="F62" s="395"/>
      <c r="G62" s="1475"/>
      <c r="H62" s="395"/>
      <c r="I62" s="1729"/>
      <c r="J62" s="1729"/>
      <c r="K62" s="1729"/>
      <c r="L62" s="1729"/>
      <c r="M62" s="1484"/>
      <c r="N62" s="395"/>
      <c r="O62" s="395"/>
      <c r="P62" s="395"/>
      <c r="Q62" s="395"/>
      <c r="R62" s="395"/>
    </row>
    <row r="63" spans="2:43" x14ac:dyDescent="0.25">
      <c r="B63" s="413"/>
      <c r="C63" s="395"/>
      <c r="D63" s="395"/>
      <c r="E63" s="395"/>
      <c r="F63" s="395"/>
      <c r="G63" s="1475"/>
      <c r="H63" s="395"/>
      <c r="I63" s="1729"/>
      <c r="J63" s="1729"/>
      <c r="K63" s="1729"/>
      <c r="L63" s="1729"/>
      <c r="M63" s="1484"/>
      <c r="N63" s="395"/>
      <c r="O63" s="395"/>
      <c r="P63" s="395"/>
      <c r="Q63" s="395"/>
      <c r="R63" s="395"/>
    </row>
    <row r="64" spans="2:43" x14ac:dyDescent="0.25">
      <c r="B64" s="413"/>
      <c r="C64" s="395"/>
      <c r="D64" s="395"/>
      <c r="E64" s="395"/>
      <c r="F64" s="395"/>
      <c r="G64" s="1475"/>
      <c r="H64" s="395"/>
      <c r="I64" s="1729"/>
      <c r="J64" s="1729"/>
      <c r="K64" s="1729"/>
      <c r="L64" s="1729"/>
      <c r="M64" s="1484"/>
      <c r="N64" s="395"/>
      <c r="O64" s="395"/>
      <c r="P64" s="395"/>
      <c r="Q64" s="395"/>
      <c r="R64" s="395"/>
    </row>
    <row r="65" spans="2:18" x14ac:dyDescent="0.25">
      <c r="B65" s="413"/>
      <c r="C65" s="395"/>
      <c r="D65" s="395"/>
      <c r="E65" s="395"/>
      <c r="F65" s="395"/>
      <c r="G65" s="1475"/>
      <c r="H65" s="395"/>
      <c r="I65" s="1729"/>
      <c r="J65" s="1729"/>
      <c r="K65" s="1729"/>
      <c r="L65" s="1729"/>
      <c r="M65" s="1484"/>
      <c r="N65" s="395"/>
      <c r="O65" s="395"/>
      <c r="P65" s="395"/>
      <c r="Q65" s="395"/>
      <c r="R65" s="395"/>
    </row>
    <row r="66" spans="2:18" x14ac:dyDescent="0.25">
      <c r="B66" s="413"/>
      <c r="C66" s="395"/>
      <c r="D66" s="395"/>
      <c r="E66" s="395"/>
      <c r="F66" s="395"/>
      <c r="G66" s="1475"/>
      <c r="H66" s="395"/>
      <c r="I66" s="1729"/>
      <c r="J66" s="1729"/>
      <c r="K66" s="1729"/>
      <c r="L66" s="1729"/>
      <c r="M66" s="1484"/>
      <c r="N66" s="395"/>
      <c r="O66" s="395"/>
      <c r="P66" s="395"/>
      <c r="Q66" s="395"/>
      <c r="R66" s="395"/>
    </row>
    <row r="67" spans="2:18" x14ac:dyDescent="0.25">
      <c r="B67" s="413"/>
      <c r="C67" s="395"/>
      <c r="D67" s="395"/>
      <c r="E67" s="395"/>
      <c r="F67" s="395"/>
      <c r="G67" s="1475"/>
      <c r="H67" s="395"/>
      <c r="I67" s="1729"/>
      <c r="J67" s="1729"/>
      <c r="K67" s="1729"/>
      <c r="L67" s="1729"/>
      <c r="M67" s="1484"/>
      <c r="N67" s="395"/>
      <c r="O67" s="395"/>
      <c r="P67" s="395"/>
      <c r="Q67" s="395"/>
      <c r="R67" s="395"/>
    </row>
    <row r="68" spans="2:18" x14ac:dyDescent="0.25">
      <c r="B68" s="413"/>
      <c r="C68" s="395"/>
      <c r="D68" s="395"/>
      <c r="E68" s="395"/>
      <c r="F68" s="395"/>
      <c r="G68" s="1475"/>
      <c r="H68" s="395"/>
      <c r="I68" s="1729"/>
      <c r="J68" s="1729"/>
      <c r="K68" s="1729"/>
      <c r="L68" s="1729"/>
      <c r="M68" s="1484"/>
      <c r="N68" s="395"/>
      <c r="O68" s="395"/>
      <c r="P68" s="395"/>
      <c r="Q68" s="395"/>
      <c r="R68" s="395"/>
    </row>
    <row r="69" spans="2:18" x14ac:dyDescent="0.25">
      <c r="B69" s="413"/>
      <c r="C69" s="395"/>
      <c r="D69" s="395"/>
      <c r="E69" s="395"/>
      <c r="F69" s="395"/>
      <c r="G69" s="1475"/>
      <c r="H69" s="395"/>
      <c r="I69" s="1729"/>
      <c r="J69" s="1729"/>
      <c r="K69" s="1729"/>
      <c r="L69" s="1729"/>
      <c r="M69" s="1484"/>
      <c r="N69" s="395"/>
      <c r="O69" s="395"/>
      <c r="P69" s="395"/>
      <c r="Q69" s="395"/>
      <c r="R69" s="395"/>
    </row>
    <row r="70" spans="2:18" x14ac:dyDescent="0.25">
      <c r="B70" s="413"/>
      <c r="C70" s="395"/>
      <c r="D70" s="395"/>
      <c r="E70" s="395"/>
      <c r="F70" s="395"/>
      <c r="G70" s="1475"/>
      <c r="H70" s="395"/>
      <c r="I70" s="1729"/>
      <c r="J70" s="1729"/>
      <c r="K70" s="1729"/>
      <c r="L70" s="1729"/>
      <c r="M70" s="1484"/>
      <c r="N70" s="395"/>
      <c r="O70" s="395"/>
      <c r="P70" s="395"/>
      <c r="Q70" s="395"/>
      <c r="R70" s="395"/>
    </row>
    <row r="71" spans="2:18" x14ac:dyDescent="0.25">
      <c r="B71" s="413"/>
      <c r="C71" s="395"/>
      <c r="D71" s="492"/>
      <c r="E71" s="600"/>
      <c r="F71" s="600"/>
      <c r="G71" s="1499"/>
      <c r="H71" s="395"/>
      <c r="I71" s="1729"/>
      <c r="J71" s="1729"/>
      <c r="K71" s="1729"/>
      <c r="L71" s="1729"/>
      <c r="M71" s="1484"/>
      <c r="N71" s="395"/>
      <c r="O71" s="395"/>
      <c r="P71" s="395"/>
      <c r="Q71" s="395"/>
      <c r="R71" s="395"/>
    </row>
    <row r="72" spans="2:18" x14ac:dyDescent="0.25">
      <c r="B72" s="413"/>
      <c r="C72" s="1496"/>
      <c r="D72" s="495"/>
      <c r="E72" s="820"/>
      <c r="F72" s="820"/>
      <c r="G72" s="1497"/>
      <c r="H72" s="395"/>
      <c r="I72" s="1729"/>
      <c r="J72" s="1729"/>
      <c r="K72" s="1729"/>
      <c r="L72" s="1729"/>
      <c r="M72" s="1484"/>
      <c r="N72" s="395"/>
      <c r="O72" s="395"/>
      <c r="P72" s="395"/>
      <c r="Q72" s="395"/>
      <c r="R72" s="395"/>
    </row>
    <row r="73" spans="2:18" x14ac:dyDescent="0.25">
      <c r="B73" s="413"/>
      <c r="C73" s="1496"/>
      <c r="D73" s="495"/>
      <c r="E73" s="820"/>
      <c r="F73" s="820"/>
      <c r="G73" s="1497"/>
      <c r="H73" s="395"/>
      <c r="I73" s="1729"/>
      <c r="J73" s="1729"/>
      <c r="K73" s="1729"/>
      <c r="L73" s="1729"/>
      <c r="M73" s="1484"/>
      <c r="N73" s="395"/>
      <c r="O73" s="395"/>
      <c r="P73" s="395"/>
      <c r="Q73" s="395"/>
      <c r="R73" s="395"/>
    </row>
    <row r="74" spans="2:18" x14ac:dyDescent="0.25">
      <c r="B74" s="413"/>
      <c r="C74" s="1496"/>
      <c r="D74" s="495"/>
      <c r="E74" s="820"/>
      <c r="F74" s="820"/>
      <c r="G74" s="1497"/>
      <c r="H74" s="395"/>
      <c r="I74" s="1729"/>
      <c r="J74" s="1729"/>
      <c r="K74" s="1729"/>
      <c r="L74" s="1729"/>
      <c r="M74" s="1484"/>
      <c r="N74" s="395"/>
      <c r="O74" s="395"/>
      <c r="P74" s="395"/>
      <c r="Q74" s="395"/>
      <c r="R74" s="395"/>
    </row>
    <row r="75" spans="2:18" x14ac:dyDescent="0.25">
      <c r="B75" s="413"/>
      <c r="C75" s="1496"/>
      <c r="D75" s="495"/>
      <c r="E75" s="820"/>
      <c r="F75" s="820"/>
      <c r="G75" s="1497"/>
      <c r="H75" s="395"/>
      <c r="I75" s="1729"/>
      <c r="J75" s="1729"/>
      <c r="K75" s="1729"/>
      <c r="L75" s="1729"/>
      <c r="M75" s="1484"/>
      <c r="N75" s="395"/>
      <c r="O75" s="395"/>
      <c r="P75" s="395"/>
      <c r="Q75" s="395"/>
      <c r="R75" s="395"/>
    </row>
    <row r="76" spans="2:18" x14ac:dyDescent="0.25">
      <c r="B76" s="413"/>
      <c r="C76" s="1496"/>
      <c r="D76" s="495"/>
      <c r="E76" s="820"/>
      <c r="F76" s="820"/>
      <c r="G76" s="1497"/>
      <c r="H76" s="395"/>
      <c r="I76" s="1729"/>
      <c r="J76" s="1729"/>
      <c r="K76" s="1729"/>
      <c r="L76" s="1729"/>
      <c r="M76" s="1484"/>
      <c r="N76" s="395"/>
      <c r="O76" s="395"/>
      <c r="P76" s="395"/>
      <c r="Q76" s="395"/>
      <c r="R76" s="395"/>
    </row>
    <row r="77" spans="2:18" x14ac:dyDescent="0.25">
      <c r="B77" s="413"/>
      <c r="C77" s="1496"/>
      <c r="D77" s="495"/>
      <c r="E77" s="820"/>
      <c r="F77" s="820"/>
      <c r="G77" s="1497"/>
      <c r="H77" s="395"/>
      <c r="I77" s="1729"/>
      <c r="J77" s="1729"/>
      <c r="K77" s="1729"/>
      <c r="L77" s="1729"/>
      <c r="M77" s="1484"/>
      <c r="N77" s="395"/>
      <c r="O77" s="395"/>
      <c r="P77" s="395"/>
      <c r="Q77" s="395"/>
      <c r="R77" s="395"/>
    </row>
    <row r="78" spans="2:18" x14ac:dyDescent="0.25">
      <c r="B78" s="413"/>
      <c r="C78" s="1496"/>
      <c r="D78" s="495"/>
      <c r="E78" s="820"/>
      <c r="F78" s="820"/>
      <c r="G78" s="1497"/>
      <c r="H78" s="395"/>
      <c r="I78" s="1729"/>
      <c r="J78" s="1729"/>
      <c r="K78" s="1729"/>
      <c r="L78" s="1729"/>
      <c r="M78" s="1484"/>
      <c r="N78" s="395"/>
      <c r="O78" s="395"/>
      <c r="P78" s="395"/>
      <c r="Q78" s="395"/>
      <c r="R78" s="395"/>
    </row>
    <row r="79" spans="2:18" x14ac:dyDescent="0.25">
      <c r="B79" s="413"/>
      <c r="C79" s="1496"/>
      <c r="D79" s="495"/>
      <c r="E79" s="820"/>
      <c r="F79" s="820"/>
      <c r="G79" s="1497"/>
      <c r="H79" s="395"/>
      <c r="I79" s="1729"/>
      <c r="J79" s="1729"/>
      <c r="K79" s="1729"/>
      <c r="L79" s="1729"/>
      <c r="M79" s="1484"/>
      <c r="N79" s="395"/>
      <c r="O79" s="395"/>
      <c r="P79" s="395"/>
      <c r="Q79" s="395"/>
      <c r="R79" s="395"/>
    </row>
    <row r="80" spans="2:18" x14ac:dyDescent="0.25">
      <c r="B80" s="413"/>
      <c r="C80" s="1496"/>
      <c r="D80" s="495"/>
      <c r="E80" s="820"/>
      <c r="F80" s="820"/>
      <c r="G80" s="1497"/>
      <c r="H80" s="395"/>
      <c r="I80" s="1729"/>
      <c r="J80" s="1729"/>
      <c r="K80" s="1729"/>
      <c r="L80" s="1729"/>
      <c r="M80" s="1484"/>
      <c r="N80" s="395"/>
      <c r="O80" s="395"/>
      <c r="P80" s="395"/>
      <c r="Q80" s="395"/>
      <c r="R80" s="395"/>
    </row>
    <row r="81" spans="2:18" x14ac:dyDescent="0.25">
      <c r="B81" s="413"/>
      <c r="C81" s="1496"/>
      <c r="D81" s="495"/>
      <c r="E81" s="820"/>
      <c r="F81" s="820"/>
      <c r="G81" s="1497"/>
      <c r="H81" s="395"/>
      <c r="I81" s="395"/>
      <c r="J81" s="395"/>
      <c r="K81" s="395"/>
      <c r="L81" s="395"/>
      <c r="M81" s="1484"/>
      <c r="N81" s="395"/>
      <c r="O81" s="395"/>
      <c r="P81" s="395"/>
      <c r="Q81" s="395"/>
      <c r="R81" s="395"/>
    </row>
    <row r="82" spans="2:18" x14ac:dyDescent="0.25">
      <c r="B82" s="413"/>
      <c r="C82" s="395"/>
      <c r="D82" s="1492"/>
      <c r="E82" s="819"/>
      <c r="F82" s="819"/>
      <c r="G82" s="1493"/>
      <c r="H82" s="395"/>
      <c r="I82" s="395"/>
      <c r="J82" s="395"/>
      <c r="K82" s="395"/>
      <c r="L82" s="395"/>
      <c r="M82" s="1484"/>
      <c r="N82" s="395"/>
      <c r="O82" s="395"/>
      <c r="P82" s="395"/>
      <c r="Q82" s="395"/>
      <c r="R82" s="395"/>
    </row>
    <row r="83" spans="2:18" x14ac:dyDescent="0.25">
      <c r="B83" s="413"/>
      <c r="C83" s="395"/>
      <c r="D83" s="395"/>
      <c r="E83" s="395"/>
      <c r="F83" s="395"/>
      <c r="G83" s="1475"/>
      <c r="H83" s="395"/>
      <c r="I83" s="395"/>
      <c r="J83" s="395"/>
      <c r="K83" s="395"/>
      <c r="L83" s="395"/>
      <c r="M83" s="1484"/>
      <c r="N83" s="395"/>
      <c r="O83" s="395"/>
      <c r="P83" s="395"/>
      <c r="Q83" s="395"/>
      <c r="R83" s="395"/>
    </row>
    <row r="84" spans="2:18" x14ac:dyDescent="0.25">
      <c r="B84" s="413"/>
      <c r="C84" s="395"/>
      <c r="D84" s="395"/>
      <c r="E84" s="395"/>
      <c r="F84" s="395"/>
      <c r="G84" s="1475"/>
      <c r="H84" s="395"/>
      <c r="I84" s="395"/>
      <c r="J84" s="395"/>
      <c r="K84" s="395"/>
      <c r="L84" s="395"/>
      <c r="M84" s="1484"/>
      <c r="N84" s="395"/>
      <c r="O84" s="395"/>
      <c r="P84" s="395"/>
      <c r="Q84" s="395"/>
      <c r="R84" s="395"/>
    </row>
    <row r="85" spans="2:18" x14ac:dyDescent="0.25">
      <c r="B85" s="413"/>
      <c r="C85" s="395"/>
      <c r="D85" s="395"/>
      <c r="E85" s="395"/>
      <c r="F85" s="395"/>
      <c r="G85" s="1475"/>
      <c r="H85" s="395"/>
      <c r="I85" s="395"/>
      <c r="J85" s="395"/>
      <c r="K85" s="395"/>
      <c r="L85" s="395"/>
      <c r="M85" s="1484"/>
      <c r="N85" s="395"/>
      <c r="O85" s="395"/>
      <c r="P85" s="395"/>
      <c r="Q85" s="395"/>
      <c r="R85" s="395"/>
    </row>
    <row r="86" spans="2:18" x14ac:dyDescent="0.25">
      <c r="B86" s="413"/>
      <c r="C86" s="395"/>
      <c r="D86" s="395"/>
      <c r="E86" s="395"/>
      <c r="F86" s="395"/>
      <c r="G86" s="1475"/>
      <c r="H86" s="395"/>
      <c r="I86" s="395"/>
      <c r="J86" s="395"/>
      <c r="K86" s="395"/>
      <c r="L86" s="395"/>
      <c r="M86" s="1484"/>
      <c r="N86" s="395"/>
      <c r="O86" s="395"/>
      <c r="P86" s="395"/>
      <c r="Q86" s="395"/>
      <c r="R86" s="395"/>
    </row>
    <row r="87" spans="2:18" x14ac:dyDescent="0.25">
      <c r="B87" s="413"/>
      <c r="C87" s="824"/>
      <c r="D87" s="824"/>
      <c r="E87" s="823"/>
      <c r="F87" s="823"/>
      <c r="G87" s="1498"/>
      <c r="H87" s="395"/>
      <c r="I87" s="395"/>
      <c r="J87" s="395"/>
      <c r="K87" s="395"/>
      <c r="L87" s="395"/>
      <c r="M87" s="1484"/>
      <c r="N87" s="395"/>
      <c r="O87" s="395"/>
      <c r="P87" s="395"/>
      <c r="Q87" s="395"/>
      <c r="R87" s="395"/>
    </row>
    <row r="88" spans="2:18" x14ac:dyDescent="0.25">
      <c r="B88" s="413"/>
      <c r="C88" s="654"/>
      <c r="D88" s="413"/>
      <c r="E88" s="413"/>
      <c r="F88" s="413"/>
      <c r="G88" s="1484"/>
      <c r="H88" s="395"/>
      <c r="I88" s="395"/>
      <c r="J88" s="395"/>
      <c r="K88" s="395"/>
      <c r="L88" s="395"/>
      <c r="M88" s="1484"/>
      <c r="N88" s="395"/>
      <c r="O88" s="395"/>
      <c r="P88" s="395"/>
      <c r="Q88" s="395"/>
      <c r="R88" s="395"/>
    </row>
    <row r="89" spans="2:18" x14ac:dyDescent="0.25">
      <c r="B89" s="413"/>
      <c r="C89" s="413"/>
      <c r="D89" s="413"/>
      <c r="E89" s="413"/>
      <c r="F89" s="413"/>
      <c r="G89" s="1484"/>
      <c r="H89" s="395"/>
      <c r="I89" s="395"/>
      <c r="J89" s="395"/>
      <c r="K89" s="395"/>
      <c r="L89" s="395"/>
      <c r="M89" s="1484"/>
      <c r="N89" s="395"/>
      <c r="O89" s="395"/>
      <c r="P89" s="395"/>
      <c r="Q89" s="395"/>
      <c r="R89" s="395"/>
    </row>
    <row r="90" spans="2:18" x14ac:dyDescent="0.25">
      <c r="B90" s="413"/>
      <c r="C90" s="824"/>
      <c r="D90" s="824"/>
      <c r="E90" s="824"/>
      <c r="F90" s="824"/>
      <c r="G90" s="1487"/>
      <c r="H90" s="395"/>
      <c r="I90" s="395"/>
      <c r="J90" s="395"/>
      <c r="K90" s="395"/>
      <c r="L90" s="395"/>
      <c r="M90" s="1484"/>
      <c r="N90" s="395"/>
      <c r="O90" s="395"/>
      <c r="P90" s="395"/>
      <c r="Q90" s="395"/>
      <c r="R90" s="395"/>
    </row>
    <row r="91" spans="2:18" x14ac:dyDescent="0.25">
      <c r="B91" s="413"/>
      <c r="C91" s="395"/>
      <c r="D91" s="395"/>
      <c r="E91" s="395"/>
      <c r="F91" s="395"/>
      <c r="G91" s="1475"/>
      <c r="H91" s="395"/>
      <c r="I91" s="395"/>
      <c r="J91" s="395"/>
      <c r="K91" s="395"/>
      <c r="L91" s="395"/>
      <c r="M91" s="1484"/>
      <c r="N91" s="395"/>
      <c r="O91" s="395"/>
      <c r="P91" s="395"/>
      <c r="Q91" s="395"/>
      <c r="R91" s="395"/>
    </row>
    <row r="92" spans="2:18" x14ac:dyDescent="0.25">
      <c r="B92" s="413"/>
      <c r="C92" s="395"/>
      <c r="D92" s="395"/>
      <c r="E92" s="395"/>
      <c r="F92" s="395"/>
      <c r="G92" s="1475"/>
      <c r="H92" s="395"/>
      <c r="I92" s="395"/>
      <c r="J92" s="395"/>
      <c r="K92" s="395"/>
      <c r="L92" s="395"/>
      <c r="M92" s="1484"/>
      <c r="N92" s="395"/>
      <c r="O92" s="395"/>
      <c r="P92" s="395"/>
      <c r="Q92" s="395"/>
      <c r="R92" s="395"/>
    </row>
    <row r="93" spans="2:18" x14ac:dyDescent="0.25">
      <c r="B93" s="413"/>
      <c r="C93" s="395"/>
      <c r="D93" s="395"/>
      <c r="E93" s="395"/>
      <c r="F93" s="395"/>
      <c r="G93" s="1475"/>
      <c r="H93" s="395"/>
      <c r="I93" s="395"/>
      <c r="J93" s="395"/>
      <c r="K93" s="395"/>
      <c r="L93" s="395"/>
      <c r="M93" s="1484"/>
      <c r="N93" s="395"/>
      <c r="O93" s="395"/>
      <c r="P93" s="395"/>
      <c r="Q93" s="395"/>
      <c r="R93" s="395"/>
    </row>
    <row r="94" spans="2:18" x14ac:dyDescent="0.25">
      <c r="B94" s="413"/>
      <c r="C94" s="395"/>
      <c r="D94" s="395"/>
      <c r="E94" s="395"/>
      <c r="F94" s="395"/>
      <c r="G94" s="1475"/>
      <c r="H94" s="395"/>
      <c r="I94" s="395"/>
      <c r="J94" s="395"/>
      <c r="K94" s="395"/>
      <c r="L94" s="395"/>
      <c r="M94" s="1484"/>
      <c r="N94" s="395"/>
      <c r="O94" s="395"/>
      <c r="P94" s="395"/>
      <c r="Q94" s="395"/>
      <c r="R94" s="395"/>
    </row>
    <row r="95" spans="2:18" x14ac:dyDescent="0.25">
      <c r="B95" s="413"/>
      <c r="C95" s="395"/>
      <c r="D95" s="395"/>
      <c r="E95" s="395"/>
      <c r="F95" s="395"/>
      <c r="G95" s="1475"/>
      <c r="H95" s="395"/>
      <c r="I95" s="395"/>
      <c r="J95" s="395"/>
      <c r="K95" s="395"/>
      <c r="L95" s="395"/>
      <c r="M95" s="1484"/>
      <c r="N95" s="395"/>
      <c r="O95" s="395"/>
      <c r="P95" s="395"/>
      <c r="Q95" s="395"/>
      <c r="R95" s="395"/>
    </row>
    <row r="96" spans="2:18" x14ac:dyDescent="0.25">
      <c r="B96" s="413"/>
      <c r="C96" s="395"/>
      <c r="D96" s="395"/>
      <c r="E96" s="395"/>
      <c r="F96" s="395"/>
      <c r="G96" s="1475"/>
      <c r="H96" s="395"/>
      <c r="I96" s="395"/>
      <c r="J96" s="395"/>
      <c r="K96" s="395"/>
      <c r="L96" s="395"/>
      <c r="M96" s="1484"/>
      <c r="N96" s="395"/>
      <c r="O96" s="395"/>
      <c r="P96" s="395"/>
      <c r="Q96" s="395"/>
      <c r="R96" s="395"/>
    </row>
    <row r="97" spans="2:18" x14ac:dyDescent="0.25">
      <c r="B97" s="413"/>
      <c r="C97" s="395"/>
      <c r="D97" s="395"/>
      <c r="E97" s="395"/>
      <c r="F97" s="395"/>
      <c r="G97" s="1475"/>
      <c r="H97" s="395"/>
      <c r="I97" s="395"/>
      <c r="J97" s="395"/>
      <c r="K97" s="395"/>
      <c r="L97" s="395"/>
      <c r="M97" s="1484"/>
      <c r="N97" s="395"/>
      <c r="O97" s="395"/>
      <c r="P97" s="395"/>
      <c r="Q97" s="395"/>
      <c r="R97" s="395"/>
    </row>
    <row r="98" spans="2:18" x14ac:dyDescent="0.25">
      <c r="B98" s="413"/>
      <c r="C98" s="395"/>
      <c r="D98" s="395"/>
      <c r="E98" s="395"/>
      <c r="F98" s="395"/>
      <c r="G98" s="1475"/>
      <c r="H98" s="395"/>
      <c r="I98" s="395"/>
      <c r="J98" s="395"/>
      <c r="K98" s="395"/>
      <c r="L98" s="395"/>
      <c r="M98" s="1484"/>
      <c r="N98" s="395"/>
      <c r="O98" s="395"/>
      <c r="P98" s="395"/>
      <c r="Q98" s="395"/>
      <c r="R98" s="395"/>
    </row>
    <row r="99" spans="2:18" x14ac:dyDescent="0.25">
      <c r="B99" s="413"/>
      <c r="C99" s="395"/>
      <c r="D99" s="395"/>
      <c r="E99" s="395"/>
      <c r="F99" s="395"/>
      <c r="G99" s="1475"/>
      <c r="H99" s="395"/>
      <c r="I99" s="395"/>
      <c r="J99" s="395"/>
      <c r="K99" s="395"/>
      <c r="L99" s="395"/>
      <c r="M99" s="1484"/>
      <c r="N99" s="395"/>
      <c r="O99" s="395"/>
      <c r="P99" s="395"/>
      <c r="Q99" s="395"/>
      <c r="R99" s="395"/>
    </row>
    <row r="100" spans="2:18" x14ac:dyDescent="0.25">
      <c r="B100" s="413"/>
      <c r="C100" s="395"/>
      <c r="D100" s="395"/>
      <c r="E100" s="395"/>
      <c r="F100" s="395"/>
      <c r="G100" s="1475"/>
      <c r="H100" s="395"/>
      <c r="I100" s="395"/>
      <c r="J100" s="395"/>
      <c r="K100" s="395"/>
      <c r="L100" s="395"/>
      <c r="M100" s="1484"/>
      <c r="N100" s="395"/>
      <c r="O100" s="395"/>
      <c r="P100" s="395"/>
      <c r="Q100" s="395"/>
      <c r="R100" s="395"/>
    </row>
    <row r="101" spans="2:18" x14ac:dyDescent="0.25">
      <c r="B101" s="413"/>
      <c r="C101" s="395"/>
      <c r="D101" s="395"/>
      <c r="E101" s="395"/>
      <c r="F101" s="395"/>
      <c r="G101" s="1475"/>
      <c r="H101" s="395"/>
      <c r="I101" s="395"/>
      <c r="J101" s="395"/>
      <c r="K101" s="395"/>
      <c r="L101" s="395"/>
      <c r="M101" s="1484"/>
      <c r="N101" s="395"/>
      <c r="O101" s="395"/>
      <c r="P101" s="395"/>
      <c r="Q101" s="395"/>
      <c r="R101" s="395"/>
    </row>
    <row r="102" spans="2:18" x14ac:dyDescent="0.25">
      <c r="B102" s="413"/>
      <c r="C102" s="395"/>
      <c r="D102" s="395"/>
      <c r="E102" s="395"/>
      <c r="F102" s="395"/>
      <c r="G102" s="1475"/>
      <c r="H102" s="395"/>
      <c r="I102" s="395"/>
      <c r="J102" s="395"/>
      <c r="K102" s="395"/>
      <c r="L102" s="395"/>
      <c r="M102" s="1484"/>
      <c r="N102" s="395"/>
      <c r="O102" s="395"/>
      <c r="P102" s="395"/>
      <c r="Q102" s="395"/>
      <c r="R102" s="395"/>
    </row>
    <row r="103" spans="2:18" x14ac:dyDescent="0.25">
      <c r="B103" s="413"/>
      <c r="C103" s="395"/>
      <c r="D103" s="395"/>
      <c r="E103" s="395"/>
      <c r="F103" s="395"/>
      <c r="G103" s="1475"/>
      <c r="H103" s="395"/>
      <c r="I103" s="395"/>
      <c r="J103" s="395"/>
      <c r="K103" s="395"/>
      <c r="L103" s="395"/>
      <c r="M103" s="1484"/>
      <c r="N103" s="395"/>
      <c r="O103" s="395"/>
      <c r="P103" s="395"/>
      <c r="Q103" s="395"/>
      <c r="R103" s="395"/>
    </row>
    <row r="104" spans="2:18" x14ac:dyDescent="0.25">
      <c r="B104" s="413"/>
      <c r="C104" s="395"/>
      <c r="D104" s="395"/>
      <c r="E104" s="395"/>
      <c r="F104" s="395"/>
      <c r="G104" s="1475"/>
      <c r="H104" s="395"/>
      <c r="I104" s="395"/>
      <c r="J104" s="395"/>
      <c r="K104" s="395"/>
      <c r="L104" s="395"/>
      <c r="M104" s="1484"/>
      <c r="N104" s="395"/>
      <c r="O104" s="395"/>
      <c r="P104" s="395"/>
      <c r="Q104" s="395"/>
      <c r="R104" s="395"/>
    </row>
    <row r="105" spans="2:18" x14ac:dyDescent="0.25">
      <c r="B105" s="413"/>
      <c r="C105" s="395"/>
      <c r="D105" s="395"/>
      <c r="E105" s="395"/>
      <c r="F105" s="395"/>
      <c r="G105" s="1475"/>
      <c r="H105" s="395"/>
      <c r="I105" s="395"/>
      <c r="J105" s="395"/>
      <c r="K105" s="395"/>
      <c r="L105" s="395"/>
      <c r="M105" s="1484"/>
      <c r="N105" s="395"/>
      <c r="O105" s="395"/>
      <c r="P105" s="395"/>
      <c r="Q105" s="395"/>
      <c r="R105" s="395"/>
    </row>
    <row r="106" spans="2:18" x14ac:dyDescent="0.25">
      <c r="B106" s="413"/>
      <c r="C106" s="395"/>
      <c r="D106" s="395"/>
      <c r="E106" s="395"/>
      <c r="F106" s="395"/>
      <c r="G106" s="1475"/>
      <c r="H106" s="395"/>
      <c r="I106" s="395"/>
      <c r="J106" s="395"/>
      <c r="K106" s="395"/>
      <c r="L106" s="395"/>
      <c r="M106" s="1484"/>
      <c r="N106" s="395"/>
      <c r="O106" s="395"/>
      <c r="P106" s="395"/>
      <c r="Q106" s="395"/>
      <c r="R106" s="395"/>
    </row>
    <row r="107" spans="2:18" x14ac:dyDescent="0.25">
      <c r="B107" s="413"/>
      <c r="C107" s="395"/>
      <c r="D107" s="395"/>
      <c r="E107" s="395"/>
      <c r="F107" s="395"/>
      <c r="G107" s="1475"/>
      <c r="H107" s="395"/>
      <c r="I107" s="395"/>
      <c r="J107" s="395"/>
      <c r="K107" s="395"/>
      <c r="L107" s="395"/>
      <c r="M107" s="1484"/>
      <c r="N107" s="395"/>
      <c r="O107" s="395"/>
      <c r="P107" s="395"/>
      <c r="Q107" s="395"/>
      <c r="R107" s="395"/>
    </row>
    <row r="108" spans="2:18" x14ac:dyDescent="0.25">
      <c r="B108" s="413"/>
      <c r="C108" s="395"/>
      <c r="D108" s="395"/>
      <c r="E108" s="395"/>
      <c r="F108" s="395"/>
      <c r="G108" s="1475"/>
      <c r="H108" s="395"/>
      <c r="I108" s="395"/>
      <c r="J108" s="395"/>
      <c r="K108" s="395"/>
      <c r="L108" s="395"/>
      <c r="M108" s="1484"/>
      <c r="N108" s="395"/>
      <c r="O108" s="395"/>
      <c r="P108" s="395"/>
      <c r="Q108" s="395"/>
      <c r="R108" s="395"/>
    </row>
    <row r="109" spans="2:18" x14ac:dyDescent="0.25">
      <c r="B109" s="413"/>
      <c r="C109" s="395"/>
      <c r="D109" s="395"/>
      <c r="E109" s="395"/>
      <c r="F109" s="395"/>
      <c r="G109" s="1475"/>
      <c r="H109" s="395"/>
      <c r="I109" s="395"/>
      <c r="J109" s="395"/>
      <c r="K109" s="395"/>
      <c r="L109" s="395"/>
      <c r="M109" s="1484"/>
      <c r="N109" s="395"/>
      <c r="O109" s="395"/>
      <c r="P109" s="395"/>
      <c r="Q109" s="395"/>
      <c r="R109" s="395"/>
    </row>
    <row r="110" spans="2:18" x14ac:dyDescent="0.25">
      <c r="B110" s="413"/>
      <c r="C110" s="395"/>
      <c r="D110" s="395"/>
      <c r="E110" s="395"/>
      <c r="F110" s="395"/>
      <c r="G110" s="1475"/>
      <c r="H110" s="395"/>
      <c r="I110" s="395"/>
      <c r="J110" s="395"/>
      <c r="K110" s="395"/>
      <c r="L110" s="395"/>
      <c r="M110" s="1484"/>
      <c r="N110" s="395"/>
      <c r="O110" s="395"/>
      <c r="P110" s="395"/>
      <c r="Q110" s="395"/>
      <c r="R110" s="395"/>
    </row>
    <row r="111" spans="2:18" x14ac:dyDescent="0.25">
      <c r="B111" s="413"/>
      <c r="C111" s="395"/>
      <c r="D111" s="395"/>
      <c r="E111" s="395"/>
      <c r="F111" s="395"/>
      <c r="G111" s="1475"/>
      <c r="H111" s="395"/>
      <c r="I111" s="395"/>
      <c r="J111" s="395"/>
      <c r="K111" s="395"/>
      <c r="L111" s="395"/>
      <c r="M111" s="1484"/>
      <c r="N111" s="395"/>
      <c r="O111" s="395"/>
      <c r="P111" s="395"/>
      <c r="Q111" s="395"/>
      <c r="R111" s="395"/>
    </row>
    <row r="112" spans="2:18" x14ac:dyDescent="0.25">
      <c r="B112" s="413"/>
      <c r="C112" s="395"/>
      <c r="D112" s="395"/>
      <c r="E112" s="395"/>
      <c r="F112" s="395"/>
      <c r="G112" s="1475"/>
      <c r="H112" s="395"/>
      <c r="I112" s="395"/>
      <c r="J112" s="395"/>
      <c r="K112" s="395"/>
      <c r="L112" s="395"/>
      <c r="M112" s="1484"/>
      <c r="N112" s="395"/>
      <c r="O112" s="395"/>
      <c r="P112" s="395"/>
      <c r="Q112" s="395"/>
      <c r="R112" s="395"/>
    </row>
    <row r="113" spans="2:18" x14ac:dyDescent="0.25">
      <c r="B113" s="413"/>
      <c r="C113" s="395"/>
      <c r="D113" s="395"/>
      <c r="E113" s="395"/>
      <c r="F113" s="395"/>
      <c r="G113" s="1475"/>
      <c r="H113" s="395"/>
      <c r="I113" s="395"/>
      <c r="J113" s="395"/>
      <c r="K113" s="395"/>
      <c r="L113" s="395"/>
      <c r="M113" s="1484"/>
      <c r="N113" s="395"/>
      <c r="O113" s="395"/>
      <c r="P113" s="395"/>
      <c r="Q113" s="395"/>
      <c r="R113" s="395"/>
    </row>
    <row r="114" spans="2:18" x14ac:dyDescent="0.25">
      <c r="B114" s="413"/>
      <c r="C114" s="395"/>
      <c r="D114" s="395"/>
      <c r="E114" s="395"/>
      <c r="F114" s="395"/>
      <c r="G114" s="1475"/>
      <c r="H114" s="395"/>
      <c r="I114" s="395"/>
      <c r="J114" s="395"/>
      <c r="K114" s="395"/>
      <c r="L114" s="395"/>
      <c r="M114" s="1484"/>
      <c r="N114" s="395"/>
      <c r="O114" s="395"/>
      <c r="P114" s="395"/>
      <c r="Q114" s="395"/>
      <c r="R114" s="395"/>
    </row>
    <row r="115" spans="2:18" x14ac:dyDescent="0.25">
      <c r="B115" s="413"/>
      <c r="C115" s="395"/>
      <c r="D115" s="395"/>
      <c r="E115" s="395"/>
      <c r="F115" s="395"/>
      <c r="G115" s="1475"/>
      <c r="H115" s="395"/>
      <c r="I115" s="395"/>
      <c r="J115" s="395"/>
      <c r="K115" s="395"/>
      <c r="L115" s="395"/>
      <c r="M115" s="1484"/>
      <c r="N115" s="395"/>
      <c r="O115" s="395"/>
      <c r="P115" s="395"/>
      <c r="Q115" s="395"/>
      <c r="R115" s="395"/>
    </row>
    <row r="116" spans="2:18" x14ac:dyDescent="0.25">
      <c r="B116" s="413"/>
      <c r="C116" s="395"/>
      <c r="D116" s="395"/>
      <c r="E116" s="395"/>
      <c r="F116" s="395"/>
      <c r="G116" s="1475"/>
      <c r="H116" s="395"/>
      <c r="I116" s="395"/>
      <c r="J116" s="395"/>
      <c r="K116" s="395"/>
      <c r="L116" s="395"/>
      <c r="M116" s="1484"/>
      <c r="N116" s="395"/>
      <c r="O116" s="395"/>
      <c r="P116" s="395"/>
      <c r="Q116" s="395"/>
      <c r="R116" s="395"/>
    </row>
    <row r="117" spans="2:18" x14ac:dyDescent="0.25">
      <c r="B117" s="413"/>
      <c r="C117" s="395"/>
      <c r="D117" s="395"/>
      <c r="E117" s="395"/>
      <c r="F117" s="395"/>
      <c r="G117" s="1475"/>
      <c r="H117" s="395"/>
      <c r="I117" s="395"/>
      <c r="J117" s="395"/>
      <c r="K117" s="395"/>
      <c r="L117" s="395"/>
      <c r="M117" s="1484"/>
      <c r="N117" s="395"/>
      <c r="O117" s="395"/>
      <c r="P117" s="395"/>
      <c r="Q117" s="395"/>
      <c r="R117" s="395"/>
    </row>
    <row r="118" spans="2:18" x14ac:dyDescent="0.25">
      <c r="B118" s="413"/>
      <c r="C118" s="395"/>
      <c r="D118" s="395"/>
      <c r="E118" s="395"/>
      <c r="F118" s="395"/>
      <c r="G118" s="1475"/>
      <c r="H118" s="395"/>
      <c r="I118" s="395"/>
      <c r="J118" s="395"/>
      <c r="K118" s="395"/>
      <c r="L118" s="395"/>
      <c r="M118" s="1484"/>
      <c r="N118" s="395"/>
      <c r="O118" s="395"/>
      <c r="P118" s="395"/>
      <c r="Q118" s="395"/>
      <c r="R118" s="395"/>
    </row>
    <row r="119" spans="2:18" x14ac:dyDescent="0.25">
      <c r="B119" s="413"/>
      <c r="C119" s="395"/>
      <c r="D119" s="395"/>
      <c r="E119" s="395"/>
      <c r="F119" s="395"/>
      <c r="G119" s="1475"/>
      <c r="H119" s="395"/>
      <c r="I119" s="395"/>
      <c r="J119" s="395"/>
      <c r="K119" s="395"/>
      <c r="L119" s="395"/>
      <c r="M119" s="1484"/>
      <c r="N119" s="395"/>
      <c r="O119" s="395"/>
      <c r="P119" s="395"/>
      <c r="Q119" s="395"/>
      <c r="R119" s="395"/>
    </row>
    <row r="120" spans="2:18" x14ac:dyDescent="0.25">
      <c r="B120" s="413"/>
      <c r="C120" s="395"/>
      <c r="D120" s="395"/>
      <c r="E120" s="395"/>
      <c r="F120" s="395"/>
      <c r="G120" s="1475"/>
      <c r="H120" s="395"/>
      <c r="I120" s="395"/>
      <c r="J120" s="395"/>
      <c r="K120" s="395"/>
      <c r="L120" s="395"/>
      <c r="M120" s="1484"/>
      <c r="N120" s="395"/>
      <c r="O120" s="395"/>
      <c r="P120" s="395"/>
      <c r="Q120" s="395"/>
      <c r="R120" s="395"/>
    </row>
    <row r="121" spans="2:18" x14ac:dyDescent="0.25">
      <c r="B121" s="413"/>
      <c r="C121" s="395"/>
      <c r="D121" s="395"/>
      <c r="E121" s="395"/>
      <c r="F121" s="395"/>
      <c r="G121" s="1475"/>
      <c r="H121" s="395"/>
      <c r="I121" s="395"/>
      <c r="J121" s="395"/>
      <c r="K121" s="395"/>
      <c r="L121" s="395"/>
      <c r="M121" s="1484"/>
      <c r="N121" s="395"/>
      <c r="O121" s="395"/>
      <c r="P121" s="395"/>
      <c r="Q121" s="395"/>
      <c r="R121" s="395"/>
    </row>
    <row r="122" spans="2:18" x14ac:dyDescent="0.25">
      <c r="B122" s="413"/>
      <c r="C122" s="395"/>
      <c r="D122" s="395"/>
      <c r="E122" s="395"/>
      <c r="F122" s="395"/>
      <c r="G122" s="1475"/>
      <c r="H122" s="395"/>
      <c r="I122" s="395"/>
      <c r="J122" s="395"/>
      <c r="K122" s="395"/>
      <c r="L122" s="395"/>
      <c r="M122" s="1484"/>
      <c r="N122" s="395"/>
      <c r="O122" s="395"/>
      <c r="P122" s="395"/>
      <c r="Q122" s="395"/>
      <c r="R122" s="395"/>
    </row>
    <row r="123" spans="2:18" x14ac:dyDescent="0.25">
      <c r="B123" s="413"/>
      <c r="C123" s="395"/>
      <c r="D123" s="395"/>
      <c r="E123" s="395"/>
      <c r="F123" s="395"/>
      <c r="G123" s="1475"/>
      <c r="H123" s="395"/>
      <c r="I123" s="395"/>
      <c r="J123" s="395"/>
      <c r="K123" s="395"/>
      <c r="L123" s="395"/>
      <c r="M123" s="1484"/>
      <c r="N123" s="395"/>
      <c r="O123" s="395"/>
      <c r="P123" s="395"/>
      <c r="Q123" s="395"/>
      <c r="R123" s="395"/>
    </row>
    <row r="124" spans="2:18" x14ac:dyDescent="0.25">
      <c r="B124" s="413"/>
      <c r="C124" s="395"/>
      <c r="D124" s="395"/>
      <c r="E124" s="395"/>
      <c r="F124" s="395"/>
      <c r="G124" s="1475"/>
      <c r="H124" s="395"/>
      <c r="I124" s="395"/>
      <c r="J124" s="395"/>
      <c r="K124" s="395"/>
      <c r="L124" s="395"/>
      <c r="M124" s="1484"/>
      <c r="N124" s="395"/>
      <c r="O124" s="395"/>
      <c r="P124" s="395"/>
      <c r="Q124" s="395"/>
      <c r="R124" s="395"/>
    </row>
    <row r="125" spans="2:18" x14ac:dyDescent="0.25">
      <c r="B125" s="413"/>
      <c r="C125" s="395"/>
      <c r="D125" s="395"/>
      <c r="E125" s="395"/>
      <c r="F125" s="395"/>
      <c r="G125" s="1475"/>
      <c r="H125" s="395"/>
      <c r="I125" s="395"/>
      <c r="J125" s="395"/>
      <c r="K125" s="395"/>
      <c r="L125" s="395"/>
      <c r="M125" s="1484"/>
      <c r="N125" s="395"/>
      <c r="O125" s="395"/>
      <c r="P125" s="395"/>
      <c r="Q125" s="395"/>
      <c r="R125" s="395"/>
    </row>
    <row r="126" spans="2:18" x14ac:dyDescent="0.25">
      <c r="B126" s="413"/>
      <c r="C126" s="395"/>
      <c r="D126" s="395"/>
      <c r="E126" s="395"/>
      <c r="F126" s="395"/>
      <c r="G126" s="1475"/>
      <c r="H126" s="395"/>
      <c r="I126" s="395"/>
      <c r="J126" s="395"/>
      <c r="K126" s="395"/>
      <c r="L126" s="395"/>
      <c r="M126" s="1484"/>
      <c r="N126" s="395"/>
      <c r="O126" s="395"/>
      <c r="P126" s="395"/>
      <c r="Q126" s="395"/>
      <c r="R126" s="395"/>
    </row>
    <row r="127" spans="2:18" x14ac:dyDescent="0.25">
      <c r="B127" s="413"/>
      <c r="C127" s="395"/>
      <c r="D127" s="395"/>
      <c r="E127" s="395"/>
      <c r="F127" s="395"/>
      <c r="G127" s="1475"/>
      <c r="H127" s="395"/>
      <c r="I127" s="395"/>
      <c r="J127" s="395"/>
      <c r="K127" s="395"/>
      <c r="L127" s="395"/>
      <c r="M127" s="1484"/>
      <c r="N127" s="395"/>
      <c r="O127" s="395"/>
      <c r="P127" s="395"/>
      <c r="Q127" s="395"/>
      <c r="R127" s="395"/>
    </row>
    <row r="128" spans="2:18" x14ac:dyDescent="0.25">
      <c r="B128" s="413"/>
      <c r="C128" s="395"/>
      <c r="D128" s="395"/>
      <c r="E128" s="395"/>
      <c r="F128" s="395"/>
      <c r="G128" s="1475"/>
      <c r="H128" s="395"/>
      <c r="I128" s="395"/>
      <c r="J128" s="395"/>
      <c r="K128" s="395"/>
      <c r="L128" s="395"/>
      <c r="M128" s="1484"/>
      <c r="N128" s="395"/>
      <c r="O128" s="395"/>
      <c r="P128" s="395"/>
      <c r="Q128" s="395"/>
      <c r="R128" s="395"/>
    </row>
    <row r="129" spans="2:18" x14ac:dyDescent="0.25">
      <c r="B129" s="413"/>
      <c r="C129" s="395"/>
      <c r="D129" s="395"/>
      <c r="E129" s="395"/>
      <c r="F129" s="395"/>
      <c r="G129" s="1475"/>
      <c r="H129" s="395"/>
      <c r="I129" s="395"/>
      <c r="J129" s="395"/>
      <c r="K129" s="395"/>
      <c r="L129" s="395"/>
      <c r="M129" s="1484"/>
      <c r="N129" s="395"/>
      <c r="O129" s="395"/>
      <c r="P129" s="395"/>
      <c r="Q129" s="395"/>
      <c r="R129" s="395"/>
    </row>
    <row r="130" spans="2:18" x14ac:dyDescent="0.25">
      <c r="B130" s="413"/>
      <c r="C130" s="395"/>
      <c r="D130" s="395"/>
      <c r="E130" s="395"/>
      <c r="F130" s="395"/>
      <c r="G130" s="1475"/>
      <c r="H130" s="395"/>
      <c r="I130" s="395"/>
      <c r="J130" s="395"/>
      <c r="K130" s="395"/>
      <c r="L130" s="395"/>
      <c r="M130" s="1484"/>
      <c r="N130" s="395"/>
      <c r="O130" s="395"/>
      <c r="P130" s="395"/>
      <c r="Q130" s="395"/>
      <c r="R130" s="395"/>
    </row>
    <row r="131" spans="2:18" x14ac:dyDescent="0.25">
      <c r="B131" s="413"/>
      <c r="C131" s="395"/>
      <c r="D131" s="395"/>
      <c r="E131" s="395"/>
      <c r="F131" s="395"/>
      <c r="G131" s="1475"/>
      <c r="H131" s="395"/>
      <c r="I131" s="395"/>
      <c r="J131" s="395"/>
      <c r="K131" s="395"/>
      <c r="L131" s="395"/>
      <c r="M131" s="1484"/>
      <c r="N131" s="395"/>
      <c r="O131" s="395"/>
      <c r="P131" s="395"/>
      <c r="Q131" s="395"/>
      <c r="R131" s="395"/>
    </row>
    <row r="132" spans="2:18" x14ac:dyDescent="0.25">
      <c r="B132" s="413"/>
      <c r="C132" s="395"/>
      <c r="D132" s="395"/>
      <c r="E132" s="395"/>
      <c r="F132" s="395"/>
      <c r="G132" s="1475"/>
      <c r="H132" s="395"/>
      <c r="I132" s="395"/>
      <c r="J132" s="395"/>
      <c r="K132" s="395"/>
      <c r="L132" s="395"/>
      <c r="M132" s="1484"/>
      <c r="N132" s="395"/>
      <c r="O132" s="395"/>
      <c r="P132" s="395"/>
      <c r="Q132" s="395"/>
      <c r="R132" s="395"/>
    </row>
    <row r="133" spans="2:18" x14ac:dyDescent="0.25">
      <c r="B133" s="413"/>
      <c r="C133" s="395"/>
      <c r="D133" s="395"/>
      <c r="E133" s="395"/>
      <c r="F133" s="395"/>
      <c r="G133" s="1475"/>
      <c r="H133" s="395"/>
      <c r="I133" s="395"/>
      <c r="J133" s="395"/>
      <c r="K133" s="395"/>
      <c r="L133" s="395"/>
      <c r="M133" s="1484"/>
      <c r="N133" s="395"/>
      <c r="O133" s="395"/>
      <c r="P133" s="395"/>
      <c r="Q133" s="395"/>
      <c r="R133" s="395"/>
    </row>
    <row r="134" spans="2:18" x14ac:dyDescent="0.25">
      <c r="B134" s="413"/>
      <c r="C134" s="395"/>
      <c r="D134" s="395"/>
      <c r="E134" s="395"/>
      <c r="F134" s="395"/>
      <c r="G134" s="1475"/>
      <c r="H134" s="395"/>
      <c r="I134" s="395"/>
      <c r="J134" s="395"/>
      <c r="K134" s="395"/>
      <c r="L134" s="395"/>
      <c r="M134" s="1484"/>
      <c r="N134" s="395"/>
      <c r="O134" s="395"/>
      <c r="P134" s="395"/>
      <c r="Q134" s="395"/>
      <c r="R134" s="395"/>
    </row>
    <row r="135" spans="2:18" x14ac:dyDescent="0.25">
      <c r="B135" s="413"/>
      <c r="C135" s="395"/>
      <c r="D135" s="395"/>
      <c r="E135" s="395"/>
      <c r="F135" s="395"/>
      <c r="G135" s="1475"/>
      <c r="H135" s="395"/>
      <c r="I135" s="395"/>
      <c r="J135" s="395"/>
      <c r="K135" s="395"/>
      <c r="L135" s="395"/>
      <c r="M135" s="1484"/>
      <c r="N135" s="395"/>
      <c r="O135" s="395"/>
      <c r="P135" s="395"/>
      <c r="Q135" s="395"/>
      <c r="R135" s="395"/>
    </row>
    <row r="136" spans="2:18" x14ac:dyDescent="0.25">
      <c r="B136" s="413"/>
      <c r="C136" s="395"/>
      <c r="D136" s="395"/>
      <c r="E136" s="395"/>
      <c r="F136" s="395"/>
      <c r="G136" s="1475"/>
      <c r="H136" s="395"/>
      <c r="I136" s="395"/>
      <c r="J136" s="395"/>
      <c r="K136" s="395"/>
      <c r="L136" s="395"/>
      <c r="M136" s="1484"/>
      <c r="N136" s="395"/>
      <c r="O136" s="395"/>
      <c r="P136" s="395"/>
      <c r="Q136" s="395"/>
      <c r="R136" s="395"/>
    </row>
    <row r="137" spans="2:18" x14ac:dyDescent="0.25">
      <c r="B137" s="413"/>
      <c r="C137" s="395"/>
      <c r="D137" s="395"/>
      <c r="E137" s="395"/>
      <c r="F137" s="395"/>
      <c r="G137" s="1475"/>
      <c r="H137" s="395"/>
      <c r="I137" s="395"/>
      <c r="J137" s="395"/>
      <c r="K137" s="395"/>
      <c r="L137" s="395"/>
      <c r="M137" s="1484"/>
      <c r="N137" s="395"/>
      <c r="O137" s="395"/>
      <c r="P137" s="395"/>
      <c r="Q137" s="395"/>
      <c r="R137" s="395"/>
    </row>
    <row r="138" spans="2:18" x14ac:dyDescent="0.25">
      <c r="B138" s="413"/>
      <c r="C138" s="395"/>
      <c r="D138" s="395"/>
      <c r="E138" s="395"/>
      <c r="F138" s="395"/>
      <c r="G138" s="1475"/>
      <c r="H138" s="395"/>
      <c r="I138" s="395"/>
      <c r="J138" s="395"/>
      <c r="K138" s="395"/>
      <c r="L138" s="395"/>
      <c r="M138" s="1484"/>
      <c r="N138" s="395"/>
      <c r="O138" s="395"/>
      <c r="P138" s="395"/>
      <c r="Q138" s="395"/>
      <c r="R138" s="395"/>
    </row>
    <row r="139" spans="2:18" x14ac:dyDescent="0.25">
      <c r="B139" s="413"/>
      <c r="C139" s="395"/>
      <c r="D139" s="395"/>
      <c r="E139" s="395"/>
      <c r="F139" s="395"/>
      <c r="G139" s="1475"/>
      <c r="H139" s="395"/>
      <c r="I139" s="395"/>
      <c r="J139" s="395"/>
      <c r="K139" s="395"/>
      <c r="L139" s="395"/>
      <c r="M139" s="1484"/>
      <c r="N139" s="395"/>
      <c r="O139" s="395"/>
      <c r="P139" s="395"/>
      <c r="Q139" s="395"/>
      <c r="R139" s="395"/>
    </row>
    <row r="140" spans="2:18" x14ac:dyDescent="0.25">
      <c r="B140" s="413"/>
      <c r="C140" s="395"/>
      <c r="D140" s="395"/>
      <c r="E140" s="395"/>
      <c r="F140" s="395"/>
      <c r="G140" s="1475"/>
      <c r="H140" s="395"/>
      <c r="I140" s="395"/>
      <c r="J140" s="395"/>
      <c r="K140" s="395"/>
      <c r="L140" s="395"/>
      <c r="M140" s="1484"/>
      <c r="N140" s="395"/>
      <c r="O140" s="395"/>
      <c r="P140" s="395"/>
      <c r="Q140" s="395"/>
      <c r="R140" s="395"/>
    </row>
    <row r="141" spans="2:18" x14ac:dyDescent="0.25">
      <c r="B141" s="413"/>
      <c r="C141" s="395"/>
      <c r="D141" s="395"/>
      <c r="E141" s="395"/>
      <c r="F141" s="395"/>
      <c r="G141" s="1475"/>
      <c r="H141" s="395"/>
      <c r="I141" s="395"/>
      <c r="J141" s="395"/>
      <c r="K141" s="395"/>
      <c r="L141" s="395"/>
      <c r="M141" s="1484"/>
      <c r="N141" s="395"/>
      <c r="O141" s="395"/>
      <c r="P141" s="395"/>
      <c r="Q141" s="395"/>
      <c r="R141" s="395"/>
    </row>
    <row r="142" spans="2:18" x14ac:dyDescent="0.25">
      <c r="B142" s="413"/>
      <c r="C142" s="395"/>
      <c r="D142" s="395"/>
      <c r="E142" s="395"/>
      <c r="F142" s="395"/>
      <c r="G142" s="1475"/>
      <c r="H142" s="395"/>
      <c r="I142" s="395"/>
      <c r="J142" s="395"/>
      <c r="K142" s="395"/>
      <c r="L142" s="395"/>
      <c r="M142" s="1484"/>
      <c r="N142" s="395"/>
      <c r="O142" s="395"/>
      <c r="P142" s="395"/>
      <c r="Q142" s="395"/>
      <c r="R142" s="395"/>
    </row>
    <row r="143" spans="2:18" x14ac:dyDescent="0.25">
      <c r="B143" s="413"/>
      <c r="C143" s="395"/>
      <c r="D143" s="395"/>
      <c r="E143" s="395"/>
      <c r="F143" s="395"/>
      <c r="G143" s="1475"/>
      <c r="H143" s="395"/>
      <c r="I143" s="395"/>
      <c r="J143" s="395"/>
      <c r="K143" s="395"/>
      <c r="L143" s="395"/>
      <c r="M143" s="1484"/>
      <c r="N143" s="395"/>
      <c r="O143" s="395"/>
      <c r="P143" s="395"/>
      <c r="Q143" s="395"/>
      <c r="R143" s="395"/>
    </row>
    <row r="144" spans="2:18" x14ac:dyDescent="0.25">
      <c r="B144" s="413"/>
      <c r="C144" s="395"/>
      <c r="D144" s="395"/>
      <c r="E144" s="395"/>
      <c r="F144" s="395"/>
      <c r="G144" s="1475"/>
      <c r="H144" s="395"/>
      <c r="I144" s="395"/>
      <c r="J144" s="395"/>
      <c r="K144" s="395"/>
      <c r="L144" s="395"/>
      <c r="M144" s="1484"/>
      <c r="N144" s="395"/>
      <c r="O144" s="395"/>
      <c r="P144" s="395"/>
      <c r="Q144" s="395"/>
      <c r="R144" s="395"/>
    </row>
    <row r="145" spans="2:18" x14ac:dyDescent="0.25">
      <c r="B145" s="413"/>
      <c r="C145" s="395"/>
      <c r="D145" s="395"/>
      <c r="E145" s="395"/>
      <c r="F145" s="395"/>
      <c r="G145" s="1475"/>
      <c r="H145" s="395"/>
      <c r="I145" s="395"/>
      <c r="J145" s="395"/>
      <c r="K145" s="395"/>
      <c r="L145" s="395"/>
      <c r="M145" s="1484"/>
      <c r="N145" s="395"/>
      <c r="O145" s="395"/>
      <c r="P145" s="395"/>
      <c r="Q145" s="395"/>
      <c r="R145" s="395"/>
    </row>
    <row r="146" spans="2:18" x14ac:dyDescent="0.25">
      <c r="B146" s="413"/>
      <c r="C146" s="395"/>
      <c r="D146" s="395"/>
      <c r="E146" s="395"/>
      <c r="F146" s="395"/>
      <c r="G146" s="1475"/>
      <c r="H146" s="395"/>
      <c r="I146" s="395"/>
      <c r="J146" s="395"/>
      <c r="K146" s="395"/>
      <c r="L146" s="395"/>
      <c r="M146" s="1484"/>
      <c r="N146" s="395"/>
      <c r="O146" s="395"/>
      <c r="P146" s="395"/>
      <c r="Q146" s="395"/>
      <c r="R146" s="395"/>
    </row>
    <row r="147" spans="2:18" x14ac:dyDescent="0.25">
      <c r="B147" s="413"/>
      <c r="C147" s="395"/>
      <c r="D147" s="395"/>
      <c r="E147" s="395"/>
      <c r="F147" s="395"/>
      <c r="G147" s="1475"/>
      <c r="H147" s="395"/>
      <c r="I147" s="395"/>
      <c r="J147" s="395"/>
      <c r="K147" s="395"/>
      <c r="L147" s="395"/>
      <c r="M147" s="1484"/>
      <c r="N147" s="395"/>
      <c r="O147" s="395"/>
      <c r="P147" s="395"/>
      <c r="Q147" s="395"/>
      <c r="R147" s="395"/>
    </row>
    <row r="148" spans="2:18" x14ac:dyDescent="0.25">
      <c r="B148" s="413"/>
      <c r="C148" s="395"/>
      <c r="D148" s="395"/>
      <c r="E148" s="395"/>
      <c r="F148" s="395"/>
      <c r="G148" s="1475"/>
      <c r="H148" s="395"/>
      <c r="I148" s="395"/>
      <c r="J148" s="395"/>
      <c r="K148" s="395"/>
      <c r="L148" s="395"/>
      <c r="M148" s="1484"/>
      <c r="N148" s="395"/>
      <c r="O148" s="395"/>
      <c r="P148" s="395"/>
      <c r="Q148" s="395"/>
      <c r="R148" s="395"/>
    </row>
    <row r="149" spans="2:18" x14ac:dyDescent="0.25">
      <c r="B149" s="413"/>
      <c r="C149" s="395"/>
      <c r="D149" s="395"/>
      <c r="E149" s="395"/>
      <c r="F149" s="395"/>
      <c r="G149" s="1475"/>
      <c r="H149" s="395"/>
      <c r="I149" s="395"/>
      <c r="J149" s="395"/>
      <c r="K149" s="395"/>
      <c r="L149" s="395"/>
      <c r="M149" s="1484"/>
      <c r="N149" s="395"/>
      <c r="O149" s="395"/>
      <c r="P149" s="395"/>
      <c r="Q149" s="395"/>
      <c r="R149" s="395"/>
    </row>
    <row r="150" spans="2:18" x14ac:dyDescent="0.25">
      <c r="B150" s="413"/>
      <c r="C150" s="395"/>
      <c r="D150" s="395"/>
      <c r="E150" s="395"/>
      <c r="F150" s="395"/>
      <c r="G150" s="1475"/>
      <c r="H150" s="395"/>
      <c r="I150" s="395"/>
      <c r="J150" s="395"/>
      <c r="K150" s="395"/>
      <c r="L150" s="395"/>
      <c r="M150" s="1484"/>
      <c r="N150" s="395"/>
      <c r="O150" s="395"/>
      <c r="P150" s="395"/>
      <c r="Q150" s="395"/>
      <c r="R150" s="395"/>
    </row>
    <row r="151" spans="2:18" x14ac:dyDescent="0.25">
      <c r="B151" s="413"/>
      <c r="C151" s="395"/>
      <c r="D151" s="395"/>
      <c r="E151" s="395"/>
      <c r="F151" s="395"/>
      <c r="G151" s="1475"/>
      <c r="H151" s="395"/>
      <c r="I151" s="395"/>
      <c r="J151" s="395"/>
      <c r="K151" s="395"/>
      <c r="L151" s="395"/>
      <c r="M151" s="1484"/>
      <c r="N151" s="395"/>
      <c r="O151" s="395"/>
      <c r="P151" s="395"/>
      <c r="Q151" s="395"/>
      <c r="R151" s="395"/>
    </row>
    <row r="152" spans="2:18" x14ac:dyDescent="0.25">
      <c r="B152" s="413"/>
      <c r="C152" s="395"/>
      <c r="D152" s="395"/>
      <c r="E152" s="395"/>
      <c r="F152" s="395"/>
      <c r="G152" s="1475"/>
      <c r="H152" s="395"/>
      <c r="I152" s="395"/>
      <c r="J152" s="395"/>
      <c r="K152" s="395"/>
      <c r="L152" s="395"/>
      <c r="M152" s="1484"/>
      <c r="N152" s="395"/>
      <c r="O152" s="395"/>
      <c r="P152" s="395"/>
      <c r="Q152" s="395"/>
      <c r="R152" s="395"/>
    </row>
    <row r="153" spans="2:18" x14ac:dyDescent="0.25">
      <c r="B153" s="413"/>
      <c r="C153" s="395"/>
      <c r="D153" s="395"/>
      <c r="E153" s="395"/>
      <c r="F153" s="395"/>
      <c r="G153" s="1475"/>
      <c r="H153" s="395"/>
      <c r="I153" s="395"/>
      <c r="J153" s="395"/>
      <c r="K153" s="395"/>
      <c r="L153" s="395"/>
      <c r="M153" s="1484"/>
      <c r="N153" s="395"/>
      <c r="O153" s="395"/>
      <c r="P153" s="395"/>
      <c r="Q153" s="395"/>
      <c r="R153" s="395"/>
    </row>
    <row r="154" spans="2:18" x14ac:dyDescent="0.25">
      <c r="B154" s="413"/>
      <c r="C154" s="395"/>
      <c r="D154" s="395"/>
      <c r="E154" s="395"/>
      <c r="F154" s="395"/>
      <c r="G154" s="1475"/>
      <c r="H154" s="395"/>
      <c r="I154" s="395"/>
      <c r="J154" s="395"/>
      <c r="K154" s="395"/>
      <c r="L154" s="395"/>
      <c r="M154" s="1484"/>
      <c r="N154" s="395"/>
      <c r="O154" s="395"/>
      <c r="P154" s="395"/>
      <c r="Q154" s="395"/>
      <c r="R154" s="395"/>
    </row>
    <row r="155" spans="2:18" x14ac:dyDescent="0.25">
      <c r="B155" s="413"/>
      <c r="C155" s="395"/>
      <c r="D155" s="395"/>
      <c r="E155" s="395"/>
      <c r="F155" s="395"/>
      <c r="G155" s="1475"/>
      <c r="H155" s="395"/>
      <c r="I155" s="395"/>
      <c r="J155" s="395"/>
      <c r="K155" s="395"/>
      <c r="L155" s="395"/>
      <c r="M155" s="1484"/>
      <c r="N155" s="395"/>
      <c r="O155" s="395"/>
      <c r="P155" s="395"/>
      <c r="Q155" s="395"/>
      <c r="R155" s="395"/>
    </row>
    <row r="156" spans="2:18" x14ac:dyDescent="0.25">
      <c r="B156" s="413"/>
      <c r="C156" s="395"/>
      <c r="D156" s="395"/>
      <c r="E156" s="395"/>
      <c r="F156" s="395"/>
      <c r="G156" s="1475"/>
      <c r="H156" s="395"/>
      <c r="I156" s="395"/>
      <c r="J156" s="395"/>
      <c r="K156" s="395"/>
      <c r="L156" s="395"/>
      <c r="M156" s="1484"/>
      <c r="N156" s="395"/>
      <c r="O156" s="395"/>
      <c r="P156" s="395"/>
      <c r="Q156" s="395"/>
      <c r="R156" s="395"/>
    </row>
    <row r="157" spans="2:18" x14ac:dyDescent="0.25">
      <c r="B157" s="413"/>
      <c r="C157" s="395"/>
      <c r="D157" s="395"/>
      <c r="E157" s="395"/>
      <c r="F157" s="395"/>
      <c r="G157" s="1475"/>
      <c r="H157" s="395"/>
      <c r="I157" s="395"/>
      <c r="J157" s="395"/>
      <c r="K157" s="395"/>
      <c r="L157" s="395"/>
      <c r="M157" s="1484"/>
      <c r="N157" s="395"/>
      <c r="O157" s="395"/>
      <c r="P157" s="395"/>
      <c r="Q157" s="395"/>
      <c r="R157" s="395"/>
    </row>
    <row r="158" spans="2:18" x14ac:dyDescent="0.25">
      <c r="B158" s="413"/>
      <c r="C158" s="395"/>
      <c r="D158" s="395"/>
      <c r="E158" s="395"/>
      <c r="F158" s="395"/>
      <c r="G158" s="1475"/>
      <c r="H158" s="395"/>
      <c r="I158" s="395"/>
      <c r="J158" s="395"/>
      <c r="K158" s="395"/>
      <c r="L158" s="395"/>
      <c r="M158" s="1484"/>
      <c r="N158" s="395"/>
      <c r="O158" s="395"/>
      <c r="P158" s="395"/>
      <c r="Q158" s="395"/>
      <c r="R158" s="395"/>
    </row>
    <row r="159" spans="2:18" x14ac:dyDescent="0.25">
      <c r="B159" s="413"/>
      <c r="C159" s="395"/>
      <c r="D159" s="395"/>
      <c r="E159" s="395"/>
      <c r="F159" s="395"/>
      <c r="G159" s="1475"/>
      <c r="H159" s="395"/>
      <c r="I159" s="395"/>
      <c r="J159" s="395"/>
      <c r="K159" s="395"/>
      <c r="L159" s="395"/>
      <c r="M159" s="1484"/>
      <c r="N159" s="395"/>
      <c r="O159" s="395"/>
      <c r="P159" s="395"/>
      <c r="Q159" s="395"/>
      <c r="R159" s="395"/>
    </row>
    <row r="160" spans="2:18" x14ac:dyDescent="0.25">
      <c r="B160" s="413"/>
      <c r="C160" s="395"/>
      <c r="D160" s="395"/>
      <c r="E160" s="395"/>
      <c r="F160" s="395"/>
      <c r="G160" s="1475"/>
      <c r="H160" s="395"/>
      <c r="I160" s="395"/>
      <c r="J160" s="395"/>
      <c r="K160" s="395"/>
      <c r="L160" s="395"/>
      <c r="M160" s="1484"/>
      <c r="N160" s="395"/>
      <c r="O160" s="395"/>
      <c r="P160" s="395"/>
      <c r="Q160" s="395"/>
      <c r="R160" s="395"/>
    </row>
    <row r="161" spans="2:18" x14ac:dyDescent="0.25">
      <c r="B161" s="413"/>
      <c r="C161" s="395"/>
      <c r="D161" s="395"/>
      <c r="E161" s="395"/>
      <c r="F161" s="395"/>
      <c r="G161" s="1475"/>
      <c r="H161" s="395"/>
      <c r="I161" s="395"/>
      <c r="J161" s="395"/>
      <c r="K161" s="395"/>
      <c r="L161" s="395"/>
      <c r="M161" s="1484"/>
      <c r="N161" s="395"/>
      <c r="O161" s="395"/>
      <c r="P161" s="395"/>
      <c r="Q161" s="395"/>
      <c r="R161" s="395"/>
    </row>
    <row r="162" spans="2:18" x14ac:dyDescent="0.25">
      <c r="B162" s="413"/>
      <c r="C162" s="395"/>
      <c r="D162" s="395"/>
      <c r="E162" s="395"/>
      <c r="F162" s="395"/>
      <c r="G162" s="1475"/>
      <c r="H162" s="395"/>
      <c r="I162" s="395"/>
      <c r="J162" s="395"/>
      <c r="K162" s="395"/>
      <c r="L162" s="395"/>
      <c r="M162" s="1484"/>
      <c r="N162" s="395"/>
      <c r="O162" s="395"/>
      <c r="P162" s="395"/>
      <c r="Q162" s="395"/>
      <c r="R162" s="395"/>
    </row>
    <row r="163" spans="2:18" x14ac:dyDescent="0.25">
      <c r="B163" s="413"/>
      <c r="C163" s="395"/>
      <c r="D163" s="395"/>
      <c r="E163" s="395"/>
      <c r="F163" s="395"/>
      <c r="G163" s="1475"/>
      <c r="H163" s="395"/>
      <c r="I163" s="395"/>
      <c r="J163" s="395"/>
      <c r="K163" s="395"/>
      <c r="L163" s="395"/>
      <c r="M163" s="1484"/>
      <c r="N163" s="395"/>
      <c r="O163" s="395"/>
      <c r="P163" s="395"/>
      <c r="Q163" s="395"/>
      <c r="R163" s="395"/>
    </row>
    <row r="164" spans="2:18" x14ac:dyDescent="0.25">
      <c r="B164" s="413"/>
      <c r="C164" s="395"/>
      <c r="D164" s="395"/>
      <c r="E164" s="395"/>
      <c r="F164" s="395"/>
      <c r="G164" s="1475"/>
      <c r="H164" s="395"/>
      <c r="I164" s="395"/>
      <c r="J164" s="395"/>
      <c r="K164" s="395"/>
      <c r="L164" s="395"/>
      <c r="M164" s="1484"/>
      <c r="N164" s="395"/>
      <c r="O164" s="395"/>
      <c r="P164" s="395"/>
      <c r="Q164" s="395"/>
      <c r="R164" s="395"/>
    </row>
    <row r="165" spans="2:18" x14ac:dyDescent="0.25">
      <c r="B165" s="413"/>
      <c r="C165" s="395"/>
      <c r="D165" s="395"/>
      <c r="E165" s="395"/>
      <c r="F165" s="395"/>
      <c r="G165" s="1475"/>
      <c r="H165" s="395"/>
      <c r="I165" s="395"/>
      <c r="J165" s="395"/>
      <c r="K165" s="395"/>
      <c r="L165" s="395"/>
      <c r="M165" s="1484"/>
      <c r="N165" s="395"/>
      <c r="O165" s="395"/>
      <c r="P165" s="395"/>
      <c r="Q165" s="395"/>
      <c r="R165" s="395"/>
    </row>
    <row r="166" spans="2:18" x14ac:dyDescent="0.25">
      <c r="B166" s="413"/>
      <c r="C166" s="395"/>
      <c r="D166" s="395"/>
      <c r="E166" s="395"/>
      <c r="F166" s="395"/>
      <c r="G166" s="1475"/>
      <c r="H166" s="395"/>
      <c r="I166" s="395"/>
      <c r="J166" s="395"/>
      <c r="K166" s="395"/>
      <c r="L166" s="395"/>
      <c r="M166" s="1484"/>
      <c r="N166" s="395"/>
      <c r="O166" s="395"/>
      <c r="P166" s="395"/>
      <c r="Q166" s="395"/>
      <c r="R166" s="395"/>
    </row>
    <row r="167" spans="2:18" x14ac:dyDescent="0.25">
      <c r="B167" s="413"/>
      <c r="C167" s="395"/>
      <c r="D167" s="395"/>
      <c r="E167" s="395"/>
      <c r="F167" s="395"/>
      <c r="G167" s="1475"/>
      <c r="H167" s="395"/>
      <c r="I167" s="395"/>
      <c r="J167" s="395"/>
      <c r="K167" s="395"/>
      <c r="L167" s="395"/>
      <c r="M167" s="1484"/>
      <c r="N167" s="395"/>
      <c r="O167" s="395"/>
      <c r="P167" s="395"/>
      <c r="Q167" s="395"/>
      <c r="R167" s="395"/>
    </row>
    <row r="168" spans="2:18" x14ac:dyDescent="0.25">
      <c r="B168" s="413"/>
      <c r="C168" s="395"/>
      <c r="D168" s="395"/>
      <c r="E168" s="395"/>
      <c r="F168" s="395"/>
      <c r="G168" s="1475"/>
      <c r="H168" s="395"/>
      <c r="I168" s="395"/>
      <c r="J168" s="395"/>
      <c r="K168" s="395"/>
      <c r="L168" s="395"/>
      <c r="M168" s="1484"/>
      <c r="N168" s="395"/>
      <c r="O168" s="395"/>
      <c r="P168" s="395"/>
      <c r="Q168" s="395"/>
      <c r="R168" s="395"/>
    </row>
    <row r="169" spans="2:18" x14ac:dyDescent="0.25">
      <c r="B169" s="413"/>
      <c r="C169" s="395"/>
      <c r="D169" s="395"/>
      <c r="E169" s="395"/>
      <c r="F169" s="395"/>
      <c r="G169" s="1475"/>
      <c r="H169" s="395"/>
      <c r="I169" s="395"/>
      <c r="J169" s="395"/>
      <c r="K169" s="395"/>
      <c r="L169" s="395"/>
      <c r="M169" s="1484"/>
      <c r="N169" s="395"/>
      <c r="O169" s="395"/>
      <c r="P169" s="395"/>
      <c r="Q169" s="395"/>
      <c r="R169" s="395"/>
    </row>
    <row r="170" spans="2:18" x14ac:dyDescent="0.25">
      <c r="B170" s="413"/>
      <c r="C170" s="395"/>
      <c r="D170" s="395"/>
      <c r="E170" s="395"/>
      <c r="F170" s="395"/>
      <c r="G170" s="1475"/>
      <c r="H170" s="395"/>
      <c r="I170" s="395"/>
      <c r="J170" s="395"/>
      <c r="K170" s="395"/>
      <c r="L170" s="395"/>
      <c r="M170" s="1484"/>
      <c r="N170" s="395"/>
      <c r="O170" s="395"/>
      <c r="P170" s="395"/>
      <c r="Q170" s="395"/>
      <c r="R170" s="395"/>
    </row>
    <row r="171" spans="2:18" x14ac:dyDescent="0.25">
      <c r="B171" s="413"/>
      <c r="C171" s="395"/>
      <c r="D171" s="395"/>
      <c r="E171" s="395"/>
      <c r="F171" s="395"/>
      <c r="G171" s="1475"/>
      <c r="H171" s="395"/>
      <c r="I171" s="395"/>
      <c r="J171" s="395"/>
      <c r="K171" s="395"/>
      <c r="L171" s="395"/>
      <c r="M171" s="1484"/>
      <c r="N171" s="395"/>
      <c r="O171" s="395"/>
      <c r="P171" s="395"/>
      <c r="Q171" s="395"/>
      <c r="R171" s="395"/>
    </row>
    <row r="172" spans="2:18" x14ac:dyDescent="0.25">
      <c r="B172" s="413"/>
      <c r="C172" s="395"/>
      <c r="D172" s="395"/>
      <c r="E172" s="395"/>
      <c r="F172" s="395"/>
      <c r="G172" s="1475"/>
      <c r="H172" s="395"/>
      <c r="I172" s="395"/>
      <c r="J172" s="395"/>
      <c r="K172" s="395"/>
      <c r="L172" s="395"/>
      <c r="M172" s="1484"/>
      <c r="N172" s="395"/>
      <c r="O172" s="395"/>
      <c r="P172" s="395"/>
      <c r="Q172" s="395"/>
      <c r="R172" s="395"/>
    </row>
    <row r="173" spans="2:18" x14ac:dyDescent="0.25">
      <c r="B173" s="413"/>
      <c r="C173" s="395"/>
      <c r="D173" s="395"/>
      <c r="E173" s="395"/>
      <c r="F173" s="395"/>
      <c r="G173" s="1475"/>
      <c r="H173" s="395"/>
      <c r="I173" s="395"/>
      <c r="J173" s="395"/>
      <c r="K173" s="395"/>
      <c r="L173" s="395"/>
      <c r="M173" s="1484"/>
      <c r="N173" s="395"/>
      <c r="O173" s="395"/>
      <c r="P173" s="395"/>
      <c r="Q173" s="395"/>
      <c r="R173" s="395"/>
    </row>
    <row r="174" spans="2:18" x14ac:dyDescent="0.25">
      <c r="B174" s="413"/>
      <c r="C174" s="395"/>
      <c r="D174" s="395"/>
      <c r="E174" s="395"/>
      <c r="F174" s="395"/>
      <c r="G174" s="1475"/>
      <c r="H174" s="395"/>
      <c r="I174" s="395"/>
      <c r="J174" s="395"/>
      <c r="K174" s="395"/>
      <c r="L174" s="395"/>
      <c r="M174" s="1484"/>
      <c r="N174" s="395"/>
      <c r="O174" s="395"/>
      <c r="P174" s="395"/>
      <c r="Q174" s="395"/>
      <c r="R174" s="395"/>
    </row>
    <row r="175" spans="2:18" x14ac:dyDescent="0.25">
      <c r="B175" s="413"/>
      <c r="C175" s="395"/>
      <c r="D175" s="395"/>
      <c r="E175" s="395"/>
      <c r="F175" s="395"/>
      <c r="G175" s="1475"/>
      <c r="H175" s="395"/>
      <c r="I175" s="395"/>
      <c r="J175" s="395"/>
      <c r="K175" s="395"/>
      <c r="L175" s="395"/>
      <c r="M175" s="1484"/>
      <c r="N175" s="395"/>
      <c r="O175" s="395"/>
      <c r="P175" s="395"/>
      <c r="Q175" s="395"/>
      <c r="R175" s="395"/>
    </row>
    <row r="176" spans="2:18" x14ac:dyDescent="0.25">
      <c r="B176" s="413"/>
      <c r="C176" s="395"/>
      <c r="D176" s="395"/>
      <c r="E176" s="395"/>
      <c r="F176" s="395"/>
      <c r="G176" s="1475"/>
      <c r="H176" s="395"/>
      <c r="I176" s="395"/>
      <c r="J176" s="395"/>
      <c r="K176" s="395"/>
      <c r="L176" s="395"/>
      <c r="M176" s="1484"/>
      <c r="N176" s="395"/>
      <c r="O176" s="395"/>
      <c r="P176" s="395"/>
      <c r="Q176" s="395"/>
      <c r="R176" s="395"/>
    </row>
    <row r="177" spans="2:18" x14ac:dyDescent="0.25">
      <c r="B177" s="413"/>
      <c r="C177" s="395"/>
      <c r="D177" s="395"/>
      <c r="E177" s="395"/>
      <c r="F177" s="395"/>
      <c r="G177" s="1475"/>
      <c r="H177" s="395"/>
      <c r="I177" s="395"/>
      <c r="J177" s="395"/>
      <c r="K177" s="395"/>
      <c r="L177" s="395"/>
      <c r="M177" s="1484"/>
      <c r="N177" s="395"/>
      <c r="O177" s="395"/>
      <c r="P177" s="395"/>
      <c r="Q177" s="395"/>
      <c r="R177" s="395"/>
    </row>
    <row r="178" spans="2:18" x14ac:dyDescent="0.25">
      <c r="B178" s="413"/>
      <c r="C178" s="395"/>
      <c r="D178" s="395"/>
      <c r="E178" s="395"/>
      <c r="F178" s="395"/>
      <c r="G178" s="1475"/>
      <c r="H178" s="395"/>
      <c r="I178" s="395"/>
      <c r="J178" s="395"/>
      <c r="K178" s="395"/>
      <c r="L178" s="395"/>
      <c r="M178" s="1484"/>
      <c r="N178" s="395"/>
      <c r="O178" s="395"/>
      <c r="P178" s="395"/>
      <c r="Q178" s="395"/>
      <c r="R178" s="395"/>
    </row>
    <row r="179" spans="2:18" x14ac:dyDescent="0.25">
      <c r="B179" s="413"/>
      <c r="C179" s="395"/>
      <c r="D179" s="395"/>
      <c r="E179" s="395"/>
      <c r="F179" s="395"/>
      <c r="G179" s="1475"/>
      <c r="H179" s="395"/>
      <c r="I179" s="395"/>
      <c r="J179" s="395"/>
      <c r="K179" s="395"/>
      <c r="L179" s="395"/>
      <c r="M179" s="1484"/>
      <c r="N179" s="395"/>
      <c r="O179" s="395"/>
      <c r="P179" s="395"/>
      <c r="Q179" s="395"/>
      <c r="R179" s="395"/>
    </row>
    <row r="180" spans="2:18" x14ac:dyDescent="0.25">
      <c r="B180" s="413"/>
      <c r="C180" s="395"/>
      <c r="D180" s="395"/>
      <c r="E180" s="395"/>
      <c r="F180" s="395"/>
      <c r="G180" s="1475"/>
      <c r="H180" s="395"/>
      <c r="I180" s="395"/>
      <c r="J180" s="395"/>
      <c r="K180" s="395"/>
      <c r="L180" s="395"/>
      <c r="M180" s="1484"/>
      <c r="N180" s="395"/>
      <c r="O180" s="395"/>
      <c r="P180" s="395"/>
      <c r="Q180" s="395"/>
      <c r="R180" s="395"/>
    </row>
    <row r="181" spans="2:18" x14ac:dyDescent="0.25">
      <c r="B181" s="413"/>
      <c r="C181" s="395"/>
      <c r="D181" s="395"/>
      <c r="E181" s="395"/>
      <c r="F181" s="395"/>
      <c r="G181" s="1475"/>
      <c r="H181" s="395"/>
      <c r="I181" s="395"/>
      <c r="J181" s="395"/>
      <c r="K181" s="395"/>
      <c r="L181" s="395"/>
      <c r="M181" s="1484"/>
      <c r="N181" s="395"/>
      <c r="O181" s="395"/>
      <c r="P181" s="395"/>
      <c r="Q181" s="395"/>
      <c r="R181" s="395"/>
    </row>
    <row r="182" spans="2:18" x14ac:dyDescent="0.25">
      <c r="B182" s="413"/>
      <c r="C182" s="395"/>
      <c r="D182" s="395"/>
      <c r="E182" s="395"/>
      <c r="F182" s="395"/>
      <c r="G182" s="1475"/>
      <c r="H182" s="395"/>
      <c r="I182" s="395"/>
      <c r="J182" s="395"/>
      <c r="K182" s="395"/>
      <c r="L182" s="395"/>
      <c r="M182" s="1484"/>
      <c r="N182" s="395"/>
      <c r="O182" s="395"/>
      <c r="P182" s="395"/>
      <c r="Q182" s="395"/>
      <c r="R182" s="395"/>
    </row>
    <row r="183" spans="2:18" x14ac:dyDescent="0.25">
      <c r="B183" s="413"/>
      <c r="C183" s="395"/>
      <c r="D183" s="395"/>
      <c r="E183" s="395"/>
      <c r="F183" s="395"/>
      <c r="G183" s="1475"/>
      <c r="H183" s="395"/>
      <c r="I183" s="395"/>
      <c r="J183" s="395"/>
      <c r="K183" s="395"/>
      <c r="L183" s="395"/>
      <c r="M183" s="1484"/>
      <c r="N183" s="395"/>
      <c r="O183" s="395"/>
      <c r="P183" s="395"/>
      <c r="Q183" s="395"/>
      <c r="R183" s="395"/>
    </row>
    <row r="184" spans="2:18" x14ac:dyDescent="0.25">
      <c r="B184" s="413"/>
      <c r="C184" s="395"/>
      <c r="D184" s="395"/>
      <c r="E184" s="395"/>
      <c r="F184" s="395"/>
      <c r="G184" s="1475"/>
      <c r="H184" s="395"/>
      <c r="I184" s="395"/>
      <c r="J184" s="395"/>
      <c r="K184" s="395"/>
      <c r="L184" s="395"/>
      <c r="M184" s="1484"/>
      <c r="N184" s="395"/>
      <c r="O184" s="395"/>
      <c r="P184" s="395"/>
      <c r="Q184" s="395"/>
      <c r="R184" s="395"/>
    </row>
    <row r="185" spans="2:18" x14ac:dyDescent="0.25">
      <c r="B185" s="413"/>
      <c r="C185" s="395"/>
      <c r="D185" s="395"/>
      <c r="E185" s="395"/>
      <c r="F185" s="395"/>
      <c r="G185" s="1475"/>
      <c r="H185" s="395"/>
      <c r="I185" s="395"/>
      <c r="J185" s="395"/>
      <c r="K185" s="395"/>
      <c r="L185" s="395"/>
      <c r="M185" s="1484"/>
      <c r="N185" s="395"/>
      <c r="O185" s="395"/>
      <c r="P185" s="395"/>
      <c r="Q185" s="395"/>
      <c r="R185" s="395"/>
    </row>
    <row r="186" spans="2:18" x14ac:dyDescent="0.25">
      <c r="B186" s="413"/>
      <c r="C186" s="395"/>
      <c r="D186" s="395"/>
      <c r="E186" s="395"/>
      <c r="F186" s="395"/>
      <c r="G186" s="1475"/>
      <c r="H186" s="395"/>
      <c r="I186" s="395"/>
      <c r="J186" s="395"/>
      <c r="K186" s="395"/>
      <c r="L186" s="395"/>
      <c r="M186" s="1484"/>
      <c r="N186" s="395"/>
      <c r="O186" s="395"/>
      <c r="P186" s="395"/>
      <c r="Q186" s="395"/>
      <c r="R186" s="395"/>
    </row>
    <row r="187" spans="2:18" x14ac:dyDescent="0.25">
      <c r="B187" s="413"/>
      <c r="C187" s="395"/>
      <c r="D187" s="395"/>
      <c r="E187" s="395"/>
      <c r="F187" s="395"/>
      <c r="G187" s="1475"/>
      <c r="H187" s="395"/>
      <c r="I187" s="395"/>
      <c r="J187" s="395"/>
      <c r="K187" s="395"/>
      <c r="L187" s="395"/>
      <c r="M187" s="1484"/>
      <c r="N187" s="395"/>
      <c r="O187" s="395"/>
      <c r="P187" s="395"/>
      <c r="Q187" s="395"/>
      <c r="R187" s="395"/>
    </row>
    <row r="188" spans="2:18" x14ac:dyDescent="0.25">
      <c r="B188" s="413"/>
      <c r="C188" s="395"/>
      <c r="D188" s="395"/>
      <c r="E188" s="395"/>
      <c r="F188" s="395"/>
      <c r="G188" s="1475"/>
      <c r="H188" s="395"/>
      <c r="I188" s="395"/>
      <c r="J188" s="395"/>
      <c r="K188" s="395"/>
      <c r="L188" s="395"/>
      <c r="M188" s="1484"/>
      <c r="N188" s="395"/>
      <c r="O188" s="395"/>
      <c r="P188" s="395"/>
      <c r="Q188" s="395"/>
      <c r="R188" s="395"/>
    </row>
    <row r="189" spans="2:18" x14ac:dyDescent="0.25">
      <c r="B189" s="413"/>
      <c r="C189" s="395"/>
      <c r="D189" s="395"/>
      <c r="E189" s="395"/>
      <c r="F189" s="395"/>
      <c r="G189" s="1475"/>
      <c r="H189" s="395"/>
      <c r="I189" s="395"/>
      <c r="J189" s="395"/>
      <c r="K189" s="395"/>
      <c r="L189" s="395"/>
      <c r="M189" s="1484"/>
      <c r="N189" s="395"/>
      <c r="O189" s="395"/>
      <c r="P189" s="395"/>
      <c r="Q189" s="395"/>
      <c r="R189" s="395"/>
    </row>
    <row r="190" spans="2:18" x14ac:dyDescent="0.25">
      <c r="B190" s="413"/>
      <c r="C190" s="395"/>
      <c r="D190" s="395"/>
      <c r="E190" s="395"/>
      <c r="F190" s="395"/>
      <c r="G190" s="1475"/>
      <c r="H190" s="395"/>
      <c r="I190" s="395"/>
      <c r="J190" s="395"/>
      <c r="K190" s="395"/>
      <c r="L190" s="395"/>
      <c r="M190" s="1484"/>
      <c r="N190" s="395"/>
      <c r="O190" s="395"/>
      <c r="P190" s="395"/>
      <c r="Q190" s="395"/>
      <c r="R190" s="395"/>
    </row>
    <row r="191" spans="2:18" x14ac:dyDescent="0.25">
      <c r="B191" s="413"/>
      <c r="C191" s="395"/>
      <c r="D191" s="395"/>
      <c r="E191" s="395"/>
      <c r="F191" s="395"/>
      <c r="G191" s="1475"/>
      <c r="H191" s="395"/>
      <c r="I191" s="395"/>
      <c r="J191" s="395"/>
      <c r="K191" s="395"/>
      <c r="L191" s="395"/>
      <c r="M191" s="1484"/>
      <c r="N191" s="395"/>
      <c r="O191" s="395"/>
      <c r="P191" s="395"/>
      <c r="Q191" s="395"/>
      <c r="R191" s="395"/>
    </row>
    <row r="192" spans="2:18" x14ac:dyDescent="0.25">
      <c r="B192" s="413"/>
      <c r="C192" s="395"/>
      <c r="D192" s="395"/>
      <c r="E192" s="395"/>
      <c r="F192" s="395"/>
      <c r="G192" s="1475"/>
      <c r="H192" s="395"/>
      <c r="I192" s="395"/>
      <c r="J192" s="395"/>
      <c r="K192" s="395"/>
      <c r="L192" s="395"/>
      <c r="M192" s="1484"/>
      <c r="N192" s="395"/>
      <c r="O192" s="395"/>
      <c r="P192" s="395"/>
      <c r="Q192" s="395"/>
      <c r="R192" s="395"/>
    </row>
    <row r="193" spans="2:18" x14ac:dyDescent="0.25">
      <c r="B193" s="413"/>
      <c r="C193" s="395"/>
      <c r="D193" s="395"/>
      <c r="E193" s="395"/>
      <c r="F193" s="395"/>
      <c r="G193" s="1475"/>
      <c r="H193" s="395"/>
      <c r="I193" s="395"/>
      <c r="J193" s="395"/>
      <c r="K193" s="395"/>
      <c r="L193" s="395"/>
      <c r="M193" s="1484"/>
      <c r="N193" s="395"/>
      <c r="O193" s="395"/>
      <c r="P193" s="395"/>
      <c r="Q193" s="395"/>
      <c r="R193" s="395"/>
    </row>
    <row r="194" spans="2:18" x14ac:dyDescent="0.25">
      <c r="B194" s="413"/>
      <c r="C194" s="395"/>
      <c r="D194" s="395"/>
      <c r="E194" s="395"/>
      <c r="F194" s="395"/>
      <c r="G194" s="1475"/>
      <c r="H194" s="395"/>
      <c r="I194" s="395"/>
      <c r="J194" s="395"/>
      <c r="K194" s="395"/>
      <c r="L194" s="395"/>
      <c r="M194" s="1484"/>
      <c r="N194" s="395"/>
      <c r="O194" s="395"/>
      <c r="P194" s="395"/>
      <c r="Q194" s="395"/>
      <c r="R194" s="395"/>
    </row>
    <row r="195" spans="2:18" x14ac:dyDescent="0.25">
      <c r="B195" s="413"/>
      <c r="C195" s="395"/>
      <c r="D195" s="395"/>
      <c r="E195" s="395"/>
      <c r="F195" s="395"/>
      <c r="G195" s="1475"/>
      <c r="H195" s="395"/>
      <c r="I195" s="395"/>
      <c r="J195" s="395"/>
      <c r="K195" s="395"/>
      <c r="L195" s="395"/>
      <c r="M195" s="1484"/>
      <c r="N195" s="395"/>
      <c r="O195" s="395"/>
      <c r="P195" s="395"/>
      <c r="Q195" s="395"/>
      <c r="R195" s="395"/>
    </row>
    <row r="196" spans="2:18" x14ac:dyDescent="0.25">
      <c r="B196" s="413"/>
      <c r="C196" s="395"/>
      <c r="D196" s="395"/>
      <c r="E196" s="395"/>
      <c r="F196" s="395"/>
      <c r="G196" s="1475"/>
      <c r="H196" s="395"/>
      <c r="I196" s="395"/>
      <c r="J196" s="395"/>
      <c r="K196" s="395"/>
      <c r="L196" s="395"/>
      <c r="M196" s="1484"/>
      <c r="N196" s="395"/>
      <c r="O196" s="395"/>
      <c r="P196" s="395"/>
      <c r="Q196" s="395"/>
      <c r="R196" s="395"/>
    </row>
    <row r="197" spans="2:18" x14ac:dyDescent="0.25">
      <c r="B197" s="413"/>
      <c r="C197" s="395"/>
      <c r="D197" s="395"/>
      <c r="E197" s="395"/>
      <c r="F197" s="395"/>
      <c r="G197" s="1475"/>
      <c r="H197" s="395"/>
      <c r="I197" s="395"/>
      <c r="J197" s="395"/>
      <c r="K197" s="395"/>
      <c r="L197" s="395"/>
      <c r="M197" s="1484"/>
      <c r="N197" s="395"/>
      <c r="O197" s="395"/>
      <c r="P197" s="395"/>
      <c r="Q197" s="395"/>
      <c r="R197" s="395"/>
    </row>
    <row r="198" spans="2:18" x14ac:dyDescent="0.25">
      <c r="B198" s="413"/>
      <c r="C198" s="395"/>
      <c r="D198" s="395"/>
      <c r="E198" s="395"/>
      <c r="F198" s="395"/>
      <c r="G198" s="1475"/>
      <c r="H198" s="395"/>
      <c r="I198" s="395"/>
      <c r="J198" s="395"/>
      <c r="K198" s="395"/>
      <c r="L198" s="395"/>
      <c r="M198" s="1484"/>
      <c r="N198" s="395"/>
      <c r="O198" s="395"/>
      <c r="P198" s="395"/>
      <c r="Q198" s="395"/>
      <c r="R198" s="395"/>
    </row>
    <row r="199" spans="2:18" x14ac:dyDescent="0.25">
      <c r="B199" s="413"/>
      <c r="C199" s="395"/>
      <c r="D199" s="395"/>
      <c r="E199" s="395"/>
      <c r="F199" s="395"/>
      <c r="G199" s="1475"/>
      <c r="H199" s="395"/>
      <c r="I199" s="395"/>
      <c r="J199" s="395"/>
      <c r="K199" s="395"/>
      <c r="L199" s="395"/>
      <c r="M199" s="1484"/>
      <c r="N199" s="395"/>
      <c r="O199" s="395"/>
      <c r="P199" s="395"/>
      <c r="Q199" s="395"/>
      <c r="R199" s="395"/>
    </row>
    <row r="200" spans="2:18" x14ac:dyDescent="0.25">
      <c r="B200" s="413"/>
      <c r="C200" s="395"/>
      <c r="D200" s="395"/>
      <c r="E200" s="395"/>
      <c r="F200" s="395"/>
      <c r="G200" s="1475"/>
      <c r="H200" s="395"/>
      <c r="I200" s="395"/>
      <c r="J200" s="395"/>
      <c r="K200" s="395"/>
      <c r="L200" s="395"/>
      <c r="M200" s="1484"/>
      <c r="N200" s="395"/>
      <c r="O200" s="395"/>
      <c r="P200" s="395"/>
      <c r="Q200" s="395"/>
      <c r="R200" s="395"/>
    </row>
    <row r="201" spans="2:18" x14ac:dyDescent="0.25">
      <c r="B201" s="413"/>
      <c r="C201" s="395"/>
      <c r="D201" s="395"/>
      <c r="E201" s="395"/>
      <c r="F201" s="395"/>
      <c r="G201" s="1475"/>
      <c r="H201" s="395"/>
      <c r="I201" s="395"/>
      <c r="J201" s="395"/>
      <c r="K201" s="395"/>
      <c r="L201" s="395"/>
      <c r="M201" s="1484"/>
      <c r="N201" s="395"/>
      <c r="O201" s="395"/>
      <c r="P201" s="395"/>
      <c r="Q201" s="395"/>
      <c r="R201" s="395"/>
    </row>
    <row r="202" spans="2:18" x14ac:dyDescent="0.25">
      <c r="B202" s="413"/>
      <c r="C202" s="395"/>
      <c r="D202" s="395"/>
      <c r="E202" s="395"/>
      <c r="F202" s="395"/>
      <c r="G202" s="1475"/>
      <c r="H202" s="395"/>
      <c r="I202" s="395"/>
      <c r="J202" s="395"/>
      <c r="K202" s="395"/>
      <c r="L202" s="395"/>
      <c r="M202" s="1484"/>
      <c r="N202" s="395"/>
      <c r="O202" s="395"/>
      <c r="P202" s="395"/>
      <c r="Q202" s="395"/>
      <c r="R202" s="395"/>
    </row>
    <row r="203" spans="2:18" x14ac:dyDescent="0.25">
      <c r="B203" s="413"/>
      <c r="C203" s="395"/>
      <c r="D203" s="395"/>
      <c r="E203" s="395"/>
      <c r="F203" s="395"/>
      <c r="G203" s="1475"/>
      <c r="H203" s="395"/>
      <c r="I203" s="395"/>
      <c r="J203" s="395"/>
      <c r="K203" s="395"/>
      <c r="L203" s="395"/>
      <c r="M203" s="1484"/>
      <c r="N203" s="395"/>
      <c r="O203" s="395"/>
      <c r="P203" s="395"/>
      <c r="Q203" s="395"/>
      <c r="R203" s="395"/>
    </row>
    <row r="204" spans="2:18" x14ac:dyDescent="0.25">
      <c r="B204" s="413"/>
      <c r="C204" s="395"/>
      <c r="D204" s="395"/>
      <c r="E204" s="395"/>
      <c r="F204" s="395"/>
      <c r="G204" s="1475"/>
      <c r="H204" s="395"/>
      <c r="I204" s="395"/>
      <c r="J204" s="395"/>
      <c r="K204" s="395"/>
      <c r="L204" s="395"/>
      <c r="M204" s="1484"/>
      <c r="N204" s="395"/>
      <c r="O204" s="395"/>
      <c r="P204" s="395"/>
      <c r="Q204" s="395"/>
      <c r="R204" s="395"/>
    </row>
    <row r="205" spans="2:18" x14ac:dyDescent="0.25">
      <c r="B205" s="413"/>
      <c r="C205" s="395"/>
      <c r="D205" s="395"/>
      <c r="E205" s="395"/>
      <c r="F205" s="395"/>
      <c r="G205" s="1475"/>
      <c r="H205" s="395"/>
      <c r="I205" s="395"/>
      <c r="J205" s="395"/>
      <c r="K205" s="395"/>
      <c r="L205" s="395"/>
      <c r="M205" s="1484"/>
      <c r="N205" s="395"/>
      <c r="O205" s="395"/>
      <c r="P205" s="395"/>
      <c r="Q205" s="395"/>
      <c r="R205" s="395"/>
    </row>
    <row r="206" spans="2:18" x14ac:dyDescent="0.25">
      <c r="B206" s="413"/>
      <c r="C206" s="395"/>
      <c r="D206" s="395"/>
      <c r="E206" s="395"/>
      <c r="F206" s="395"/>
      <c r="G206" s="1475"/>
      <c r="H206" s="395"/>
      <c r="I206" s="395"/>
      <c r="J206" s="395"/>
      <c r="K206" s="395"/>
      <c r="L206" s="395"/>
      <c r="M206" s="1484"/>
      <c r="N206" s="395"/>
      <c r="O206" s="395"/>
      <c r="P206" s="395"/>
      <c r="Q206" s="395"/>
      <c r="R206" s="395"/>
    </row>
    <row r="207" spans="2:18" x14ac:dyDescent="0.25">
      <c r="B207" s="413"/>
      <c r="C207" s="395"/>
      <c r="D207" s="395"/>
      <c r="E207" s="395"/>
      <c r="F207" s="395"/>
      <c r="G207" s="1475"/>
      <c r="H207" s="395"/>
      <c r="I207" s="395"/>
      <c r="J207" s="395"/>
      <c r="K207" s="395"/>
      <c r="L207" s="395"/>
      <c r="M207" s="1484"/>
      <c r="N207" s="395"/>
      <c r="O207" s="395"/>
      <c r="P207" s="395"/>
      <c r="Q207" s="395"/>
      <c r="R207" s="395"/>
    </row>
    <row r="208" spans="2:18" x14ac:dyDescent="0.25">
      <c r="B208" s="413"/>
      <c r="C208" s="395"/>
      <c r="D208" s="395"/>
      <c r="E208" s="395"/>
      <c r="F208" s="395"/>
      <c r="G208" s="1475"/>
      <c r="H208" s="395"/>
      <c r="I208" s="395"/>
      <c r="J208" s="395"/>
      <c r="K208" s="395"/>
      <c r="L208" s="395"/>
      <c r="M208" s="1484"/>
      <c r="N208" s="395"/>
      <c r="O208" s="395"/>
      <c r="P208" s="395"/>
      <c r="Q208" s="395"/>
      <c r="R208" s="395"/>
    </row>
    <row r="209" spans="2:18" x14ac:dyDescent="0.25">
      <c r="B209" s="413"/>
      <c r="C209" s="395"/>
      <c r="D209" s="395"/>
      <c r="E209" s="395"/>
      <c r="F209" s="395"/>
      <c r="G209" s="1475"/>
      <c r="H209" s="395"/>
      <c r="I209" s="395"/>
      <c r="J209" s="395"/>
      <c r="K209" s="395"/>
      <c r="L209" s="395"/>
      <c r="M209" s="1484"/>
      <c r="N209" s="395"/>
      <c r="O209" s="395"/>
      <c r="P209" s="395"/>
      <c r="Q209" s="395"/>
      <c r="R209" s="395"/>
    </row>
    <row r="210" spans="2:18" x14ac:dyDescent="0.25">
      <c r="B210" s="413"/>
      <c r="C210" s="395"/>
      <c r="D210" s="395"/>
      <c r="E210" s="395"/>
      <c r="F210" s="395"/>
      <c r="G210" s="1475"/>
      <c r="H210" s="395"/>
      <c r="I210" s="395"/>
      <c r="J210" s="395"/>
      <c r="K210" s="395"/>
      <c r="L210" s="395"/>
      <c r="M210" s="1484"/>
      <c r="N210" s="395"/>
      <c r="O210" s="395"/>
      <c r="P210" s="395"/>
      <c r="Q210" s="395"/>
      <c r="R210" s="395"/>
    </row>
    <row r="211" spans="2:18" x14ac:dyDescent="0.25">
      <c r="B211" s="413"/>
      <c r="C211" s="395"/>
      <c r="D211" s="395"/>
      <c r="E211" s="395"/>
      <c r="F211" s="395"/>
      <c r="G211" s="1475"/>
      <c r="H211" s="395"/>
      <c r="I211" s="395"/>
      <c r="J211" s="395"/>
      <c r="K211" s="395"/>
      <c r="L211" s="395"/>
      <c r="M211" s="1484"/>
      <c r="N211" s="395"/>
      <c r="O211" s="395"/>
      <c r="P211" s="395"/>
      <c r="Q211" s="395"/>
      <c r="R211" s="395"/>
    </row>
    <row r="212" spans="2:18" x14ac:dyDescent="0.25">
      <c r="B212" s="413"/>
      <c r="C212" s="395"/>
      <c r="D212" s="395"/>
      <c r="E212" s="395"/>
      <c r="F212" s="395"/>
      <c r="G212" s="1475"/>
      <c r="H212" s="395"/>
      <c r="I212" s="395"/>
      <c r="J212" s="395"/>
      <c r="K212" s="395"/>
      <c r="L212" s="395"/>
      <c r="M212" s="1484"/>
      <c r="N212" s="395"/>
      <c r="O212" s="395"/>
      <c r="P212" s="395"/>
      <c r="Q212" s="395"/>
      <c r="R212" s="395"/>
    </row>
    <row r="213" spans="2:18" x14ac:dyDescent="0.25">
      <c r="B213" s="413"/>
      <c r="C213" s="395"/>
      <c r="D213" s="395"/>
      <c r="E213" s="395"/>
      <c r="F213" s="395"/>
      <c r="G213" s="1475"/>
      <c r="H213" s="395"/>
      <c r="I213" s="395"/>
      <c r="J213" s="395"/>
      <c r="K213" s="395"/>
      <c r="L213" s="395"/>
      <c r="M213" s="1484"/>
      <c r="N213" s="395"/>
      <c r="O213" s="395"/>
      <c r="P213" s="395"/>
      <c r="Q213" s="395"/>
      <c r="R213" s="395"/>
    </row>
    <row r="214" spans="2:18" x14ac:dyDescent="0.25">
      <c r="B214" s="413"/>
      <c r="C214" s="395"/>
      <c r="D214" s="395"/>
      <c r="E214" s="395"/>
      <c r="F214" s="395"/>
      <c r="G214" s="1475"/>
      <c r="H214" s="395"/>
      <c r="I214" s="395"/>
      <c r="J214" s="395"/>
      <c r="K214" s="395"/>
      <c r="L214" s="395"/>
      <c r="M214" s="1484"/>
      <c r="N214" s="395"/>
      <c r="O214" s="395"/>
      <c r="P214" s="395"/>
      <c r="Q214" s="395"/>
      <c r="R214" s="395"/>
    </row>
    <row r="215" spans="2:18" x14ac:dyDescent="0.25">
      <c r="B215" s="413"/>
      <c r="C215" s="395"/>
      <c r="D215" s="395"/>
      <c r="E215" s="395"/>
      <c r="F215" s="395"/>
      <c r="G215" s="1475"/>
      <c r="H215" s="395"/>
      <c r="I215" s="395"/>
      <c r="J215" s="395"/>
      <c r="K215" s="395"/>
      <c r="L215" s="395"/>
      <c r="M215" s="1484"/>
      <c r="N215" s="395"/>
      <c r="O215" s="395"/>
      <c r="P215" s="395"/>
      <c r="Q215" s="395"/>
      <c r="R215" s="395"/>
    </row>
    <row r="216" spans="2:18" x14ac:dyDescent="0.25">
      <c r="B216" s="413"/>
      <c r="C216" s="395"/>
      <c r="D216" s="395"/>
      <c r="E216" s="395"/>
      <c r="F216" s="395"/>
      <c r="G216" s="1475"/>
      <c r="H216" s="395"/>
      <c r="I216" s="395"/>
      <c r="J216" s="395"/>
      <c r="K216" s="395"/>
      <c r="L216" s="395"/>
      <c r="M216" s="1484"/>
      <c r="N216" s="395"/>
      <c r="O216" s="395"/>
      <c r="P216" s="395"/>
      <c r="Q216" s="395"/>
      <c r="R216" s="395"/>
    </row>
    <row r="217" spans="2:18" x14ac:dyDescent="0.25">
      <c r="B217" s="413"/>
      <c r="C217" s="395"/>
      <c r="D217" s="395"/>
      <c r="E217" s="395"/>
      <c r="F217" s="395"/>
      <c r="G217" s="1475"/>
      <c r="H217" s="395"/>
      <c r="I217" s="395"/>
      <c r="J217" s="395"/>
      <c r="K217" s="395"/>
      <c r="L217" s="395"/>
      <c r="M217" s="1484"/>
      <c r="N217" s="395"/>
      <c r="O217" s="395"/>
      <c r="P217" s="395"/>
      <c r="Q217" s="395"/>
      <c r="R217" s="395"/>
    </row>
    <row r="218" spans="2:18" x14ac:dyDescent="0.25">
      <c r="B218" s="413"/>
      <c r="C218" s="395"/>
      <c r="D218" s="395"/>
      <c r="E218" s="395"/>
      <c r="F218" s="395"/>
      <c r="G218" s="1475"/>
      <c r="H218" s="395"/>
      <c r="I218" s="395"/>
      <c r="J218" s="395"/>
      <c r="K218" s="395"/>
      <c r="L218" s="395"/>
      <c r="M218" s="1484"/>
      <c r="N218" s="395"/>
      <c r="O218" s="395"/>
      <c r="P218" s="395"/>
      <c r="Q218" s="395"/>
      <c r="R218" s="395"/>
    </row>
    <row r="219" spans="2:18" x14ac:dyDescent="0.25">
      <c r="B219" s="413"/>
      <c r="C219" s="395"/>
      <c r="D219" s="395"/>
      <c r="E219" s="395"/>
      <c r="F219" s="395"/>
      <c r="G219" s="1475"/>
      <c r="H219" s="395"/>
      <c r="I219" s="395"/>
      <c r="J219" s="395"/>
      <c r="K219" s="395"/>
      <c r="L219" s="395"/>
      <c r="M219" s="1484"/>
      <c r="N219" s="395"/>
      <c r="O219" s="395"/>
      <c r="P219" s="395"/>
      <c r="Q219" s="395"/>
      <c r="R219" s="395"/>
    </row>
    <row r="220" spans="2:18" x14ac:dyDescent="0.25">
      <c r="B220" s="413"/>
      <c r="C220" s="395"/>
      <c r="D220" s="395"/>
      <c r="E220" s="395"/>
      <c r="F220" s="395"/>
      <c r="G220" s="1475"/>
      <c r="H220" s="395"/>
      <c r="I220" s="395"/>
      <c r="J220" s="395"/>
      <c r="K220" s="395"/>
      <c r="L220" s="395"/>
      <c r="M220" s="1484"/>
      <c r="N220" s="395"/>
      <c r="O220" s="395"/>
      <c r="P220" s="395"/>
      <c r="Q220" s="395"/>
      <c r="R220" s="395"/>
    </row>
    <row r="221" spans="2:18" x14ac:dyDescent="0.25">
      <c r="B221" s="413"/>
      <c r="C221" s="395"/>
      <c r="D221" s="395"/>
      <c r="E221" s="395"/>
      <c r="F221" s="395"/>
      <c r="G221" s="1475"/>
      <c r="H221" s="395"/>
      <c r="I221" s="395"/>
      <c r="J221" s="395"/>
      <c r="K221" s="395"/>
      <c r="L221" s="395"/>
      <c r="M221" s="1484"/>
      <c r="N221" s="395"/>
      <c r="O221" s="395"/>
      <c r="P221" s="395"/>
      <c r="Q221" s="395"/>
      <c r="R221" s="395"/>
    </row>
    <row r="222" spans="2:18" x14ac:dyDescent="0.25">
      <c r="B222" s="413"/>
      <c r="C222" s="395"/>
      <c r="D222" s="395"/>
      <c r="E222" s="395"/>
      <c r="F222" s="395"/>
      <c r="G222" s="1475"/>
      <c r="H222" s="395"/>
      <c r="I222" s="395"/>
      <c r="J222" s="395"/>
      <c r="K222" s="395"/>
      <c r="L222" s="395"/>
      <c r="M222" s="1484"/>
      <c r="N222" s="395"/>
      <c r="O222" s="395"/>
      <c r="P222" s="395"/>
      <c r="Q222" s="395"/>
      <c r="R222" s="395"/>
    </row>
    <row r="223" spans="2:18" x14ac:dyDescent="0.25">
      <c r="B223" s="413"/>
      <c r="C223" s="395"/>
      <c r="D223" s="395"/>
      <c r="E223" s="395"/>
      <c r="F223" s="395"/>
      <c r="G223" s="1475"/>
      <c r="H223" s="395"/>
      <c r="I223" s="395"/>
      <c r="J223" s="395"/>
      <c r="K223" s="395"/>
      <c r="L223" s="395"/>
      <c r="M223" s="1484"/>
      <c r="N223" s="395"/>
      <c r="O223" s="395"/>
      <c r="P223" s="395"/>
      <c r="Q223" s="395"/>
      <c r="R223" s="395"/>
    </row>
    <row r="224" spans="2:18" x14ac:dyDescent="0.25">
      <c r="B224" s="413"/>
      <c r="C224" s="395"/>
      <c r="D224" s="395"/>
      <c r="E224" s="395"/>
      <c r="F224" s="395"/>
      <c r="G224" s="1475"/>
      <c r="H224" s="395"/>
      <c r="I224" s="395"/>
      <c r="J224" s="395"/>
      <c r="K224" s="395"/>
      <c r="L224" s="395"/>
      <c r="M224" s="1484"/>
      <c r="N224" s="395"/>
      <c r="O224" s="395"/>
      <c r="P224" s="395"/>
      <c r="Q224" s="395"/>
      <c r="R224" s="395"/>
    </row>
    <row r="225" spans="2:18" x14ac:dyDescent="0.25">
      <c r="B225" s="413"/>
      <c r="C225" s="395"/>
      <c r="D225" s="395"/>
      <c r="E225" s="395"/>
      <c r="F225" s="395"/>
      <c r="G225" s="1475"/>
      <c r="H225" s="395"/>
      <c r="I225" s="395"/>
      <c r="J225" s="395"/>
      <c r="K225" s="395"/>
      <c r="L225" s="395"/>
      <c r="M225" s="1484"/>
      <c r="N225" s="395"/>
      <c r="O225" s="395"/>
      <c r="P225" s="395"/>
      <c r="Q225" s="395"/>
      <c r="R225" s="395"/>
    </row>
    <row r="226" spans="2:18" x14ac:dyDescent="0.25">
      <c r="B226" s="413"/>
      <c r="C226" s="395"/>
      <c r="D226" s="395"/>
      <c r="E226" s="395"/>
      <c r="F226" s="395"/>
      <c r="G226" s="1475"/>
      <c r="H226" s="395"/>
      <c r="I226" s="395"/>
      <c r="J226" s="395"/>
      <c r="K226" s="395"/>
      <c r="L226" s="395"/>
      <c r="M226" s="1484"/>
      <c r="N226" s="395"/>
      <c r="O226" s="395"/>
      <c r="P226" s="395"/>
      <c r="Q226" s="395"/>
      <c r="R226" s="395"/>
    </row>
    <row r="227" spans="2:18" x14ac:dyDescent="0.25">
      <c r="B227" s="413"/>
      <c r="C227" s="395"/>
      <c r="D227" s="395"/>
      <c r="E227" s="395"/>
      <c r="F227" s="395"/>
      <c r="G227" s="1475"/>
      <c r="H227" s="395"/>
      <c r="I227" s="395"/>
      <c r="J227" s="395"/>
      <c r="K227" s="395"/>
      <c r="L227" s="395"/>
      <c r="M227" s="1484"/>
      <c r="N227" s="395"/>
      <c r="O227" s="395"/>
      <c r="P227" s="395"/>
      <c r="Q227" s="395"/>
      <c r="R227" s="395"/>
    </row>
    <row r="228" spans="2:18" x14ac:dyDescent="0.25">
      <c r="B228" s="413"/>
      <c r="C228" s="395"/>
      <c r="D228" s="395"/>
      <c r="E228" s="395"/>
      <c r="F228" s="395"/>
      <c r="G228" s="1475"/>
      <c r="H228" s="395"/>
      <c r="I228" s="395"/>
      <c r="J228" s="395"/>
      <c r="K228" s="395"/>
      <c r="L228" s="395"/>
      <c r="M228" s="1484"/>
      <c r="N228" s="395"/>
      <c r="O228" s="395"/>
      <c r="P228" s="395"/>
      <c r="Q228" s="395"/>
      <c r="R228" s="395"/>
    </row>
    <row r="229" spans="2:18" x14ac:dyDescent="0.25">
      <c r="B229" s="413"/>
      <c r="C229" s="395"/>
      <c r="D229" s="395"/>
      <c r="E229" s="395"/>
      <c r="F229" s="395"/>
      <c r="G229" s="1475"/>
      <c r="H229" s="395"/>
      <c r="I229" s="395"/>
      <c r="J229" s="395"/>
      <c r="K229" s="395"/>
      <c r="L229" s="395"/>
      <c r="M229" s="1484"/>
      <c r="N229" s="395"/>
      <c r="O229" s="395"/>
      <c r="P229" s="395"/>
      <c r="Q229" s="395"/>
      <c r="R229" s="395"/>
    </row>
    <row r="230" spans="2:18" x14ac:dyDescent="0.25">
      <c r="B230" s="413"/>
      <c r="C230" s="395"/>
      <c r="D230" s="395"/>
      <c r="E230" s="395"/>
      <c r="F230" s="395"/>
      <c r="G230" s="1475"/>
      <c r="H230" s="395"/>
      <c r="I230" s="395"/>
      <c r="J230" s="395"/>
      <c r="K230" s="395"/>
      <c r="L230" s="395"/>
      <c r="M230" s="1484"/>
      <c r="N230" s="395"/>
      <c r="O230" s="395"/>
      <c r="P230" s="395"/>
      <c r="Q230" s="395"/>
      <c r="R230" s="395"/>
    </row>
    <row r="231" spans="2:18" x14ac:dyDescent="0.25">
      <c r="B231" s="413"/>
      <c r="C231" s="395"/>
      <c r="D231" s="395"/>
      <c r="E231" s="395"/>
      <c r="F231" s="395"/>
      <c r="G231" s="1475"/>
      <c r="H231" s="395"/>
      <c r="I231" s="395"/>
      <c r="J231" s="395"/>
      <c r="K231" s="395"/>
      <c r="L231" s="395"/>
      <c r="M231" s="1484"/>
      <c r="N231" s="395"/>
      <c r="O231" s="395"/>
      <c r="P231" s="395"/>
      <c r="Q231" s="395"/>
      <c r="R231" s="395"/>
    </row>
    <row r="232" spans="2:18" x14ac:dyDescent="0.25">
      <c r="B232" s="413"/>
      <c r="C232" s="395"/>
      <c r="D232" s="395"/>
      <c r="E232" s="395"/>
      <c r="F232" s="395"/>
      <c r="G232" s="1475"/>
      <c r="H232" s="395"/>
      <c r="I232" s="395"/>
      <c r="J232" s="395"/>
      <c r="K232" s="395"/>
      <c r="L232" s="395"/>
      <c r="M232" s="1484"/>
      <c r="N232" s="395"/>
      <c r="O232" s="395"/>
      <c r="P232" s="395"/>
      <c r="Q232" s="395"/>
      <c r="R232" s="395"/>
    </row>
    <row r="233" spans="2:18" x14ac:dyDescent="0.25">
      <c r="B233" s="413"/>
      <c r="C233" s="395"/>
      <c r="D233" s="395"/>
      <c r="E233" s="395"/>
      <c r="F233" s="395"/>
      <c r="G233" s="1475"/>
      <c r="H233" s="395"/>
      <c r="I233" s="395"/>
      <c r="J233" s="395"/>
      <c r="K233" s="395"/>
      <c r="L233" s="395"/>
      <c r="M233" s="1484"/>
      <c r="N233" s="395"/>
      <c r="O233" s="395"/>
      <c r="P233" s="395"/>
      <c r="Q233" s="395"/>
      <c r="R233" s="395"/>
    </row>
    <row r="234" spans="2:18" x14ac:dyDescent="0.25">
      <c r="B234" s="413"/>
      <c r="C234" s="395"/>
      <c r="D234" s="395"/>
      <c r="E234" s="395"/>
      <c r="F234" s="395"/>
      <c r="G234" s="1475"/>
      <c r="H234" s="395"/>
      <c r="I234" s="395"/>
      <c r="J234" s="395"/>
      <c r="K234" s="395"/>
      <c r="L234" s="395"/>
      <c r="M234" s="1484"/>
      <c r="N234" s="395"/>
      <c r="O234" s="395"/>
      <c r="P234" s="395"/>
      <c r="Q234" s="395"/>
      <c r="R234" s="395"/>
    </row>
    <row r="235" spans="2:18" x14ac:dyDescent="0.25">
      <c r="B235" s="413"/>
      <c r="C235" s="395"/>
      <c r="D235" s="395"/>
      <c r="E235" s="395"/>
      <c r="F235" s="395"/>
      <c r="G235" s="1475"/>
      <c r="H235" s="395"/>
      <c r="I235" s="395"/>
      <c r="J235" s="395"/>
      <c r="K235" s="395"/>
      <c r="L235" s="395"/>
      <c r="M235" s="1484"/>
      <c r="N235" s="395"/>
      <c r="O235" s="395"/>
      <c r="P235" s="395"/>
      <c r="Q235" s="395"/>
      <c r="R235" s="395"/>
    </row>
    <row r="236" spans="2:18" x14ac:dyDescent="0.25">
      <c r="B236" s="413"/>
      <c r="C236" s="395"/>
      <c r="D236" s="395"/>
      <c r="E236" s="395"/>
      <c r="F236" s="395"/>
      <c r="G236" s="1475"/>
      <c r="H236" s="395"/>
      <c r="I236" s="395"/>
      <c r="J236" s="395"/>
      <c r="K236" s="395"/>
      <c r="L236" s="395"/>
      <c r="M236" s="1484"/>
      <c r="N236" s="395"/>
      <c r="O236" s="395"/>
      <c r="P236" s="395"/>
      <c r="Q236" s="395"/>
      <c r="R236" s="395"/>
    </row>
    <row r="237" spans="2:18" x14ac:dyDescent="0.25">
      <c r="B237" s="413"/>
      <c r="C237" s="395"/>
      <c r="D237" s="395"/>
      <c r="E237" s="395"/>
      <c r="F237" s="395"/>
      <c r="G237" s="1475"/>
      <c r="H237" s="395"/>
      <c r="I237" s="395"/>
      <c r="J237" s="395"/>
      <c r="K237" s="395"/>
      <c r="L237" s="395"/>
      <c r="M237" s="1484"/>
      <c r="N237" s="395"/>
      <c r="O237" s="395"/>
      <c r="P237" s="395"/>
      <c r="Q237" s="395"/>
      <c r="R237" s="395"/>
    </row>
    <row r="238" spans="2:18" x14ac:dyDescent="0.25">
      <c r="B238" s="413"/>
      <c r="C238" s="395"/>
      <c r="D238" s="395"/>
      <c r="E238" s="395"/>
      <c r="F238" s="395"/>
      <c r="G238" s="1475"/>
      <c r="H238" s="395"/>
      <c r="I238" s="395"/>
      <c r="J238" s="395"/>
      <c r="K238" s="395"/>
      <c r="L238" s="395"/>
      <c r="M238" s="1484"/>
      <c r="N238" s="395"/>
      <c r="O238" s="395"/>
      <c r="P238" s="395"/>
      <c r="Q238" s="395"/>
      <c r="R238" s="395"/>
    </row>
    <row r="239" spans="2:18" x14ac:dyDescent="0.25">
      <c r="B239" s="413"/>
      <c r="C239" s="395"/>
      <c r="D239" s="395"/>
      <c r="E239" s="395"/>
      <c r="F239" s="395"/>
      <c r="G239" s="1475"/>
      <c r="H239" s="395"/>
      <c r="I239" s="395"/>
      <c r="J239" s="395"/>
      <c r="K239" s="395"/>
      <c r="L239" s="395"/>
      <c r="M239" s="1484"/>
      <c r="N239" s="395"/>
      <c r="O239" s="395"/>
      <c r="P239" s="395"/>
      <c r="Q239" s="395"/>
      <c r="R239" s="395"/>
    </row>
    <row r="240" spans="2:18" x14ac:dyDescent="0.25">
      <c r="B240" s="413"/>
      <c r="C240" s="395"/>
      <c r="D240" s="395"/>
      <c r="E240" s="395"/>
      <c r="F240" s="395"/>
      <c r="G240" s="1475"/>
      <c r="H240" s="395"/>
      <c r="I240" s="395"/>
      <c r="J240" s="395"/>
      <c r="K240" s="395"/>
      <c r="L240" s="395"/>
      <c r="M240" s="1484"/>
      <c r="N240" s="395"/>
      <c r="O240" s="395"/>
      <c r="P240" s="395"/>
      <c r="Q240" s="395"/>
      <c r="R240" s="395"/>
    </row>
    <row r="241" spans="2:18" x14ac:dyDescent="0.25">
      <c r="B241" s="413"/>
      <c r="C241" s="395"/>
      <c r="D241" s="395"/>
      <c r="E241" s="395"/>
      <c r="F241" s="395"/>
      <c r="G241" s="1475"/>
      <c r="H241" s="395"/>
      <c r="I241" s="395"/>
      <c r="J241" s="395"/>
      <c r="K241" s="395"/>
      <c r="L241" s="395"/>
      <c r="M241" s="1484"/>
      <c r="N241" s="395"/>
      <c r="O241" s="395"/>
      <c r="P241" s="395"/>
      <c r="Q241" s="395"/>
      <c r="R241" s="395"/>
    </row>
    <row r="242" spans="2:18" x14ac:dyDescent="0.25">
      <c r="B242" s="413"/>
      <c r="C242" s="395"/>
      <c r="D242" s="395"/>
      <c r="E242" s="395"/>
      <c r="F242" s="395"/>
      <c r="G242" s="1475"/>
      <c r="H242" s="395"/>
      <c r="I242" s="395"/>
      <c r="J242" s="395"/>
      <c r="K242" s="395"/>
      <c r="L242" s="395"/>
      <c r="M242" s="1484"/>
      <c r="N242" s="395"/>
      <c r="O242" s="395"/>
      <c r="P242" s="395"/>
      <c r="Q242" s="395"/>
      <c r="R242" s="395"/>
    </row>
    <row r="243" spans="2:18" x14ac:dyDescent="0.25">
      <c r="B243" s="413"/>
      <c r="C243" s="395"/>
      <c r="D243" s="395"/>
      <c r="E243" s="395"/>
      <c r="F243" s="395"/>
      <c r="G243" s="1475"/>
      <c r="H243" s="395"/>
      <c r="I243" s="395"/>
      <c r="J243" s="395"/>
      <c r="K243" s="395"/>
      <c r="L243" s="395"/>
      <c r="M243" s="1484"/>
      <c r="N243" s="395"/>
      <c r="O243" s="395"/>
      <c r="P243" s="395"/>
      <c r="Q243" s="395"/>
      <c r="R243" s="395"/>
    </row>
    <row r="244" spans="2:18" x14ac:dyDescent="0.25">
      <c r="B244" s="413"/>
      <c r="C244" s="395"/>
      <c r="D244" s="395"/>
      <c r="E244" s="395"/>
      <c r="F244" s="395"/>
      <c r="G244" s="1475"/>
      <c r="H244" s="395"/>
      <c r="I244" s="395"/>
      <c r="J244" s="395"/>
      <c r="K244" s="395"/>
      <c r="L244" s="395"/>
      <c r="M244" s="1484"/>
      <c r="N244" s="395"/>
      <c r="O244" s="395"/>
      <c r="P244" s="395"/>
      <c r="Q244" s="395"/>
      <c r="R244" s="395"/>
    </row>
    <row r="245" spans="2:18" x14ac:dyDescent="0.25">
      <c r="B245" s="413"/>
      <c r="C245" s="395"/>
      <c r="D245" s="395"/>
      <c r="E245" s="395"/>
      <c r="F245" s="395"/>
      <c r="G245" s="1475"/>
      <c r="H245" s="395"/>
      <c r="I245" s="395"/>
      <c r="J245" s="395"/>
      <c r="K245" s="395"/>
      <c r="L245" s="395"/>
      <c r="M245" s="1484"/>
      <c r="N245" s="395"/>
      <c r="O245" s="395"/>
      <c r="P245" s="395"/>
      <c r="Q245" s="395"/>
      <c r="R245" s="395"/>
    </row>
    <row r="246" spans="2:18" x14ac:dyDescent="0.25">
      <c r="B246" s="413"/>
      <c r="C246" s="395"/>
      <c r="D246" s="395"/>
      <c r="E246" s="395"/>
      <c r="F246" s="395"/>
      <c r="G246" s="1475"/>
      <c r="H246" s="395"/>
      <c r="I246" s="395"/>
      <c r="J246" s="395"/>
      <c r="K246" s="395"/>
      <c r="L246" s="395"/>
      <c r="M246" s="1484"/>
      <c r="N246" s="395"/>
      <c r="O246" s="395"/>
      <c r="P246" s="395"/>
      <c r="Q246" s="395"/>
      <c r="R246" s="395"/>
    </row>
    <row r="247" spans="2:18" x14ac:dyDescent="0.25">
      <c r="B247" s="413"/>
      <c r="C247" s="395"/>
      <c r="D247" s="395"/>
      <c r="E247" s="395"/>
      <c r="F247" s="395"/>
      <c r="G247" s="1475"/>
      <c r="H247" s="395"/>
      <c r="I247" s="395"/>
      <c r="J247" s="395"/>
      <c r="K247" s="395"/>
      <c r="L247" s="395"/>
      <c r="M247" s="1484"/>
      <c r="N247" s="395"/>
      <c r="O247" s="395"/>
      <c r="P247" s="395"/>
      <c r="Q247" s="395"/>
      <c r="R247" s="395"/>
    </row>
    <row r="248" spans="2:18" x14ac:dyDescent="0.25">
      <c r="B248" s="413"/>
      <c r="C248" s="395"/>
      <c r="D248" s="395"/>
      <c r="E248" s="395"/>
      <c r="F248" s="395"/>
      <c r="G248" s="1475"/>
      <c r="H248" s="395"/>
      <c r="I248" s="395"/>
      <c r="J248" s="395"/>
      <c r="K248" s="395"/>
      <c r="L248" s="395"/>
      <c r="M248" s="1484"/>
      <c r="N248" s="395"/>
      <c r="O248" s="395"/>
      <c r="P248" s="395"/>
      <c r="Q248" s="395"/>
      <c r="R248" s="395"/>
    </row>
    <row r="249" spans="2:18" x14ac:dyDescent="0.25">
      <c r="B249" s="413"/>
      <c r="C249" s="395"/>
      <c r="D249" s="395"/>
      <c r="E249" s="395"/>
      <c r="F249" s="395"/>
      <c r="G249" s="1475"/>
      <c r="H249" s="395"/>
      <c r="I249" s="395"/>
      <c r="J249" s="395"/>
      <c r="K249" s="395"/>
      <c r="L249" s="395"/>
      <c r="M249" s="1484"/>
      <c r="N249" s="395"/>
      <c r="O249" s="395"/>
      <c r="P249" s="395"/>
      <c r="Q249" s="395"/>
      <c r="R249" s="395"/>
    </row>
    <row r="250" spans="2:18" x14ac:dyDescent="0.25">
      <c r="B250" s="413"/>
      <c r="C250" s="395"/>
      <c r="D250" s="395"/>
      <c r="E250" s="395"/>
      <c r="F250" s="395"/>
      <c r="G250" s="1475"/>
      <c r="H250" s="395"/>
      <c r="I250" s="395"/>
      <c r="J250" s="395"/>
      <c r="K250" s="395"/>
      <c r="L250" s="395"/>
      <c r="M250" s="1484"/>
      <c r="N250" s="395"/>
      <c r="O250" s="395"/>
      <c r="P250" s="395"/>
      <c r="Q250" s="395"/>
      <c r="R250" s="395"/>
    </row>
    <row r="251" spans="2:18" x14ac:dyDescent="0.25">
      <c r="B251" s="413"/>
      <c r="C251" s="395"/>
      <c r="D251" s="395"/>
      <c r="E251" s="395"/>
      <c r="F251" s="395"/>
      <c r="G251" s="1475"/>
      <c r="H251" s="395"/>
      <c r="I251" s="395"/>
      <c r="J251" s="395"/>
      <c r="K251" s="395"/>
      <c r="L251" s="395"/>
      <c r="M251" s="1484"/>
      <c r="N251" s="395"/>
      <c r="O251" s="395"/>
      <c r="P251" s="395"/>
      <c r="Q251" s="395"/>
      <c r="R251" s="395"/>
    </row>
    <row r="252" spans="2:18" x14ac:dyDescent="0.25">
      <c r="B252" s="413"/>
      <c r="C252" s="395"/>
      <c r="D252" s="395"/>
      <c r="E252" s="395"/>
      <c r="F252" s="395"/>
      <c r="G252" s="1475"/>
      <c r="H252" s="395"/>
      <c r="I252" s="395"/>
      <c r="J252" s="395"/>
      <c r="K252" s="395"/>
      <c r="L252" s="395"/>
      <c r="M252" s="1484"/>
      <c r="N252" s="395"/>
      <c r="O252" s="395"/>
      <c r="P252" s="395"/>
      <c r="Q252" s="395"/>
      <c r="R252" s="395"/>
    </row>
    <row r="253" spans="2:18" x14ac:dyDescent="0.25">
      <c r="B253" s="413"/>
      <c r="C253" s="395"/>
      <c r="D253" s="395"/>
      <c r="E253" s="395"/>
      <c r="F253" s="395"/>
      <c r="G253" s="1475"/>
      <c r="H253" s="395"/>
      <c r="I253" s="395"/>
      <c r="J253" s="395"/>
      <c r="K253" s="395"/>
      <c r="L253" s="395"/>
      <c r="M253" s="1484"/>
      <c r="N253" s="395"/>
      <c r="O253" s="395"/>
      <c r="P253" s="395"/>
      <c r="Q253" s="395"/>
      <c r="R253" s="395"/>
    </row>
    <row r="254" spans="2:18" x14ac:dyDescent="0.25">
      <c r="B254" s="413"/>
      <c r="C254" s="395"/>
      <c r="D254" s="395"/>
      <c r="E254" s="395"/>
      <c r="F254" s="395"/>
      <c r="G254" s="1475"/>
      <c r="H254" s="395"/>
      <c r="I254" s="395"/>
      <c r="J254" s="395"/>
      <c r="K254" s="395"/>
      <c r="L254" s="395"/>
      <c r="M254" s="1484"/>
      <c r="N254" s="395"/>
      <c r="O254" s="395"/>
      <c r="P254" s="395"/>
      <c r="Q254" s="395"/>
      <c r="R254" s="395"/>
    </row>
    <row r="255" spans="2:18" x14ac:dyDescent="0.25">
      <c r="B255" s="413"/>
      <c r="C255" s="395"/>
      <c r="D255" s="395"/>
      <c r="E255" s="395"/>
      <c r="F255" s="395"/>
      <c r="G255" s="1475"/>
      <c r="H255" s="395"/>
      <c r="I255" s="395"/>
      <c r="J255" s="395"/>
      <c r="K255" s="395"/>
      <c r="L255" s="395"/>
      <c r="M255" s="1484"/>
      <c r="N255" s="395"/>
      <c r="O255" s="395"/>
      <c r="P255" s="395"/>
      <c r="Q255" s="395"/>
      <c r="R255" s="395"/>
    </row>
    <row r="256" spans="2:18" x14ac:dyDescent="0.25">
      <c r="B256" s="413"/>
      <c r="C256" s="395"/>
      <c r="D256" s="395"/>
      <c r="E256" s="395"/>
      <c r="F256" s="395"/>
      <c r="G256" s="1475"/>
      <c r="H256" s="395"/>
      <c r="I256" s="395"/>
      <c r="J256" s="395"/>
      <c r="K256" s="395"/>
      <c r="L256" s="395"/>
      <c r="M256" s="1484"/>
      <c r="N256" s="395"/>
      <c r="O256" s="395"/>
      <c r="P256" s="395"/>
      <c r="Q256" s="395"/>
      <c r="R256" s="395"/>
    </row>
    <row r="257" spans="2:18" x14ac:dyDescent="0.25">
      <c r="B257" s="413"/>
      <c r="C257" s="395"/>
      <c r="D257" s="395"/>
      <c r="E257" s="395"/>
      <c r="F257" s="395"/>
      <c r="G257" s="1475"/>
      <c r="H257" s="395"/>
      <c r="I257" s="395"/>
      <c r="J257" s="395"/>
      <c r="K257" s="395"/>
      <c r="L257" s="395"/>
      <c r="M257" s="1484"/>
      <c r="N257" s="395"/>
      <c r="O257" s="395"/>
      <c r="P257" s="395"/>
      <c r="Q257" s="395"/>
      <c r="R257" s="395"/>
    </row>
    <row r="258" spans="2:18" x14ac:dyDescent="0.25">
      <c r="B258" s="413"/>
      <c r="C258" s="395"/>
      <c r="D258" s="395"/>
      <c r="E258" s="395"/>
      <c r="F258" s="395"/>
      <c r="G258" s="1475"/>
      <c r="H258" s="395"/>
      <c r="I258" s="395"/>
      <c r="J258" s="395"/>
      <c r="K258" s="395"/>
      <c r="L258" s="395"/>
      <c r="M258" s="1484"/>
      <c r="N258" s="395"/>
      <c r="O258" s="395"/>
      <c r="P258" s="395"/>
      <c r="Q258" s="395"/>
      <c r="R258" s="395"/>
    </row>
    <row r="259" spans="2:18" x14ac:dyDescent="0.25">
      <c r="B259" s="413"/>
      <c r="C259" s="395"/>
      <c r="D259" s="395"/>
      <c r="E259" s="395"/>
      <c r="F259" s="395"/>
      <c r="G259" s="1475"/>
      <c r="H259" s="395"/>
      <c r="I259" s="395"/>
      <c r="J259" s="395"/>
      <c r="K259" s="395"/>
      <c r="L259" s="395"/>
      <c r="M259" s="1484"/>
      <c r="N259" s="395"/>
      <c r="O259" s="395"/>
      <c r="P259" s="395"/>
      <c r="Q259" s="395"/>
      <c r="R259" s="395"/>
    </row>
    <row r="260" spans="2:18" x14ac:dyDescent="0.25">
      <c r="B260" s="413"/>
      <c r="C260" s="395"/>
      <c r="D260" s="395"/>
      <c r="E260" s="395"/>
      <c r="F260" s="395"/>
      <c r="G260" s="1475"/>
      <c r="H260" s="395"/>
      <c r="I260" s="395"/>
      <c r="J260" s="395"/>
      <c r="K260" s="395"/>
      <c r="L260" s="395"/>
      <c r="M260" s="1484"/>
      <c r="N260" s="395"/>
      <c r="O260" s="395"/>
      <c r="P260" s="395"/>
      <c r="Q260" s="395"/>
      <c r="R260" s="395"/>
    </row>
    <row r="261" spans="2:18" x14ac:dyDescent="0.25">
      <c r="B261" s="413"/>
      <c r="C261" s="395"/>
      <c r="D261" s="395"/>
      <c r="E261" s="395"/>
      <c r="F261" s="395"/>
      <c r="G261" s="1475"/>
      <c r="H261" s="395"/>
      <c r="I261" s="395"/>
      <c r="J261" s="395"/>
      <c r="K261" s="395"/>
      <c r="L261" s="395"/>
      <c r="M261" s="1484"/>
      <c r="N261" s="395"/>
      <c r="O261" s="395"/>
      <c r="P261" s="395"/>
      <c r="Q261" s="395"/>
      <c r="R261" s="395"/>
    </row>
    <row r="262" spans="2:18" x14ac:dyDescent="0.25">
      <c r="B262" s="413"/>
      <c r="C262" s="395"/>
      <c r="D262" s="395"/>
      <c r="E262" s="395"/>
      <c r="F262" s="395"/>
      <c r="G262" s="1475"/>
      <c r="H262" s="395"/>
      <c r="I262" s="395"/>
      <c r="J262" s="395"/>
      <c r="K262" s="395"/>
      <c r="L262" s="395"/>
      <c r="M262" s="1484"/>
      <c r="N262" s="395"/>
      <c r="O262" s="395"/>
      <c r="P262" s="395"/>
      <c r="Q262" s="395"/>
      <c r="R262" s="395"/>
    </row>
    <row r="263" spans="2:18" x14ac:dyDescent="0.25">
      <c r="B263" s="413"/>
      <c r="C263" s="395"/>
      <c r="D263" s="395"/>
      <c r="E263" s="395"/>
      <c r="F263" s="395"/>
      <c r="G263" s="1475"/>
      <c r="H263" s="395"/>
      <c r="I263" s="395"/>
      <c r="J263" s="395"/>
      <c r="K263" s="395"/>
      <c r="L263" s="395"/>
      <c r="M263" s="1484"/>
      <c r="N263" s="395"/>
      <c r="O263" s="395"/>
      <c r="P263" s="395"/>
      <c r="Q263" s="395"/>
      <c r="R263" s="395"/>
    </row>
    <row r="264" spans="2:18" x14ac:dyDescent="0.25">
      <c r="B264" s="413"/>
      <c r="C264" s="395"/>
      <c r="D264" s="395"/>
      <c r="E264" s="395"/>
      <c r="F264" s="395"/>
      <c r="G264" s="1475"/>
      <c r="H264" s="395"/>
      <c r="I264" s="395"/>
      <c r="J264" s="395"/>
      <c r="K264" s="395"/>
      <c r="L264" s="395"/>
      <c r="M264" s="1484"/>
      <c r="N264" s="395"/>
      <c r="O264" s="395"/>
      <c r="P264" s="395"/>
      <c r="Q264" s="395"/>
      <c r="R264" s="395"/>
    </row>
    <row r="265" spans="2:18" x14ac:dyDescent="0.25">
      <c r="B265" s="413"/>
      <c r="C265" s="395"/>
      <c r="D265" s="395"/>
      <c r="E265" s="395"/>
      <c r="F265" s="395"/>
      <c r="G265" s="1475"/>
      <c r="H265" s="395"/>
      <c r="I265" s="395"/>
      <c r="J265" s="395"/>
      <c r="K265" s="395"/>
      <c r="L265" s="395"/>
      <c r="M265" s="1484"/>
      <c r="N265" s="395"/>
      <c r="O265" s="395"/>
      <c r="P265" s="395"/>
      <c r="Q265" s="395"/>
      <c r="R265" s="395"/>
    </row>
    <row r="266" spans="2:18" x14ac:dyDescent="0.25">
      <c r="B266" s="413"/>
      <c r="C266" s="395"/>
      <c r="D266" s="395"/>
      <c r="E266" s="395"/>
      <c r="F266" s="395"/>
      <c r="G266" s="1475"/>
      <c r="H266" s="395"/>
      <c r="I266" s="395"/>
      <c r="J266" s="395"/>
      <c r="K266" s="395"/>
      <c r="L266" s="395"/>
      <c r="M266" s="1484"/>
      <c r="N266" s="395"/>
      <c r="O266" s="395"/>
      <c r="P266" s="395"/>
      <c r="Q266" s="395"/>
      <c r="R266" s="395"/>
    </row>
    <row r="267" spans="2:18" x14ac:dyDescent="0.25">
      <c r="B267" s="413"/>
      <c r="C267" s="395"/>
      <c r="D267" s="395"/>
      <c r="E267" s="395"/>
      <c r="F267" s="395"/>
      <c r="G267" s="1475"/>
      <c r="H267" s="395"/>
      <c r="I267" s="395"/>
      <c r="J267" s="395"/>
      <c r="K267" s="395"/>
      <c r="L267" s="395"/>
      <c r="M267" s="1484"/>
      <c r="N267" s="395"/>
      <c r="O267" s="395"/>
      <c r="P267" s="395"/>
      <c r="Q267" s="395"/>
      <c r="R267" s="395"/>
    </row>
    <row r="268" spans="2:18" x14ac:dyDescent="0.25">
      <c r="B268" s="413"/>
      <c r="C268" s="395"/>
      <c r="D268" s="395"/>
      <c r="E268" s="395"/>
      <c r="F268" s="395"/>
      <c r="G268" s="1475"/>
      <c r="H268" s="395"/>
      <c r="I268" s="395"/>
      <c r="J268" s="395"/>
      <c r="K268" s="395"/>
      <c r="L268" s="395"/>
      <c r="M268" s="1484"/>
      <c r="N268" s="395"/>
      <c r="O268" s="395"/>
      <c r="P268" s="395"/>
      <c r="Q268" s="395"/>
      <c r="R268" s="395"/>
    </row>
    <row r="269" spans="2:18" x14ac:dyDescent="0.25">
      <c r="B269" s="413"/>
      <c r="C269" s="395"/>
      <c r="D269" s="395"/>
      <c r="E269" s="395"/>
      <c r="F269" s="395"/>
      <c r="G269" s="1475"/>
      <c r="H269" s="395"/>
      <c r="I269" s="395"/>
      <c r="J269" s="395"/>
      <c r="K269" s="395"/>
      <c r="L269" s="395"/>
      <c r="M269" s="1484"/>
      <c r="N269" s="395"/>
      <c r="O269" s="395"/>
      <c r="P269" s="395"/>
      <c r="Q269" s="395"/>
      <c r="R269" s="395"/>
    </row>
    <row r="270" spans="2:18" x14ac:dyDescent="0.25">
      <c r="B270" s="413"/>
      <c r="C270" s="395"/>
      <c r="D270" s="395"/>
      <c r="E270" s="395"/>
      <c r="F270" s="395"/>
      <c r="G270" s="1475"/>
      <c r="H270" s="395"/>
      <c r="I270" s="395"/>
      <c r="J270" s="395"/>
      <c r="K270" s="395"/>
      <c r="L270" s="395"/>
      <c r="M270" s="1484"/>
      <c r="N270" s="395"/>
      <c r="O270" s="395"/>
      <c r="P270" s="395"/>
      <c r="Q270" s="395"/>
      <c r="R270" s="395"/>
    </row>
    <row r="271" spans="2:18" x14ac:dyDescent="0.25">
      <c r="B271" s="413"/>
      <c r="C271" s="395"/>
      <c r="D271" s="395"/>
      <c r="E271" s="395"/>
      <c r="F271" s="395"/>
      <c r="G271" s="1475"/>
      <c r="H271" s="395"/>
      <c r="I271" s="395"/>
      <c r="J271" s="395"/>
      <c r="K271" s="395"/>
      <c r="L271" s="395"/>
      <c r="M271" s="1484"/>
      <c r="N271" s="395"/>
      <c r="O271" s="395"/>
      <c r="P271" s="395"/>
      <c r="Q271" s="395"/>
      <c r="R271" s="395"/>
    </row>
    <row r="272" spans="2:18" x14ac:dyDescent="0.25">
      <c r="B272" s="413"/>
      <c r="C272" s="395"/>
      <c r="D272" s="395"/>
      <c r="E272" s="395"/>
      <c r="F272" s="395"/>
      <c r="G272" s="1475"/>
      <c r="H272" s="395"/>
      <c r="I272" s="395"/>
      <c r="J272" s="395"/>
      <c r="K272" s="395"/>
      <c r="L272" s="395"/>
      <c r="M272" s="1484"/>
      <c r="N272" s="395"/>
      <c r="O272" s="395"/>
      <c r="P272" s="395"/>
      <c r="Q272" s="395"/>
      <c r="R272" s="395"/>
    </row>
    <row r="273" spans="2:18" x14ac:dyDescent="0.25">
      <c r="B273" s="413"/>
      <c r="C273" s="395"/>
      <c r="D273" s="395"/>
      <c r="E273" s="395"/>
      <c r="F273" s="395"/>
      <c r="G273" s="1475"/>
      <c r="H273" s="395"/>
      <c r="I273" s="395"/>
      <c r="J273" s="395"/>
      <c r="K273" s="395"/>
      <c r="L273" s="395"/>
      <c r="M273" s="1484"/>
      <c r="N273" s="395"/>
      <c r="O273" s="395"/>
      <c r="P273" s="395"/>
      <c r="Q273" s="395"/>
      <c r="R273" s="395"/>
    </row>
    <row r="274" spans="2:18" x14ac:dyDescent="0.25">
      <c r="B274" s="413"/>
      <c r="C274" s="395"/>
      <c r="D274" s="395"/>
      <c r="E274" s="395"/>
      <c r="F274" s="395"/>
      <c r="G274" s="1475"/>
      <c r="H274" s="395"/>
      <c r="I274" s="395"/>
      <c r="J274" s="395"/>
      <c r="K274" s="395"/>
      <c r="L274" s="395"/>
      <c r="M274" s="1484"/>
      <c r="N274" s="395"/>
      <c r="O274" s="395"/>
      <c r="P274" s="395"/>
      <c r="Q274" s="395"/>
      <c r="R274" s="395"/>
    </row>
    <row r="275" spans="2:18" x14ac:dyDescent="0.25">
      <c r="B275" s="413"/>
      <c r="C275" s="395"/>
      <c r="D275" s="395"/>
      <c r="E275" s="395"/>
      <c r="F275" s="395"/>
      <c r="G275" s="1475"/>
      <c r="H275" s="395"/>
      <c r="I275" s="395"/>
      <c r="J275" s="395"/>
      <c r="K275" s="395"/>
      <c r="L275" s="395"/>
      <c r="M275" s="1484"/>
      <c r="N275" s="395"/>
      <c r="O275" s="395"/>
      <c r="P275" s="395"/>
      <c r="Q275" s="395"/>
      <c r="R275" s="395"/>
    </row>
    <row r="276" spans="2:18" x14ac:dyDescent="0.25">
      <c r="B276" s="413"/>
      <c r="C276" s="395"/>
      <c r="D276" s="395"/>
      <c r="E276" s="395"/>
      <c r="F276" s="395"/>
      <c r="G276" s="1475"/>
      <c r="H276" s="395"/>
      <c r="I276" s="395"/>
      <c r="J276" s="395"/>
      <c r="K276" s="395"/>
      <c r="L276" s="395"/>
      <c r="M276" s="1484"/>
      <c r="N276" s="395"/>
      <c r="O276" s="395"/>
      <c r="P276" s="395"/>
      <c r="Q276" s="395"/>
      <c r="R276" s="395"/>
    </row>
    <row r="277" spans="2:18" x14ac:dyDescent="0.25">
      <c r="B277" s="413"/>
      <c r="C277" s="395"/>
      <c r="D277" s="395"/>
      <c r="E277" s="395"/>
      <c r="F277" s="395"/>
      <c r="G277" s="1475"/>
      <c r="H277" s="395"/>
      <c r="I277" s="395"/>
      <c r="J277" s="395"/>
      <c r="K277" s="395"/>
      <c r="L277" s="395"/>
      <c r="M277" s="1484"/>
      <c r="N277" s="395"/>
      <c r="O277" s="395"/>
      <c r="P277" s="395"/>
      <c r="Q277" s="395"/>
      <c r="R277" s="395"/>
    </row>
    <row r="278" spans="2:18" x14ac:dyDescent="0.25">
      <c r="B278" s="413"/>
      <c r="C278" s="395"/>
      <c r="D278" s="395"/>
      <c r="E278" s="395"/>
      <c r="F278" s="395"/>
      <c r="G278" s="1475"/>
      <c r="H278" s="395"/>
      <c r="I278" s="395"/>
      <c r="J278" s="395"/>
      <c r="K278" s="395"/>
      <c r="L278" s="395"/>
      <c r="M278" s="1484"/>
      <c r="N278" s="395"/>
      <c r="O278" s="395"/>
      <c r="P278" s="395"/>
      <c r="Q278" s="395"/>
      <c r="R278" s="395"/>
    </row>
    <row r="279" spans="2:18" x14ac:dyDescent="0.25">
      <c r="B279" s="413"/>
      <c r="C279" s="395"/>
      <c r="D279" s="395"/>
      <c r="E279" s="395"/>
      <c r="F279" s="395"/>
      <c r="G279" s="1475"/>
      <c r="H279" s="395"/>
      <c r="I279" s="395"/>
      <c r="J279" s="395"/>
      <c r="K279" s="395"/>
      <c r="L279" s="395"/>
      <c r="M279" s="1484"/>
      <c r="N279" s="395"/>
      <c r="O279" s="395"/>
      <c r="P279" s="395"/>
      <c r="Q279" s="395"/>
      <c r="R279" s="395"/>
    </row>
    <row r="280" spans="2:18" x14ac:dyDescent="0.25">
      <c r="B280" s="413"/>
      <c r="C280" s="395"/>
      <c r="D280" s="395"/>
      <c r="E280" s="395"/>
      <c r="F280" s="395"/>
      <c r="G280" s="1475"/>
      <c r="H280" s="395"/>
      <c r="I280" s="395"/>
      <c r="J280" s="395"/>
      <c r="K280" s="395"/>
      <c r="L280" s="395"/>
      <c r="M280" s="1484"/>
      <c r="N280" s="395"/>
      <c r="O280" s="395"/>
      <c r="P280" s="395"/>
      <c r="Q280" s="395"/>
      <c r="R280" s="395"/>
    </row>
    <row r="281" spans="2:18" x14ac:dyDescent="0.25">
      <c r="B281" s="413"/>
      <c r="C281" s="395"/>
      <c r="D281" s="395"/>
      <c r="E281" s="395"/>
      <c r="F281" s="395"/>
      <c r="G281" s="1475"/>
      <c r="H281" s="395"/>
      <c r="I281" s="395"/>
      <c r="J281" s="395"/>
      <c r="K281" s="395"/>
      <c r="L281" s="395"/>
      <c r="M281" s="1484"/>
      <c r="N281" s="395"/>
      <c r="O281" s="395"/>
      <c r="P281" s="395"/>
      <c r="Q281" s="395"/>
      <c r="R281" s="395"/>
    </row>
    <row r="282" spans="2:18" x14ac:dyDescent="0.25">
      <c r="B282" s="413"/>
      <c r="C282" s="395"/>
      <c r="D282" s="395"/>
      <c r="E282" s="395"/>
      <c r="F282" s="395"/>
      <c r="G282" s="1475"/>
      <c r="H282" s="395"/>
      <c r="I282" s="395"/>
      <c r="J282" s="395"/>
      <c r="K282" s="395"/>
      <c r="L282" s="395"/>
      <c r="M282" s="1484"/>
      <c r="N282" s="395"/>
      <c r="O282" s="395"/>
      <c r="P282" s="395"/>
      <c r="Q282" s="395"/>
      <c r="R282" s="395"/>
    </row>
    <row r="283" spans="2:18" x14ac:dyDescent="0.25">
      <c r="B283" s="413"/>
      <c r="C283" s="395"/>
      <c r="D283" s="395"/>
      <c r="E283" s="395"/>
      <c r="F283" s="395"/>
      <c r="G283" s="1475"/>
      <c r="H283" s="395"/>
      <c r="I283" s="395"/>
      <c r="J283" s="395"/>
      <c r="K283" s="395"/>
      <c r="L283" s="395"/>
      <c r="M283" s="1484"/>
      <c r="N283" s="395"/>
      <c r="O283" s="395"/>
      <c r="P283" s="395"/>
      <c r="Q283" s="395"/>
      <c r="R283" s="395"/>
    </row>
    <row r="284" spans="2:18" x14ac:dyDescent="0.25">
      <c r="B284" s="413"/>
      <c r="C284" s="395"/>
      <c r="D284" s="395"/>
      <c r="E284" s="395"/>
      <c r="F284" s="395"/>
      <c r="G284" s="1475"/>
      <c r="H284" s="395"/>
      <c r="I284" s="395"/>
      <c r="J284" s="395"/>
      <c r="K284" s="395"/>
      <c r="L284" s="395"/>
      <c r="M284" s="1484"/>
      <c r="N284" s="395"/>
      <c r="O284" s="395"/>
      <c r="P284" s="395"/>
      <c r="Q284" s="395"/>
      <c r="R284" s="395"/>
    </row>
    <row r="285" spans="2:18" x14ac:dyDescent="0.25">
      <c r="B285" s="413"/>
      <c r="C285" s="395"/>
      <c r="D285" s="395"/>
      <c r="E285" s="395"/>
      <c r="F285" s="395"/>
      <c r="G285" s="1475"/>
      <c r="H285" s="395"/>
      <c r="I285" s="395"/>
      <c r="J285" s="395"/>
      <c r="K285" s="395"/>
      <c r="L285" s="395"/>
      <c r="M285" s="1484"/>
      <c r="N285" s="395"/>
      <c r="O285" s="395"/>
      <c r="P285" s="395"/>
      <c r="Q285" s="395"/>
      <c r="R285" s="395"/>
    </row>
    <row r="286" spans="2:18" x14ac:dyDescent="0.25">
      <c r="B286" s="413"/>
      <c r="C286" s="395"/>
      <c r="D286" s="395"/>
      <c r="E286" s="395"/>
      <c r="F286" s="395"/>
      <c r="G286" s="1475"/>
      <c r="H286" s="395"/>
      <c r="I286" s="395"/>
      <c r="J286" s="395"/>
      <c r="K286" s="395"/>
      <c r="L286" s="395"/>
      <c r="M286" s="1484"/>
      <c r="N286" s="395"/>
      <c r="O286" s="395"/>
      <c r="P286" s="395"/>
      <c r="Q286" s="395"/>
      <c r="R286" s="395"/>
    </row>
    <row r="287" spans="2:18" x14ac:dyDescent="0.25">
      <c r="B287" s="413"/>
      <c r="C287" s="395"/>
      <c r="D287" s="395"/>
      <c r="E287" s="395"/>
      <c r="F287" s="395"/>
      <c r="G287" s="1475"/>
      <c r="H287" s="395"/>
      <c r="I287" s="395"/>
      <c r="J287" s="395"/>
      <c r="K287" s="395"/>
      <c r="L287" s="395"/>
      <c r="M287" s="1484"/>
      <c r="N287" s="395"/>
      <c r="O287" s="395"/>
      <c r="P287" s="395"/>
      <c r="Q287" s="395"/>
      <c r="R287" s="395"/>
    </row>
    <row r="288" spans="2:18" x14ac:dyDescent="0.25">
      <c r="B288" s="413"/>
      <c r="C288" s="395"/>
      <c r="D288" s="395"/>
      <c r="E288" s="395"/>
      <c r="F288" s="395"/>
      <c r="G288" s="1475"/>
      <c r="H288" s="395"/>
      <c r="I288" s="395"/>
      <c r="J288" s="395"/>
      <c r="K288" s="395"/>
      <c r="L288" s="395"/>
      <c r="M288" s="1484"/>
      <c r="N288" s="395"/>
      <c r="O288" s="395"/>
      <c r="P288" s="395"/>
      <c r="Q288" s="395"/>
      <c r="R288" s="395"/>
    </row>
    <row r="289" spans="2:18" x14ac:dyDescent="0.25">
      <c r="B289" s="413"/>
      <c r="C289" s="395"/>
      <c r="D289" s="395"/>
      <c r="E289" s="395"/>
      <c r="F289" s="395"/>
      <c r="G289" s="1475"/>
      <c r="H289" s="395"/>
      <c r="I289" s="395"/>
      <c r="J289" s="395"/>
      <c r="K289" s="395"/>
      <c r="L289" s="395"/>
      <c r="M289" s="1484"/>
      <c r="N289" s="395"/>
      <c r="O289" s="395"/>
      <c r="P289" s="395"/>
      <c r="Q289" s="395"/>
      <c r="R289" s="395"/>
    </row>
    <row r="290" spans="2:18" x14ac:dyDescent="0.25">
      <c r="B290" s="413"/>
      <c r="C290" s="395"/>
      <c r="D290" s="395"/>
      <c r="E290" s="395"/>
      <c r="F290" s="395"/>
      <c r="G290" s="1475"/>
      <c r="H290" s="395"/>
      <c r="I290" s="395"/>
      <c r="J290" s="395"/>
      <c r="K290" s="395"/>
      <c r="L290" s="395"/>
      <c r="M290" s="1484"/>
      <c r="N290" s="395"/>
      <c r="O290" s="395"/>
      <c r="P290" s="395"/>
      <c r="Q290" s="395"/>
      <c r="R290" s="395"/>
    </row>
    <row r="291" spans="2:18" x14ac:dyDescent="0.25">
      <c r="B291" s="413"/>
      <c r="C291" s="395"/>
      <c r="D291" s="395"/>
      <c r="E291" s="395"/>
      <c r="F291" s="395"/>
      <c r="G291" s="1475"/>
      <c r="H291" s="395"/>
      <c r="I291" s="395"/>
      <c r="J291" s="395"/>
      <c r="K291" s="395"/>
      <c r="L291" s="395"/>
      <c r="M291" s="1484"/>
      <c r="N291" s="395"/>
      <c r="O291" s="395"/>
      <c r="P291" s="395"/>
      <c r="Q291" s="395"/>
      <c r="R291" s="395"/>
    </row>
    <row r="292" spans="2:18" x14ac:dyDescent="0.25">
      <c r="B292" s="413"/>
      <c r="C292" s="395"/>
      <c r="D292" s="395"/>
      <c r="E292" s="395"/>
      <c r="F292" s="395"/>
      <c r="G292" s="1475"/>
      <c r="H292" s="395"/>
      <c r="I292" s="395"/>
      <c r="J292" s="395"/>
      <c r="K292" s="395"/>
      <c r="L292" s="395"/>
      <c r="M292" s="1484"/>
      <c r="N292" s="395"/>
      <c r="O292" s="395"/>
      <c r="P292" s="395"/>
      <c r="Q292" s="395"/>
      <c r="R292" s="395"/>
    </row>
    <row r="293" spans="2:18" x14ac:dyDescent="0.25">
      <c r="B293" s="413"/>
      <c r="C293" s="395"/>
      <c r="D293" s="395"/>
      <c r="E293" s="395"/>
      <c r="F293" s="395"/>
      <c r="G293" s="1475"/>
      <c r="H293" s="395"/>
      <c r="I293" s="395"/>
      <c r="J293" s="395"/>
      <c r="K293" s="395"/>
      <c r="L293" s="395"/>
      <c r="M293" s="1484"/>
      <c r="N293" s="395"/>
      <c r="O293" s="395"/>
      <c r="P293" s="395"/>
      <c r="Q293" s="395"/>
      <c r="R293" s="395"/>
    </row>
    <row r="294" spans="2:18" x14ac:dyDescent="0.25">
      <c r="B294" s="413"/>
      <c r="C294" s="395"/>
      <c r="D294" s="395"/>
      <c r="E294" s="395"/>
      <c r="F294" s="395"/>
      <c r="G294" s="1475"/>
      <c r="H294" s="395"/>
      <c r="I294" s="395"/>
      <c r="J294" s="395"/>
      <c r="K294" s="395"/>
      <c r="L294" s="395"/>
      <c r="M294" s="1484"/>
      <c r="N294" s="395"/>
      <c r="O294" s="395"/>
      <c r="P294" s="395"/>
      <c r="Q294" s="395"/>
      <c r="R294" s="395"/>
    </row>
    <row r="295" spans="2:18" x14ac:dyDescent="0.25">
      <c r="B295" s="413"/>
      <c r="C295" s="395"/>
      <c r="D295" s="395"/>
      <c r="E295" s="395"/>
      <c r="F295" s="395"/>
      <c r="G295" s="1475"/>
      <c r="H295" s="395"/>
      <c r="I295" s="395"/>
      <c r="J295" s="395"/>
      <c r="K295" s="395"/>
      <c r="L295" s="395"/>
      <c r="M295" s="1484"/>
      <c r="N295" s="395"/>
      <c r="O295" s="395"/>
      <c r="P295" s="395"/>
      <c r="Q295" s="395"/>
      <c r="R295" s="395"/>
    </row>
    <row r="296" spans="2:18" x14ac:dyDescent="0.25">
      <c r="B296" s="413"/>
      <c r="C296" s="395"/>
      <c r="D296" s="395"/>
      <c r="E296" s="395"/>
      <c r="F296" s="395"/>
      <c r="G296" s="1475"/>
      <c r="H296" s="395"/>
      <c r="I296" s="395"/>
      <c r="J296" s="395"/>
      <c r="K296" s="395"/>
      <c r="L296" s="395"/>
      <c r="M296" s="1484"/>
      <c r="N296" s="395"/>
      <c r="O296" s="395"/>
      <c r="P296" s="395"/>
      <c r="Q296" s="395"/>
      <c r="R296" s="395"/>
    </row>
    <row r="297" spans="2:18" x14ac:dyDescent="0.25">
      <c r="B297" s="413"/>
      <c r="C297" s="395"/>
      <c r="D297" s="395"/>
      <c r="E297" s="395"/>
      <c r="F297" s="395"/>
      <c r="G297" s="1475"/>
      <c r="H297" s="395"/>
      <c r="I297" s="395"/>
      <c r="J297" s="395"/>
      <c r="K297" s="395"/>
      <c r="L297" s="395"/>
      <c r="M297" s="1484"/>
      <c r="N297" s="395"/>
      <c r="O297" s="395"/>
      <c r="P297" s="395"/>
      <c r="Q297" s="395"/>
      <c r="R297" s="395"/>
    </row>
    <row r="298" spans="2:18" x14ac:dyDescent="0.25">
      <c r="B298" s="413"/>
      <c r="C298" s="395"/>
      <c r="D298" s="395"/>
      <c r="E298" s="395"/>
      <c r="F298" s="395"/>
      <c r="G298" s="1475"/>
      <c r="H298" s="395"/>
      <c r="I298" s="395"/>
      <c r="J298" s="395"/>
      <c r="K298" s="395"/>
      <c r="L298" s="395"/>
      <c r="M298" s="1484"/>
      <c r="N298" s="395"/>
      <c r="O298" s="395"/>
      <c r="P298" s="395"/>
      <c r="Q298" s="395"/>
      <c r="R298" s="395"/>
    </row>
    <row r="299" spans="2:18" x14ac:dyDescent="0.25">
      <c r="B299" s="413"/>
      <c r="C299" s="395"/>
      <c r="D299" s="395"/>
      <c r="E299" s="395"/>
      <c r="F299" s="395"/>
      <c r="G299" s="1475"/>
      <c r="H299" s="395"/>
      <c r="I299" s="395"/>
      <c r="J299" s="395"/>
      <c r="K299" s="395"/>
      <c r="L299" s="395"/>
      <c r="M299" s="1484"/>
      <c r="N299" s="395"/>
      <c r="O299" s="395"/>
      <c r="P299" s="395"/>
      <c r="Q299" s="395"/>
      <c r="R299" s="395"/>
    </row>
    <row r="300" spans="2:18" x14ac:dyDescent="0.25">
      <c r="B300" s="413"/>
      <c r="C300" s="395"/>
      <c r="D300" s="395"/>
      <c r="E300" s="395"/>
      <c r="F300" s="395"/>
      <c r="G300" s="1475"/>
      <c r="H300" s="395"/>
      <c r="I300" s="395"/>
      <c r="J300" s="395"/>
      <c r="K300" s="395"/>
      <c r="L300" s="395"/>
      <c r="M300" s="1484"/>
      <c r="N300" s="395"/>
      <c r="O300" s="395"/>
      <c r="P300" s="395"/>
      <c r="Q300" s="395"/>
      <c r="R300" s="395"/>
    </row>
    <row r="301" spans="2:18" x14ac:dyDescent="0.25">
      <c r="B301" s="413"/>
      <c r="C301" s="395"/>
      <c r="D301" s="395"/>
      <c r="E301" s="395"/>
      <c r="F301" s="395"/>
      <c r="G301" s="1475"/>
      <c r="H301" s="395"/>
      <c r="I301" s="395"/>
      <c r="J301" s="395"/>
      <c r="K301" s="395"/>
      <c r="L301" s="395"/>
      <c r="M301" s="1484"/>
      <c r="N301" s="395"/>
      <c r="O301" s="395"/>
      <c r="P301" s="395"/>
      <c r="Q301" s="395"/>
      <c r="R301" s="395"/>
    </row>
    <row r="302" spans="2:18" x14ac:dyDescent="0.25">
      <c r="B302" s="413"/>
      <c r="C302" s="395"/>
      <c r="D302" s="395"/>
      <c r="E302" s="395"/>
      <c r="F302" s="395"/>
      <c r="G302" s="1475"/>
      <c r="H302" s="395"/>
      <c r="I302" s="395"/>
      <c r="J302" s="395"/>
      <c r="K302" s="395"/>
      <c r="L302" s="395"/>
      <c r="M302" s="1484"/>
      <c r="N302" s="395"/>
      <c r="O302" s="395"/>
      <c r="P302" s="395"/>
      <c r="Q302" s="395"/>
      <c r="R302" s="395"/>
    </row>
    <row r="303" spans="2:18" x14ac:dyDescent="0.25">
      <c r="B303" s="413"/>
      <c r="C303" s="395"/>
      <c r="D303" s="395"/>
      <c r="E303" s="395"/>
      <c r="F303" s="395"/>
      <c r="G303" s="1475"/>
      <c r="H303" s="395"/>
      <c r="I303" s="395"/>
      <c r="J303" s="395"/>
      <c r="K303" s="395"/>
      <c r="L303" s="395"/>
      <c r="M303" s="1484"/>
      <c r="N303" s="395"/>
      <c r="O303" s="395"/>
      <c r="P303" s="395"/>
      <c r="Q303" s="395"/>
      <c r="R303" s="395"/>
    </row>
    <row r="304" spans="2:18" x14ac:dyDescent="0.25">
      <c r="B304" s="413"/>
      <c r="C304" s="395"/>
      <c r="D304" s="395"/>
      <c r="E304" s="395"/>
      <c r="F304" s="395"/>
      <c r="G304" s="1475"/>
      <c r="H304" s="395"/>
      <c r="I304" s="395"/>
      <c r="J304" s="395"/>
      <c r="K304" s="395"/>
      <c r="L304" s="395"/>
      <c r="M304" s="1484"/>
      <c r="N304" s="395"/>
      <c r="O304" s="395"/>
      <c r="P304" s="395"/>
      <c r="Q304" s="395"/>
      <c r="R304" s="395"/>
    </row>
    <row r="305" spans="2:18" x14ac:dyDescent="0.25">
      <c r="B305" s="413"/>
      <c r="C305" s="395"/>
      <c r="D305" s="395"/>
      <c r="E305" s="395"/>
      <c r="F305" s="395"/>
      <c r="G305" s="1475"/>
      <c r="H305" s="395"/>
      <c r="I305" s="395"/>
      <c r="J305" s="395"/>
      <c r="K305" s="395"/>
      <c r="L305" s="395"/>
      <c r="M305" s="1484"/>
      <c r="N305" s="395"/>
      <c r="O305" s="395"/>
      <c r="P305" s="395"/>
      <c r="Q305" s="395"/>
      <c r="R305" s="395"/>
    </row>
    <row r="306" spans="2:18" x14ac:dyDescent="0.25">
      <c r="B306" s="413"/>
      <c r="C306" s="395"/>
      <c r="D306" s="395"/>
      <c r="E306" s="395"/>
      <c r="F306" s="395"/>
      <c r="G306" s="1475"/>
      <c r="H306" s="395"/>
      <c r="I306" s="395"/>
      <c r="J306" s="395"/>
      <c r="K306" s="395"/>
      <c r="L306" s="395"/>
      <c r="M306" s="1484"/>
      <c r="N306" s="395"/>
      <c r="O306" s="395"/>
      <c r="P306" s="395"/>
      <c r="Q306" s="395"/>
      <c r="R306" s="395"/>
    </row>
    <row r="307" spans="2:18" x14ac:dyDescent="0.25">
      <c r="B307" s="413"/>
      <c r="C307" s="395"/>
      <c r="D307" s="395"/>
      <c r="E307" s="395"/>
      <c r="F307" s="395"/>
      <c r="G307" s="1475"/>
      <c r="H307" s="395"/>
      <c r="I307" s="395"/>
      <c r="J307" s="395"/>
      <c r="K307" s="395"/>
      <c r="L307" s="395"/>
      <c r="M307" s="1484"/>
      <c r="N307" s="395"/>
      <c r="O307" s="395"/>
      <c r="P307" s="395"/>
      <c r="Q307" s="395"/>
      <c r="R307" s="395"/>
    </row>
    <row r="308" spans="2:18" x14ac:dyDescent="0.25">
      <c r="B308" s="413"/>
      <c r="C308" s="395"/>
      <c r="D308" s="395"/>
      <c r="E308" s="395"/>
      <c r="F308" s="395"/>
      <c r="G308" s="1475"/>
      <c r="H308" s="395"/>
      <c r="I308" s="395"/>
      <c r="J308" s="395"/>
      <c r="K308" s="395"/>
      <c r="L308" s="395"/>
      <c r="M308" s="1484"/>
      <c r="N308" s="395"/>
      <c r="O308" s="395"/>
      <c r="P308" s="395"/>
      <c r="Q308" s="395"/>
      <c r="R308" s="395"/>
    </row>
    <row r="309" spans="2:18" x14ac:dyDescent="0.25">
      <c r="B309" s="413"/>
      <c r="C309" s="395"/>
      <c r="D309" s="395"/>
      <c r="E309" s="395"/>
      <c r="F309" s="395"/>
      <c r="G309" s="1475"/>
      <c r="H309" s="395"/>
      <c r="I309" s="395"/>
      <c r="J309" s="395"/>
      <c r="K309" s="395"/>
      <c r="L309" s="395"/>
      <c r="M309" s="1484"/>
      <c r="N309" s="395"/>
      <c r="O309" s="395"/>
      <c r="P309" s="395"/>
      <c r="Q309" s="395"/>
      <c r="R309" s="395"/>
    </row>
    <row r="310" spans="2:18" x14ac:dyDescent="0.25">
      <c r="B310" s="413"/>
      <c r="C310" s="395"/>
      <c r="D310" s="395"/>
      <c r="E310" s="395"/>
      <c r="F310" s="395"/>
      <c r="G310" s="1475"/>
      <c r="H310" s="395"/>
      <c r="I310" s="395"/>
      <c r="J310" s="395"/>
      <c r="K310" s="395"/>
      <c r="L310" s="395"/>
      <c r="M310" s="1484"/>
      <c r="N310" s="395"/>
      <c r="O310" s="395"/>
      <c r="P310" s="395"/>
      <c r="Q310" s="395"/>
      <c r="R310" s="395"/>
    </row>
    <row r="311" spans="2:18" x14ac:dyDescent="0.25">
      <c r="B311" s="413"/>
      <c r="C311" s="395"/>
      <c r="D311" s="395"/>
      <c r="E311" s="395"/>
      <c r="F311" s="395"/>
      <c r="G311" s="1475"/>
      <c r="H311" s="395"/>
      <c r="I311" s="395"/>
      <c r="J311" s="395"/>
      <c r="K311" s="395"/>
      <c r="L311" s="395"/>
      <c r="M311" s="1484"/>
      <c r="N311" s="395"/>
      <c r="O311" s="395"/>
      <c r="P311" s="395"/>
      <c r="Q311" s="395"/>
      <c r="R311" s="395"/>
    </row>
    <row r="312" spans="2:18" x14ac:dyDescent="0.25">
      <c r="B312" s="413"/>
      <c r="C312" s="395"/>
      <c r="D312" s="395"/>
      <c r="E312" s="395"/>
      <c r="F312" s="395"/>
      <c r="G312" s="1475"/>
      <c r="H312" s="395"/>
      <c r="I312" s="395"/>
      <c r="J312" s="395"/>
      <c r="K312" s="395"/>
      <c r="L312" s="395"/>
      <c r="M312" s="1484"/>
      <c r="N312" s="395"/>
      <c r="O312" s="395"/>
      <c r="P312" s="395"/>
      <c r="Q312" s="395"/>
      <c r="R312" s="395"/>
    </row>
    <row r="313" spans="2:18" x14ac:dyDescent="0.25">
      <c r="B313" s="413"/>
      <c r="C313" s="395"/>
      <c r="D313" s="395"/>
      <c r="E313" s="395"/>
      <c r="F313" s="395"/>
      <c r="G313" s="1475"/>
      <c r="H313" s="395"/>
      <c r="I313" s="395"/>
      <c r="J313" s="395"/>
      <c r="K313" s="395"/>
      <c r="L313" s="395"/>
      <c r="M313" s="1484"/>
      <c r="N313" s="395"/>
      <c r="O313" s="395"/>
      <c r="P313" s="395"/>
      <c r="Q313" s="395"/>
      <c r="R313" s="395"/>
    </row>
    <row r="314" spans="2:18" x14ac:dyDescent="0.25">
      <c r="B314" s="413"/>
      <c r="C314" s="395"/>
      <c r="D314" s="395"/>
      <c r="E314" s="395"/>
      <c r="F314" s="395"/>
      <c r="G314" s="1475"/>
      <c r="H314" s="395"/>
      <c r="I314" s="395"/>
      <c r="J314" s="395"/>
      <c r="K314" s="395"/>
      <c r="L314" s="395"/>
      <c r="M314" s="1484"/>
      <c r="N314" s="395"/>
      <c r="O314" s="395"/>
      <c r="P314" s="395"/>
      <c r="Q314" s="395"/>
      <c r="R314" s="395"/>
    </row>
    <row r="315" spans="2:18" x14ac:dyDescent="0.25">
      <c r="B315" s="413"/>
      <c r="C315" s="395"/>
      <c r="D315" s="395"/>
      <c r="E315" s="395"/>
      <c r="F315" s="395"/>
      <c r="G315" s="1475"/>
      <c r="H315" s="395"/>
      <c r="I315" s="395"/>
      <c r="J315" s="395"/>
      <c r="K315" s="395"/>
      <c r="L315" s="395"/>
      <c r="M315" s="1484"/>
      <c r="N315" s="395"/>
      <c r="O315" s="395"/>
      <c r="P315" s="395"/>
      <c r="Q315" s="395"/>
      <c r="R315" s="395"/>
    </row>
    <row r="316" spans="2:18" x14ac:dyDescent="0.25">
      <c r="B316" s="413"/>
      <c r="C316" s="395"/>
      <c r="D316" s="395"/>
      <c r="E316" s="395"/>
      <c r="F316" s="395"/>
      <c r="G316" s="1475"/>
      <c r="H316" s="395"/>
      <c r="I316" s="395"/>
      <c r="J316" s="395"/>
      <c r="K316" s="395"/>
      <c r="L316" s="395"/>
      <c r="M316" s="1484"/>
      <c r="N316" s="395"/>
      <c r="O316" s="395"/>
      <c r="P316" s="395"/>
      <c r="Q316" s="395"/>
      <c r="R316" s="395"/>
    </row>
    <row r="317" spans="2:18" x14ac:dyDescent="0.25">
      <c r="B317" s="413"/>
      <c r="C317" s="395"/>
      <c r="D317" s="395"/>
      <c r="E317" s="395"/>
      <c r="F317" s="395"/>
      <c r="G317" s="1475"/>
      <c r="H317" s="395"/>
      <c r="I317" s="395"/>
      <c r="J317" s="395"/>
      <c r="K317" s="395"/>
      <c r="L317" s="395"/>
      <c r="M317" s="1484"/>
      <c r="N317" s="395"/>
      <c r="O317" s="395"/>
      <c r="P317" s="395"/>
      <c r="Q317" s="395"/>
      <c r="R317" s="395"/>
    </row>
    <row r="318" spans="2:18" x14ac:dyDescent="0.25">
      <c r="B318" s="413"/>
      <c r="C318" s="395"/>
      <c r="D318" s="395"/>
      <c r="E318" s="395"/>
      <c r="F318" s="395"/>
      <c r="G318" s="1475"/>
      <c r="H318" s="395"/>
      <c r="I318" s="395"/>
      <c r="J318" s="395"/>
      <c r="K318" s="395"/>
      <c r="L318" s="395"/>
      <c r="M318" s="1484"/>
      <c r="N318" s="395"/>
      <c r="O318" s="395"/>
      <c r="P318" s="395"/>
      <c r="Q318" s="395"/>
      <c r="R318" s="395"/>
    </row>
    <row r="319" spans="2:18" x14ac:dyDescent="0.25">
      <c r="B319" s="413"/>
      <c r="C319" s="395"/>
      <c r="D319" s="395"/>
      <c r="E319" s="395"/>
      <c r="F319" s="395"/>
      <c r="G319" s="1475"/>
      <c r="H319" s="395"/>
      <c r="I319" s="395"/>
      <c r="J319" s="395"/>
      <c r="K319" s="395"/>
      <c r="L319" s="395"/>
      <c r="M319" s="1484"/>
      <c r="N319" s="395"/>
      <c r="O319" s="395"/>
      <c r="P319" s="395"/>
      <c r="Q319" s="395"/>
      <c r="R319" s="395"/>
    </row>
    <row r="320" spans="2:18" x14ac:dyDescent="0.25">
      <c r="B320" s="413"/>
      <c r="C320" s="395"/>
      <c r="D320" s="395"/>
      <c r="E320" s="395"/>
      <c r="F320" s="395"/>
      <c r="G320" s="1475"/>
      <c r="H320" s="395"/>
      <c r="I320" s="395"/>
      <c r="J320" s="395"/>
      <c r="K320" s="395"/>
      <c r="L320" s="395"/>
      <c r="M320" s="1484"/>
      <c r="N320" s="395"/>
      <c r="O320" s="395"/>
      <c r="P320" s="395"/>
      <c r="Q320" s="395"/>
      <c r="R320" s="395"/>
    </row>
    <row r="321" spans="2:18" x14ac:dyDescent="0.25">
      <c r="B321" s="413"/>
      <c r="C321" s="395"/>
      <c r="D321" s="395"/>
      <c r="E321" s="395"/>
      <c r="F321" s="395"/>
      <c r="G321" s="1475"/>
      <c r="H321" s="395"/>
      <c r="I321" s="395"/>
      <c r="J321" s="395"/>
      <c r="K321" s="395"/>
      <c r="L321" s="395"/>
      <c r="M321" s="1484"/>
      <c r="N321" s="395"/>
      <c r="O321" s="395"/>
      <c r="P321" s="395"/>
      <c r="Q321" s="395"/>
      <c r="R321" s="395"/>
    </row>
    <row r="322" spans="2:18" x14ac:dyDescent="0.25">
      <c r="B322" s="413"/>
      <c r="C322" s="395"/>
      <c r="D322" s="395"/>
      <c r="E322" s="395"/>
      <c r="F322" s="395"/>
      <c r="G322" s="1475"/>
      <c r="H322" s="395"/>
      <c r="I322" s="395"/>
      <c r="J322" s="395"/>
      <c r="K322" s="395"/>
      <c r="L322" s="395"/>
      <c r="M322" s="1484"/>
      <c r="N322" s="395"/>
      <c r="O322" s="395"/>
      <c r="P322" s="395"/>
      <c r="Q322" s="395"/>
      <c r="R322" s="395"/>
    </row>
    <row r="323" spans="2:18" x14ac:dyDescent="0.25">
      <c r="B323" s="413"/>
      <c r="C323" s="395"/>
      <c r="D323" s="395"/>
      <c r="E323" s="395"/>
      <c r="F323" s="395"/>
      <c r="G323" s="1475"/>
      <c r="H323" s="395"/>
      <c r="I323" s="395"/>
      <c r="J323" s="395"/>
      <c r="K323" s="395"/>
      <c r="L323" s="395"/>
      <c r="M323" s="1484"/>
      <c r="N323" s="395"/>
      <c r="O323" s="395"/>
      <c r="P323" s="395"/>
      <c r="Q323" s="395"/>
      <c r="R323" s="395"/>
    </row>
    <row r="324" spans="2:18" x14ac:dyDescent="0.25">
      <c r="B324" s="413"/>
      <c r="C324" s="395"/>
      <c r="D324" s="395"/>
      <c r="E324" s="395"/>
      <c r="F324" s="395"/>
      <c r="G324" s="1475"/>
      <c r="H324" s="395"/>
      <c r="I324" s="395"/>
      <c r="J324" s="395"/>
      <c r="K324" s="395"/>
      <c r="L324" s="395"/>
      <c r="M324" s="1484"/>
      <c r="N324" s="395"/>
      <c r="O324" s="395"/>
      <c r="P324" s="395"/>
      <c r="Q324" s="395"/>
      <c r="R324" s="395"/>
    </row>
    <row r="325" spans="2:18" x14ac:dyDescent="0.25">
      <c r="B325" s="413"/>
      <c r="C325" s="395"/>
      <c r="D325" s="395"/>
      <c r="E325" s="395"/>
      <c r="F325" s="395"/>
      <c r="G325" s="1475"/>
      <c r="H325" s="395"/>
      <c r="I325" s="395"/>
      <c r="J325" s="395"/>
      <c r="K325" s="395"/>
      <c r="L325" s="395"/>
      <c r="M325" s="1484"/>
      <c r="N325" s="395"/>
      <c r="O325" s="395"/>
      <c r="P325" s="395"/>
      <c r="Q325" s="395"/>
      <c r="R325" s="395"/>
    </row>
    <row r="326" spans="2:18" x14ac:dyDescent="0.25">
      <c r="B326" s="413"/>
      <c r="C326" s="395"/>
      <c r="D326" s="395"/>
      <c r="E326" s="395"/>
      <c r="F326" s="395"/>
      <c r="G326" s="1475"/>
      <c r="H326" s="395"/>
      <c r="I326" s="395"/>
      <c r="J326" s="395"/>
      <c r="K326" s="395"/>
      <c r="L326" s="395"/>
      <c r="M326" s="1484"/>
      <c r="N326" s="395"/>
      <c r="O326" s="395"/>
      <c r="P326" s="395"/>
      <c r="Q326" s="395"/>
      <c r="R326" s="395"/>
    </row>
    <row r="327" spans="2:18" x14ac:dyDescent="0.25">
      <c r="B327" s="413"/>
      <c r="C327" s="395"/>
      <c r="D327" s="395"/>
      <c r="E327" s="395"/>
      <c r="F327" s="395"/>
      <c r="G327" s="1475"/>
      <c r="H327" s="395"/>
      <c r="I327" s="395"/>
      <c r="J327" s="395"/>
      <c r="K327" s="395"/>
      <c r="L327" s="395"/>
      <c r="M327" s="1484"/>
      <c r="N327" s="395"/>
      <c r="O327" s="395"/>
      <c r="P327" s="395"/>
      <c r="Q327" s="395"/>
      <c r="R327" s="395"/>
    </row>
    <row r="328" spans="2:18" x14ac:dyDescent="0.25">
      <c r="B328" s="413"/>
      <c r="C328" s="395"/>
      <c r="D328" s="395"/>
      <c r="E328" s="395"/>
      <c r="F328" s="395"/>
      <c r="G328" s="1475"/>
      <c r="H328" s="395"/>
      <c r="I328" s="395"/>
      <c r="J328" s="395"/>
      <c r="K328" s="395"/>
      <c r="L328" s="395"/>
      <c r="M328" s="1484"/>
      <c r="N328" s="395"/>
      <c r="O328" s="395"/>
      <c r="P328" s="395"/>
      <c r="Q328" s="395"/>
      <c r="R328" s="395"/>
    </row>
    <row r="329" spans="2:18" x14ac:dyDescent="0.25">
      <c r="B329" s="413"/>
      <c r="C329" s="395"/>
      <c r="D329" s="395"/>
      <c r="E329" s="395"/>
      <c r="F329" s="395"/>
      <c r="G329" s="1475"/>
      <c r="H329" s="395"/>
      <c r="I329" s="395"/>
      <c r="J329" s="395"/>
      <c r="K329" s="395"/>
      <c r="L329" s="395"/>
      <c r="M329" s="1484"/>
      <c r="N329" s="395"/>
      <c r="O329" s="395"/>
      <c r="P329" s="395"/>
      <c r="Q329" s="395"/>
      <c r="R329" s="395"/>
    </row>
    <row r="330" spans="2:18" x14ac:dyDescent="0.25">
      <c r="B330" s="413"/>
      <c r="C330" s="395"/>
      <c r="D330" s="395"/>
      <c r="E330" s="395"/>
      <c r="F330" s="395"/>
      <c r="G330" s="1475"/>
      <c r="H330" s="395"/>
      <c r="I330" s="395"/>
      <c r="J330" s="395"/>
      <c r="K330" s="395"/>
      <c r="L330" s="395"/>
      <c r="M330" s="1484"/>
      <c r="N330" s="395"/>
      <c r="O330" s="395"/>
      <c r="P330" s="395"/>
      <c r="Q330" s="395"/>
      <c r="R330" s="395"/>
    </row>
    <row r="331" spans="2:18" x14ac:dyDescent="0.25">
      <c r="B331" s="413"/>
      <c r="C331" s="395"/>
      <c r="D331" s="395"/>
      <c r="E331" s="395"/>
      <c r="F331" s="395"/>
      <c r="G331" s="1475"/>
      <c r="H331" s="395"/>
      <c r="I331" s="395"/>
      <c r="J331" s="395"/>
      <c r="K331" s="395"/>
      <c r="L331" s="395"/>
      <c r="M331" s="1484"/>
      <c r="N331" s="395"/>
      <c r="O331" s="395"/>
      <c r="P331" s="395"/>
      <c r="Q331" s="395"/>
      <c r="R331" s="395"/>
    </row>
    <row r="332" spans="2:18" x14ac:dyDescent="0.25">
      <c r="B332" s="413"/>
      <c r="C332" s="395"/>
      <c r="D332" s="395"/>
      <c r="E332" s="395"/>
      <c r="F332" s="395"/>
      <c r="G332" s="1475"/>
      <c r="H332" s="395"/>
      <c r="I332" s="395"/>
      <c r="J332" s="395"/>
      <c r="K332" s="395"/>
      <c r="L332" s="395"/>
      <c r="M332" s="1484"/>
      <c r="N332" s="395"/>
      <c r="O332" s="395"/>
      <c r="P332" s="395"/>
      <c r="Q332" s="395"/>
      <c r="R332" s="395"/>
    </row>
    <row r="333" spans="2:18" x14ac:dyDescent="0.25">
      <c r="B333" s="413"/>
      <c r="C333" s="395"/>
      <c r="D333" s="395"/>
      <c r="E333" s="395"/>
      <c r="F333" s="395"/>
      <c r="G333" s="1475"/>
      <c r="H333" s="395"/>
      <c r="I333" s="395"/>
      <c r="J333" s="395"/>
      <c r="K333" s="395"/>
      <c r="L333" s="395"/>
      <c r="M333" s="1484"/>
      <c r="N333" s="395"/>
      <c r="O333" s="395"/>
      <c r="P333" s="395"/>
      <c r="Q333" s="395"/>
      <c r="R333" s="395"/>
    </row>
    <row r="334" spans="2:18" x14ac:dyDescent="0.25">
      <c r="B334" s="413"/>
      <c r="C334" s="395"/>
      <c r="D334" s="395"/>
      <c r="E334" s="395"/>
      <c r="F334" s="395"/>
      <c r="G334" s="1475"/>
      <c r="H334" s="395"/>
      <c r="I334" s="395"/>
      <c r="J334" s="395"/>
      <c r="K334" s="395"/>
      <c r="L334" s="395"/>
      <c r="M334" s="1484"/>
      <c r="N334" s="395"/>
      <c r="O334" s="395"/>
      <c r="P334" s="395"/>
      <c r="Q334" s="395"/>
      <c r="R334" s="395"/>
    </row>
    <row r="335" spans="2:18" x14ac:dyDescent="0.25">
      <c r="B335" s="413"/>
      <c r="C335" s="395"/>
      <c r="D335" s="395"/>
      <c r="E335" s="395"/>
      <c r="F335" s="395"/>
      <c r="G335" s="1475"/>
      <c r="H335" s="395"/>
      <c r="I335" s="395"/>
      <c r="J335" s="395"/>
      <c r="K335" s="395"/>
      <c r="L335" s="395"/>
      <c r="M335" s="1484"/>
      <c r="N335" s="395"/>
      <c r="O335" s="395"/>
      <c r="P335" s="395"/>
      <c r="Q335" s="395"/>
      <c r="R335" s="395"/>
    </row>
    <row r="336" spans="2:18" x14ac:dyDescent="0.25">
      <c r="B336" s="413"/>
      <c r="C336" s="395"/>
      <c r="D336" s="395"/>
      <c r="E336" s="395"/>
      <c r="F336" s="395"/>
      <c r="G336" s="1475"/>
      <c r="H336" s="395"/>
      <c r="I336" s="395"/>
      <c r="J336" s="395"/>
      <c r="K336" s="395"/>
      <c r="L336" s="395"/>
      <c r="M336" s="1484"/>
      <c r="N336" s="395"/>
      <c r="O336" s="395"/>
      <c r="P336" s="395"/>
      <c r="Q336" s="395"/>
      <c r="R336" s="395"/>
    </row>
    <row r="337" spans="2:18" x14ac:dyDescent="0.25">
      <c r="B337" s="413"/>
      <c r="C337" s="395"/>
      <c r="D337" s="395"/>
      <c r="E337" s="395"/>
      <c r="F337" s="395"/>
      <c r="G337" s="1475"/>
      <c r="H337" s="395"/>
      <c r="I337" s="395"/>
      <c r="J337" s="395"/>
      <c r="K337" s="395"/>
      <c r="L337" s="395"/>
      <c r="M337" s="1484"/>
      <c r="N337" s="395"/>
      <c r="O337" s="395"/>
      <c r="P337" s="395"/>
      <c r="Q337" s="395"/>
      <c r="R337" s="395"/>
    </row>
    <row r="338" spans="2:18" x14ac:dyDescent="0.25">
      <c r="B338" s="413"/>
      <c r="C338" s="395"/>
      <c r="D338" s="395"/>
      <c r="E338" s="395"/>
      <c r="F338" s="395"/>
      <c r="G338" s="1475"/>
      <c r="H338" s="395"/>
      <c r="I338" s="395"/>
      <c r="J338" s="395"/>
      <c r="K338" s="395"/>
      <c r="L338" s="395"/>
      <c r="M338" s="1484"/>
      <c r="N338" s="395"/>
      <c r="O338" s="395"/>
      <c r="P338" s="395"/>
      <c r="Q338" s="395"/>
      <c r="R338" s="395"/>
    </row>
    <row r="339" spans="2:18" x14ac:dyDescent="0.25">
      <c r="B339" s="413"/>
      <c r="C339" s="395"/>
      <c r="D339" s="395"/>
      <c r="E339" s="395"/>
      <c r="F339" s="395"/>
      <c r="G339" s="1475"/>
      <c r="H339" s="395"/>
      <c r="I339" s="395"/>
      <c r="J339" s="395"/>
      <c r="K339" s="395"/>
      <c r="L339" s="395"/>
      <c r="M339" s="1484"/>
      <c r="N339" s="395"/>
      <c r="O339" s="395"/>
      <c r="P339" s="395"/>
      <c r="Q339" s="395"/>
      <c r="R339" s="395"/>
    </row>
    <row r="340" spans="2:18" x14ac:dyDescent="0.25">
      <c r="B340" s="413"/>
      <c r="C340" s="395"/>
      <c r="D340" s="395"/>
      <c r="E340" s="395"/>
      <c r="F340" s="395"/>
      <c r="G340" s="1475"/>
      <c r="H340" s="395"/>
      <c r="I340" s="395"/>
      <c r="J340" s="395"/>
      <c r="K340" s="395"/>
      <c r="L340" s="395"/>
      <c r="M340" s="1484"/>
      <c r="N340" s="395"/>
      <c r="O340" s="395"/>
      <c r="P340" s="395"/>
      <c r="Q340" s="395"/>
      <c r="R340" s="395"/>
    </row>
    <row r="341" spans="2:18" x14ac:dyDescent="0.25">
      <c r="B341" s="413"/>
      <c r="C341" s="395"/>
      <c r="D341" s="395"/>
      <c r="E341" s="395"/>
      <c r="F341" s="395"/>
      <c r="G341" s="1475"/>
      <c r="H341" s="395"/>
      <c r="I341" s="395"/>
      <c r="J341" s="395"/>
      <c r="K341" s="395"/>
      <c r="L341" s="395"/>
      <c r="M341" s="1484"/>
      <c r="N341" s="395"/>
      <c r="O341" s="395"/>
      <c r="P341" s="395"/>
      <c r="Q341" s="395"/>
      <c r="R341" s="395"/>
    </row>
    <row r="342" spans="2:18" x14ac:dyDescent="0.25">
      <c r="B342" s="413"/>
      <c r="C342" s="395"/>
      <c r="D342" s="395"/>
      <c r="E342" s="395"/>
      <c r="F342" s="395"/>
      <c r="G342" s="1475"/>
      <c r="H342" s="395"/>
      <c r="I342" s="395"/>
      <c r="J342" s="395"/>
      <c r="K342" s="395"/>
      <c r="L342" s="395"/>
      <c r="M342" s="1484"/>
      <c r="N342" s="395"/>
      <c r="O342" s="395"/>
      <c r="P342" s="395"/>
      <c r="Q342" s="395"/>
      <c r="R342" s="395"/>
    </row>
    <row r="343" spans="2:18" x14ac:dyDescent="0.25">
      <c r="B343" s="413"/>
      <c r="C343" s="395"/>
      <c r="D343" s="395"/>
      <c r="E343" s="395"/>
      <c r="F343" s="395"/>
      <c r="G343" s="1475"/>
      <c r="H343" s="395"/>
      <c r="I343" s="395"/>
      <c r="J343" s="395"/>
      <c r="K343" s="395"/>
      <c r="L343" s="395"/>
      <c r="M343" s="1484"/>
      <c r="N343" s="395"/>
      <c r="O343" s="395"/>
      <c r="P343" s="395"/>
      <c r="Q343" s="395"/>
      <c r="R343" s="395"/>
    </row>
    <row r="344" spans="2:18" x14ac:dyDescent="0.25">
      <c r="B344" s="413"/>
      <c r="C344" s="395"/>
      <c r="D344" s="395"/>
      <c r="E344" s="395"/>
      <c r="F344" s="395"/>
      <c r="G344" s="1475"/>
      <c r="H344" s="395"/>
      <c r="I344" s="395"/>
      <c r="J344" s="395"/>
      <c r="K344" s="395"/>
      <c r="L344" s="395"/>
      <c r="M344" s="1484"/>
      <c r="N344" s="395"/>
      <c r="O344" s="395"/>
      <c r="P344" s="395"/>
      <c r="Q344" s="395"/>
      <c r="R344" s="395"/>
    </row>
    <row r="345" spans="2:18" x14ac:dyDescent="0.25">
      <c r="B345" s="413"/>
      <c r="C345" s="395"/>
      <c r="D345" s="395"/>
      <c r="E345" s="395"/>
      <c r="F345" s="395"/>
      <c r="G345" s="1475"/>
      <c r="H345" s="395"/>
      <c r="I345" s="395"/>
      <c r="J345" s="395"/>
      <c r="K345" s="395"/>
      <c r="L345" s="395"/>
      <c r="M345" s="1484"/>
      <c r="N345" s="395"/>
      <c r="O345" s="395"/>
      <c r="P345" s="395"/>
      <c r="Q345" s="395"/>
      <c r="R345" s="395"/>
    </row>
    <row r="346" spans="2:18" x14ac:dyDescent="0.25">
      <c r="B346" s="413"/>
      <c r="C346" s="395"/>
      <c r="D346" s="395"/>
      <c r="E346" s="395"/>
      <c r="F346" s="395"/>
      <c r="G346" s="1475"/>
      <c r="H346" s="395"/>
      <c r="I346" s="395"/>
      <c r="J346" s="395"/>
      <c r="K346" s="395"/>
      <c r="L346" s="395"/>
      <c r="M346" s="1484"/>
      <c r="N346" s="395"/>
      <c r="O346" s="395"/>
      <c r="P346" s="395"/>
      <c r="Q346" s="395"/>
      <c r="R346" s="395"/>
    </row>
    <row r="347" spans="2:18" x14ac:dyDescent="0.25">
      <c r="B347" s="413"/>
      <c r="C347" s="395"/>
      <c r="D347" s="395"/>
      <c r="E347" s="395"/>
      <c r="F347" s="395"/>
      <c r="G347" s="1475"/>
      <c r="H347" s="395"/>
      <c r="I347" s="395"/>
      <c r="J347" s="395"/>
      <c r="K347" s="395"/>
      <c r="L347" s="395"/>
      <c r="M347" s="1484"/>
      <c r="N347" s="395"/>
      <c r="O347" s="395"/>
      <c r="P347" s="395"/>
      <c r="Q347" s="395"/>
      <c r="R347" s="395"/>
    </row>
    <row r="348" spans="2:18" x14ac:dyDescent="0.25">
      <c r="B348" s="413"/>
      <c r="C348" s="395"/>
      <c r="D348" s="395"/>
      <c r="E348" s="395"/>
      <c r="F348" s="395"/>
      <c r="G348" s="1475"/>
      <c r="H348" s="395"/>
      <c r="I348" s="395"/>
      <c r="J348" s="395"/>
      <c r="K348" s="395"/>
      <c r="L348" s="395"/>
      <c r="M348" s="1484"/>
      <c r="N348" s="395"/>
      <c r="O348" s="395"/>
      <c r="P348" s="395"/>
      <c r="Q348" s="395"/>
      <c r="R348" s="395"/>
    </row>
    <row r="349" spans="2:18" x14ac:dyDescent="0.25">
      <c r="B349" s="413"/>
      <c r="C349" s="395"/>
      <c r="D349" s="395"/>
      <c r="E349" s="395"/>
      <c r="F349" s="395"/>
      <c r="G349" s="1475"/>
      <c r="H349" s="395"/>
      <c r="I349" s="395"/>
      <c r="J349" s="395"/>
      <c r="K349" s="395"/>
      <c r="L349" s="395"/>
      <c r="M349" s="1484"/>
      <c r="N349" s="395"/>
      <c r="O349" s="395"/>
      <c r="P349" s="395"/>
      <c r="Q349" s="395"/>
      <c r="R349" s="395"/>
    </row>
    <row r="350" spans="2:18" x14ac:dyDescent="0.25">
      <c r="B350" s="413"/>
      <c r="C350" s="395"/>
      <c r="D350" s="395"/>
      <c r="E350" s="395"/>
      <c r="F350" s="395"/>
      <c r="G350" s="1475"/>
      <c r="H350" s="395"/>
      <c r="I350" s="395"/>
      <c r="J350" s="395"/>
      <c r="K350" s="395"/>
      <c r="L350" s="395"/>
      <c r="M350" s="1484"/>
      <c r="N350" s="395"/>
      <c r="O350" s="395"/>
      <c r="P350" s="395"/>
      <c r="Q350" s="395"/>
      <c r="R350" s="395"/>
    </row>
    <row r="351" spans="2:18" x14ac:dyDescent="0.25">
      <c r="B351" s="413"/>
      <c r="C351" s="395"/>
      <c r="D351" s="395"/>
      <c r="E351" s="395"/>
      <c r="F351" s="395"/>
      <c r="G351" s="1475"/>
      <c r="H351" s="395"/>
      <c r="I351" s="395"/>
      <c r="J351" s="395"/>
      <c r="K351" s="395"/>
      <c r="L351" s="395"/>
      <c r="M351" s="1484"/>
      <c r="N351" s="395"/>
      <c r="O351" s="395"/>
      <c r="P351" s="395"/>
      <c r="Q351" s="395"/>
      <c r="R351" s="395"/>
    </row>
    <row r="352" spans="2:18" x14ac:dyDescent="0.25">
      <c r="B352" s="413"/>
      <c r="C352" s="395"/>
      <c r="D352" s="395"/>
      <c r="E352" s="395"/>
      <c r="F352" s="395"/>
      <c r="G352" s="1475"/>
      <c r="H352" s="395"/>
      <c r="I352" s="395"/>
      <c r="J352" s="395"/>
      <c r="K352" s="395"/>
      <c r="L352" s="395"/>
      <c r="M352" s="1484"/>
      <c r="N352" s="395"/>
      <c r="O352" s="395"/>
      <c r="P352" s="395"/>
      <c r="Q352" s="395"/>
      <c r="R352" s="395"/>
    </row>
    <row r="353" spans="2:18" x14ac:dyDescent="0.25">
      <c r="B353" s="413"/>
      <c r="C353" s="395"/>
      <c r="D353" s="395"/>
      <c r="E353" s="395"/>
      <c r="F353" s="395"/>
      <c r="G353" s="1475"/>
      <c r="H353" s="395"/>
      <c r="I353" s="395"/>
      <c r="J353" s="395"/>
      <c r="K353" s="395"/>
      <c r="L353" s="395"/>
      <c r="M353" s="1484"/>
      <c r="N353" s="395"/>
      <c r="O353" s="395"/>
      <c r="P353" s="395"/>
      <c r="Q353" s="395"/>
      <c r="R353" s="395"/>
    </row>
    <row r="354" spans="2:18" x14ac:dyDescent="0.25">
      <c r="B354" s="413"/>
      <c r="C354" s="395"/>
      <c r="D354" s="395"/>
      <c r="E354" s="395"/>
      <c r="F354" s="395"/>
      <c r="G354" s="1475"/>
      <c r="H354" s="395"/>
      <c r="I354" s="395"/>
      <c r="J354" s="395"/>
      <c r="K354" s="395"/>
      <c r="L354" s="395"/>
      <c r="M354" s="1484"/>
      <c r="N354" s="395"/>
      <c r="O354" s="395"/>
      <c r="P354" s="395"/>
      <c r="Q354" s="395"/>
      <c r="R354" s="395"/>
    </row>
    <row r="355" spans="2:18" x14ac:dyDescent="0.25">
      <c r="B355" s="413"/>
      <c r="C355" s="395"/>
      <c r="D355" s="395"/>
      <c r="E355" s="395"/>
      <c r="F355" s="395"/>
      <c r="G355" s="1475"/>
      <c r="H355" s="395"/>
      <c r="I355" s="395"/>
      <c r="J355" s="395"/>
      <c r="K355" s="395"/>
      <c r="L355" s="395"/>
      <c r="M355" s="1484"/>
      <c r="N355" s="395"/>
      <c r="O355" s="395"/>
      <c r="P355" s="395"/>
      <c r="Q355" s="395"/>
      <c r="R355" s="395"/>
    </row>
    <row r="356" spans="2:18" x14ac:dyDescent="0.25">
      <c r="B356" s="413"/>
      <c r="C356" s="395"/>
      <c r="D356" s="395"/>
      <c r="E356" s="395"/>
      <c r="F356" s="395"/>
      <c r="G356" s="1475"/>
      <c r="H356" s="395"/>
      <c r="I356" s="395"/>
      <c r="J356" s="395"/>
      <c r="K356" s="395"/>
      <c r="L356" s="395"/>
      <c r="M356" s="1484"/>
      <c r="N356" s="395"/>
      <c r="O356" s="395"/>
      <c r="P356" s="395"/>
      <c r="Q356" s="395"/>
      <c r="R356" s="395"/>
    </row>
    <row r="357" spans="2:18" x14ac:dyDescent="0.25">
      <c r="B357" s="413"/>
      <c r="C357" s="395"/>
      <c r="D357" s="395"/>
      <c r="E357" s="395"/>
      <c r="F357" s="395"/>
      <c r="G357" s="1475"/>
      <c r="H357" s="395"/>
      <c r="I357" s="395"/>
      <c r="J357" s="395"/>
      <c r="K357" s="395"/>
      <c r="L357" s="395"/>
      <c r="M357" s="1484"/>
      <c r="N357" s="395"/>
      <c r="O357" s="395"/>
      <c r="P357" s="395"/>
      <c r="Q357" s="395"/>
      <c r="R357" s="395"/>
    </row>
    <row r="358" spans="2:18" x14ac:dyDescent="0.25">
      <c r="B358" s="413"/>
      <c r="C358" s="395"/>
      <c r="D358" s="395"/>
      <c r="E358" s="395"/>
      <c r="F358" s="395"/>
      <c r="G358" s="1475"/>
      <c r="H358" s="395"/>
      <c r="I358" s="395"/>
      <c r="J358" s="395"/>
      <c r="K358" s="395"/>
      <c r="L358" s="395"/>
      <c r="M358" s="1484"/>
      <c r="N358" s="395"/>
      <c r="O358" s="395"/>
      <c r="P358" s="395"/>
      <c r="Q358" s="395"/>
      <c r="R358" s="395"/>
    </row>
    <row r="359" spans="2:18" x14ac:dyDescent="0.25">
      <c r="B359" s="413"/>
      <c r="C359" s="395"/>
      <c r="D359" s="395"/>
      <c r="E359" s="395"/>
      <c r="F359" s="395"/>
      <c r="G359" s="1475"/>
      <c r="H359" s="395"/>
      <c r="I359" s="395"/>
      <c r="J359" s="395"/>
      <c r="K359" s="395"/>
      <c r="L359" s="395"/>
      <c r="M359" s="1484"/>
      <c r="N359" s="395"/>
      <c r="O359" s="395"/>
      <c r="P359" s="395"/>
      <c r="Q359" s="395"/>
      <c r="R359" s="395"/>
    </row>
    <row r="360" spans="2:18" x14ac:dyDescent="0.25">
      <c r="B360" s="413"/>
      <c r="C360" s="395"/>
      <c r="D360" s="395"/>
      <c r="E360" s="395"/>
      <c r="F360" s="395"/>
      <c r="G360" s="1475"/>
      <c r="H360" s="395"/>
      <c r="I360" s="395"/>
      <c r="J360" s="395"/>
      <c r="K360" s="395"/>
      <c r="L360" s="395"/>
      <c r="M360" s="1484"/>
      <c r="N360" s="395"/>
      <c r="O360" s="395"/>
      <c r="P360" s="395"/>
      <c r="Q360" s="395"/>
      <c r="R360" s="395"/>
    </row>
    <row r="361" spans="2:18" x14ac:dyDescent="0.25">
      <c r="B361" s="413"/>
      <c r="C361" s="395"/>
      <c r="D361" s="395"/>
      <c r="E361" s="395"/>
      <c r="F361" s="395"/>
      <c r="G361" s="1475"/>
      <c r="H361" s="395"/>
      <c r="I361" s="395"/>
      <c r="J361" s="395"/>
      <c r="K361" s="395"/>
      <c r="L361" s="395"/>
      <c r="M361" s="1484"/>
      <c r="N361" s="395"/>
      <c r="O361" s="395"/>
      <c r="P361" s="395"/>
      <c r="Q361" s="395"/>
      <c r="R361" s="395"/>
    </row>
    <row r="362" spans="2:18" x14ac:dyDescent="0.25">
      <c r="B362" s="413"/>
      <c r="C362" s="395"/>
      <c r="D362" s="395"/>
      <c r="E362" s="395"/>
      <c r="F362" s="395"/>
      <c r="G362" s="1475"/>
      <c r="H362" s="395"/>
      <c r="I362" s="395"/>
      <c r="J362" s="395"/>
      <c r="K362" s="395"/>
      <c r="L362" s="395"/>
      <c r="M362" s="1484"/>
      <c r="N362" s="395"/>
      <c r="O362" s="395"/>
      <c r="P362" s="395"/>
      <c r="Q362" s="395"/>
      <c r="R362" s="395"/>
    </row>
    <row r="363" spans="2:18" x14ac:dyDescent="0.25">
      <c r="B363" s="413"/>
      <c r="C363" s="395"/>
      <c r="D363" s="395"/>
      <c r="E363" s="395"/>
      <c r="F363" s="395"/>
      <c r="G363" s="1475"/>
      <c r="H363" s="395"/>
      <c r="I363" s="395"/>
      <c r="J363" s="395"/>
      <c r="K363" s="395"/>
      <c r="L363" s="395"/>
      <c r="M363" s="1484"/>
      <c r="N363" s="395"/>
      <c r="O363" s="395"/>
      <c r="P363" s="395"/>
      <c r="Q363" s="395"/>
      <c r="R363" s="395"/>
    </row>
    <row r="364" spans="2:18" x14ac:dyDescent="0.25">
      <c r="B364" s="413"/>
      <c r="C364" s="395"/>
      <c r="D364" s="395"/>
      <c r="E364" s="395"/>
      <c r="F364" s="395"/>
      <c r="G364" s="1475"/>
      <c r="H364" s="395"/>
      <c r="I364" s="395"/>
      <c r="J364" s="395"/>
      <c r="K364" s="395"/>
      <c r="L364" s="395"/>
      <c r="M364" s="1484"/>
      <c r="N364" s="395"/>
      <c r="O364" s="395"/>
      <c r="P364" s="395"/>
      <c r="Q364" s="395"/>
      <c r="R364" s="395"/>
    </row>
    <row r="365" spans="2:18" x14ac:dyDescent="0.25">
      <c r="B365" s="413"/>
      <c r="C365" s="395"/>
      <c r="D365" s="395"/>
      <c r="E365" s="395"/>
      <c r="F365" s="395"/>
      <c r="H365" s="395"/>
      <c r="I365" s="395"/>
      <c r="J365" s="395"/>
      <c r="K365" s="395"/>
      <c r="L365" s="395"/>
      <c r="N365" s="395"/>
      <c r="O365" s="395"/>
      <c r="P365" s="395"/>
      <c r="Q365" s="395"/>
      <c r="R365" s="395"/>
    </row>
    <row r="366" spans="2:18" x14ac:dyDescent="0.25">
      <c r="B366" s="413"/>
      <c r="C366" s="395"/>
      <c r="D366" s="395"/>
      <c r="E366" s="395"/>
      <c r="F366" s="395"/>
      <c r="H366" s="395"/>
      <c r="I366" s="395"/>
      <c r="J366" s="395"/>
      <c r="K366" s="395"/>
      <c r="L366" s="395"/>
      <c r="N366" s="395"/>
      <c r="O366" s="395"/>
      <c r="P366" s="395"/>
      <c r="Q366" s="395"/>
      <c r="R366" s="395"/>
    </row>
    <row r="367" spans="2:18" x14ac:dyDescent="0.25">
      <c r="B367" s="413"/>
      <c r="C367" s="395"/>
      <c r="D367" s="395"/>
      <c r="E367" s="395"/>
      <c r="F367" s="395"/>
      <c r="H367" s="395"/>
      <c r="I367" s="395"/>
      <c r="J367" s="395"/>
      <c r="K367" s="395"/>
      <c r="L367" s="395"/>
      <c r="N367" s="395"/>
      <c r="O367" s="395"/>
      <c r="P367" s="395"/>
      <c r="Q367" s="395"/>
      <c r="R367" s="395"/>
    </row>
    <row r="368" spans="2:18" x14ac:dyDescent="0.25">
      <c r="B368" s="413"/>
      <c r="C368" s="395"/>
      <c r="D368" s="395"/>
      <c r="E368" s="395"/>
      <c r="F368" s="395"/>
      <c r="H368" s="395"/>
      <c r="I368" s="395"/>
      <c r="J368" s="395"/>
      <c r="K368" s="395"/>
      <c r="L368" s="395"/>
      <c r="N368" s="395"/>
      <c r="O368" s="395"/>
      <c r="P368" s="395"/>
      <c r="Q368" s="395"/>
      <c r="R368" s="395"/>
    </row>
    <row r="369" spans="2:18" x14ac:dyDescent="0.25">
      <c r="B369" s="413"/>
      <c r="C369" s="395"/>
      <c r="D369" s="395"/>
      <c r="E369" s="395"/>
      <c r="F369" s="395"/>
      <c r="H369" s="395"/>
      <c r="I369" s="395"/>
      <c r="J369" s="395"/>
      <c r="K369" s="395"/>
      <c r="L369" s="395"/>
      <c r="N369" s="395"/>
      <c r="O369" s="395"/>
      <c r="P369" s="395"/>
      <c r="Q369" s="395"/>
      <c r="R369" s="395"/>
    </row>
    <row r="370" spans="2:18" x14ac:dyDescent="0.25">
      <c r="B370" s="413"/>
      <c r="C370" s="395"/>
      <c r="D370" s="395"/>
      <c r="E370" s="395"/>
      <c r="F370" s="395"/>
      <c r="H370" s="395"/>
      <c r="I370" s="395"/>
      <c r="J370" s="395"/>
      <c r="K370" s="395"/>
      <c r="L370" s="395"/>
      <c r="N370" s="395"/>
      <c r="O370" s="395"/>
      <c r="P370" s="395"/>
      <c r="Q370" s="395"/>
      <c r="R370" s="395"/>
    </row>
    <row r="371" spans="2:18" x14ac:dyDescent="0.25">
      <c r="B371" s="413"/>
      <c r="C371" s="395"/>
      <c r="D371" s="395"/>
      <c r="E371" s="395"/>
      <c r="F371" s="395"/>
      <c r="H371" s="395"/>
      <c r="I371" s="395"/>
      <c r="J371" s="395"/>
      <c r="K371" s="395"/>
      <c r="L371" s="395"/>
      <c r="N371" s="395"/>
      <c r="O371" s="395"/>
      <c r="P371" s="395"/>
      <c r="Q371" s="395"/>
      <c r="R371" s="395"/>
    </row>
    <row r="372" spans="2:18" x14ac:dyDescent="0.25">
      <c r="B372" s="413"/>
      <c r="C372" s="395"/>
      <c r="D372" s="395"/>
      <c r="E372" s="395"/>
      <c r="F372" s="395"/>
      <c r="H372" s="395"/>
      <c r="I372" s="395"/>
      <c r="J372" s="395"/>
      <c r="K372" s="395"/>
      <c r="L372" s="395"/>
      <c r="N372" s="395"/>
      <c r="O372" s="395"/>
      <c r="P372" s="395"/>
      <c r="Q372" s="395"/>
      <c r="R372" s="395"/>
    </row>
    <row r="373" spans="2:18" x14ac:dyDescent="0.25">
      <c r="B373" s="413"/>
      <c r="C373" s="395"/>
      <c r="D373" s="395"/>
      <c r="E373" s="395"/>
      <c r="F373" s="395"/>
      <c r="H373" s="395"/>
      <c r="I373" s="395"/>
      <c r="J373" s="395"/>
      <c r="K373" s="395"/>
      <c r="L373" s="395"/>
      <c r="N373" s="395"/>
      <c r="O373" s="395"/>
      <c r="P373" s="395"/>
      <c r="Q373" s="395"/>
      <c r="R373" s="395"/>
    </row>
    <row r="374" spans="2:18" x14ac:dyDescent="0.25">
      <c r="B374" s="413"/>
      <c r="C374" s="395"/>
      <c r="D374" s="395"/>
      <c r="E374" s="395"/>
      <c r="F374" s="395"/>
      <c r="H374" s="395"/>
      <c r="I374" s="395"/>
      <c r="J374" s="395"/>
      <c r="K374" s="395"/>
      <c r="L374" s="395"/>
      <c r="N374" s="395"/>
      <c r="O374" s="395"/>
      <c r="P374" s="395"/>
      <c r="Q374" s="395"/>
      <c r="R374" s="395"/>
    </row>
    <row r="375" spans="2:18" x14ac:dyDescent="0.25">
      <c r="B375" s="413"/>
      <c r="C375" s="395"/>
      <c r="D375" s="395"/>
      <c r="E375" s="395"/>
      <c r="F375" s="395"/>
      <c r="H375" s="395"/>
      <c r="I375" s="395"/>
      <c r="J375" s="395"/>
      <c r="K375" s="395"/>
      <c r="L375" s="395"/>
      <c r="N375" s="395"/>
      <c r="O375" s="395"/>
      <c r="P375" s="395"/>
      <c r="Q375" s="395"/>
      <c r="R375" s="395"/>
    </row>
    <row r="376" spans="2:18" x14ac:dyDescent="0.25">
      <c r="B376" s="413"/>
      <c r="C376" s="395"/>
      <c r="D376" s="395"/>
      <c r="E376" s="395"/>
      <c r="F376" s="395"/>
      <c r="H376" s="395"/>
      <c r="I376" s="395"/>
      <c r="J376" s="395"/>
      <c r="K376" s="395"/>
      <c r="L376" s="395"/>
      <c r="N376" s="395"/>
      <c r="O376" s="395"/>
      <c r="P376" s="395"/>
      <c r="Q376" s="395"/>
      <c r="R376" s="395"/>
    </row>
    <row r="377" spans="2:18" x14ac:dyDescent="0.25">
      <c r="B377" s="413"/>
      <c r="C377" s="395"/>
      <c r="D377" s="395"/>
      <c r="E377" s="395"/>
      <c r="F377" s="395"/>
      <c r="H377" s="395"/>
      <c r="I377" s="395"/>
      <c r="J377" s="395"/>
      <c r="K377" s="395"/>
      <c r="L377" s="395"/>
      <c r="N377" s="395"/>
      <c r="O377" s="395"/>
      <c r="P377" s="395"/>
      <c r="Q377" s="395"/>
      <c r="R377" s="395"/>
    </row>
    <row r="378" spans="2:18" x14ac:dyDescent="0.25">
      <c r="B378" s="413"/>
      <c r="C378" s="395"/>
      <c r="D378" s="395"/>
      <c r="E378" s="395"/>
      <c r="F378" s="395"/>
      <c r="H378" s="395"/>
      <c r="I378" s="395"/>
      <c r="J378" s="395"/>
      <c r="K378" s="395"/>
      <c r="L378" s="395"/>
      <c r="N378" s="395"/>
      <c r="O378" s="395"/>
      <c r="P378" s="395"/>
      <c r="Q378" s="395"/>
      <c r="R378" s="395"/>
    </row>
    <row r="379" spans="2:18" x14ac:dyDescent="0.25">
      <c r="B379" s="413"/>
      <c r="C379" s="395"/>
      <c r="D379" s="395"/>
      <c r="E379" s="395"/>
      <c r="F379" s="395"/>
      <c r="H379" s="395"/>
      <c r="I379" s="395"/>
      <c r="J379" s="395"/>
      <c r="K379" s="395"/>
      <c r="L379" s="395"/>
      <c r="N379" s="395"/>
      <c r="O379" s="395"/>
      <c r="P379" s="395"/>
      <c r="Q379" s="395"/>
      <c r="R379" s="395"/>
    </row>
    <row r="380" spans="2:18" x14ac:dyDescent="0.25">
      <c r="B380" s="413"/>
      <c r="C380" s="395"/>
      <c r="D380" s="395"/>
      <c r="E380" s="395"/>
      <c r="F380" s="395"/>
      <c r="H380" s="395"/>
      <c r="I380" s="395"/>
      <c r="J380" s="395"/>
      <c r="K380" s="395"/>
      <c r="L380" s="395"/>
      <c r="N380" s="395"/>
      <c r="O380" s="395"/>
      <c r="P380" s="395"/>
      <c r="Q380" s="395"/>
      <c r="R380" s="395"/>
    </row>
    <row r="381" spans="2:18" x14ac:dyDescent="0.25">
      <c r="B381" s="413"/>
      <c r="C381" s="395"/>
      <c r="D381" s="395"/>
      <c r="E381" s="395"/>
      <c r="F381" s="395"/>
      <c r="H381" s="395"/>
      <c r="I381" s="395"/>
      <c r="J381" s="395"/>
      <c r="K381" s="395"/>
      <c r="L381" s="395"/>
      <c r="N381" s="395"/>
      <c r="O381" s="395"/>
      <c r="P381" s="395"/>
      <c r="Q381" s="395"/>
      <c r="R381" s="395"/>
    </row>
    <row r="382" spans="2:18" x14ac:dyDescent="0.25">
      <c r="B382" s="413"/>
      <c r="C382" s="395"/>
      <c r="D382" s="395"/>
      <c r="E382" s="395"/>
      <c r="F382" s="395"/>
      <c r="H382" s="395"/>
      <c r="I382" s="395"/>
      <c r="J382" s="395"/>
      <c r="K382" s="395"/>
      <c r="L382" s="395"/>
      <c r="N382" s="395"/>
      <c r="O382" s="395"/>
      <c r="P382" s="395"/>
      <c r="Q382" s="395"/>
      <c r="R382" s="395"/>
    </row>
    <row r="383" spans="2:18" x14ac:dyDescent="0.25">
      <c r="B383" s="413"/>
      <c r="C383" s="395"/>
      <c r="D383" s="395"/>
      <c r="E383" s="395"/>
      <c r="F383" s="395"/>
      <c r="H383" s="395"/>
      <c r="I383" s="395"/>
      <c r="J383" s="395"/>
      <c r="K383" s="395"/>
      <c r="L383" s="395"/>
      <c r="N383" s="395"/>
      <c r="O383" s="395"/>
      <c r="P383" s="395"/>
      <c r="Q383" s="395"/>
      <c r="R383" s="395"/>
    </row>
    <row r="384" spans="2:18" x14ac:dyDescent="0.25">
      <c r="B384" s="413"/>
      <c r="C384" s="395"/>
      <c r="D384" s="395"/>
      <c r="E384" s="395"/>
      <c r="F384" s="395"/>
      <c r="H384" s="395"/>
      <c r="I384" s="395"/>
      <c r="J384" s="395"/>
      <c r="K384" s="395"/>
      <c r="L384" s="395"/>
      <c r="N384" s="395"/>
      <c r="O384" s="395"/>
      <c r="P384" s="395"/>
      <c r="Q384" s="395"/>
      <c r="R384" s="395"/>
    </row>
    <row r="385" spans="2:18" x14ac:dyDescent="0.25">
      <c r="B385" s="413"/>
      <c r="C385" s="395"/>
      <c r="D385" s="395"/>
      <c r="E385" s="395"/>
      <c r="F385" s="395"/>
      <c r="H385" s="395"/>
      <c r="I385" s="395"/>
      <c r="J385" s="395"/>
      <c r="K385" s="395"/>
      <c r="L385" s="395"/>
      <c r="N385" s="395"/>
      <c r="O385" s="395"/>
      <c r="P385" s="395"/>
      <c r="Q385" s="395"/>
      <c r="R385" s="395"/>
    </row>
    <row r="386" spans="2:18" x14ac:dyDescent="0.25">
      <c r="B386" s="413"/>
      <c r="C386" s="395"/>
      <c r="D386" s="395"/>
      <c r="E386" s="395"/>
      <c r="F386" s="395"/>
      <c r="H386" s="395"/>
      <c r="I386" s="395"/>
      <c r="J386" s="395"/>
      <c r="K386" s="395"/>
      <c r="L386" s="395"/>
      <c r="N386" s="395"/>
      <c r="O386" s="395"/>
      <c r="P386" s="395"/>
      <c r="Q386" s="395"/>
      <c r="R386" s="395"/>
    </row>
    <row r="387" spans="2:18" x14ac:dyDescent="0.25">
      <c r="B387" s="413"/>
      <c r="C387" s="395"/>
      <c r="D387" s="395"/>
      <c r="E387" s="395"/>
      <c r="F387" s="395"/>
      <c r="H387" s="395"/>
      <c r="I387" s="395"/>
      <c r="J387" s="395"/>
      <c r="K387" s="395"/>
      <c r="L387" s="395"/>
      <c r="N387" s="395"/>
      <c r="O387" s="395"/>
      <c r="P387" s="395"/>
      <c r="Q387" s="395"/>
      <c r="R387" s="395"/>
    </row>
    <row r="388" spans="2:18" x14ac:dyDescent="0.25">
      <c r="B388" s="413"/>
      <c r="C388" s="395"/>
      <c r="D388" s="395"/>
      <c r="E388" s="395"/>
      <c r="F388" s="395"/>
      <c r="H388" s="395"/>
      <c r="I388" s="395"/>
      <c r="J388" s="395"/>
      <c r="K388" s="395"/>
      <c r="L388" s="395"/>
      <c r="N388" s="395"/>
      <c r="O388" s="395"/>
      <c r="P388" s="395"/>
      <c r="Q388" s="395"/>
      <c r="R388" s="395"/>
    </row>
    <row r="389" spans="2:18" x14ac:dyDescent="0.25">
      <c r="B389" s="413"/>
      <c r="C389" s="395"/>
      <c r="D389" s="395"/>
      <c r="E389" s="395"/>
      <c r="F389" s="395"/>
      <c r="H389" s="395"/>
      <c r="I389" s="395"/>
      <c r="J389" s="395"/>
      <c r="K389" s="395"/>
      <c r="L389" s="395"/>
      <c r="N389" s="395"/>
      <c r="O389" s="395"/>
      <c r="P389" s="395"/>
      <c r="Q389" s="395"/>
      <c r="R389" s="395"/>
    </row>
    <row r="390" spans="2:18" x14ac:dyDescent="0.25">
      <c r="B390" s="413"/>
      <c r="C390" s="395"/>
      <c r="D390" s="395"/>
      <c r="E390" s="395"/>
      <c r="F390" s="395"/>
      <c r="H390" s="395"/>
      <c r="I390" s="395"/>
      <c r="J390" s="395"/>
      <c r="K390" s="395"/>
      <c r="L390" s="395"/>
      <c r="N390" s="395"/>
      <c r="O390" s="395"/>
      <c r="P390" s="395"/>
      <c r="Q390" s="395"/>
      <c r="R390" s="395"/>
    </row>
    <row r="391" spans="2:18" x14ac:dyDescent="0.25">
      <c r="B391" s="413"/>
      <c r="C391" s="395"/>
      <c r="D391" s="395"/>
      <c r="E391" s="395"/>
      <c r="F391" s="395"/>
      <c r="H391" s="395"/>
      <c r="I391" s="395"/>
      <c r="J391" s="395"/>
      <c r="K391" s="395"/>
      <c r="L391" s="395"/>
      <c r="N391" s="395"/>
      <c r="O391" s="395"/>
      <c r="P391" s="395"/>
      <c r="Q391" s="395"/>
      <c r="R391" s="395"/>
    </row>
    <row r="392" spans="2:18" x14ac:dyDescent="0.25">
      <c r="B392" s="413"/>
      <c r="C392" s="395"/>
      <c r="D392" s="395"/>
      <c r="E392" s="395"/>
      <c r="F392" s="395"/>
      <c r="H392" s="395"/>
      <c r="I392" s="395"/>
      <c r="J392" s="395"/>
      <c r="K392" s="395"/>
      <c r="L392" s="395"/>
      <c r="N392" s="395"/>
      <c r="O392" s="395"/>
      <c r="P392" s="395"/>
      <c r="Q392" s="395"/>
      <c r="R392" s="395"/>
    </row>
    <row r="393" spans="2:18" x14ac:dyDescent="0.25">
      <c r="B393" s="413"/>
      <c r="C393" s="395"/>
      <c r="D393" s="395"/>
      <c r="E393" s="395"/>
      <c r="F393" s="395"/>
      <c r="H393" s="395"/>
      <c r="I393" s="395"/>
      <c r="J393" s="395"/>
      <c r="K393" s="395"/>
      <c r="L393" s="395"/>
      <c r="N393" s="395"/>
      <c r="O393" s="395"/>
      <c r="P393" s="395"/>
      <c r="Q393" s="395"/>
      <c r="R393" s="395"/>
    </row>
    <row r="394" spans="2:18" x14ac:dyDescent="0.25">
      <c r="B394" s="413"/>
      <c r="C394" s="395"/>
      <c r="D394" s="395"/>
      <c r="E394" s="395"/>
      <c r="F394" s="395"/>
      <c r="H394" s="395"/>
      <c r="I394" s="395"/>
      <c r="J394" s="395"/>
      <c r="K394" s="395"/>
      <c r="L394" s="395"/>
      <c r="N394" s="395"/>
      <c r="O394" s="395"/>
      <c r="P394" s="395"/>
      <c r="Q394" s="395"/>
      <c r="R394" s="395"/>
    </row>
    <row r="395" spans="2:18" x14ac:dyDescent="0.25">
      <c r="B395" s="413"/>
      <c r="C395" s="395"/>
      <c r="D395" s="395"/>
      <c r="E395" s="395"/>
      <c r="F395" s="395"/>
      <c r="H395" s="395"/>
      <c r="I395" s="395"/>
      <c r="J395" s="395"/>
      <c r="K395" s="395"/>
      <c r="L395" s="395"/>
      <c r="N395" s="395"/>
      <c r="O395" s="395"/>
      <c r="P395" s="395"/>
      <c r="Q395" s="395"/>
      <c r="R395" s="395"/>
    </row>
    <row r="396" spans="2:18" x14ac:dyDescent="0.25">
      <c r="B396" s="413"/>
      <c r="C396" s="395"/>
      <c r="D396" s="395"/>
      <c r="E396" s="395"/>
      <c r="F396" s="395"/>
      <c r="H396" s="395"/>
      <c r="I396" s="395"/>
      <c r="J396" s="395"/>
      <c r="K396" s="395"/>
      <c r="L396" s="395"/>
      <c r="N396" s="395"/>
      <c r="O396" s="395"/>
      <c r="P396" s="395"/>
      <c r="Q396" s="395"/>
      <c r="R396" s="395"/>
    </row>
    <row r="397" spans="2:18" x14ac:dyDescent="0.25">
      <c r="B397" s="413"/>
      <c r="C397" s="395"/>
      <c r="D397" s="395"/>
      <c r="E397" s="395"/>
      <c r="F397" s="395"/>
      <c r="H397" s="395"/>
      <c r="I397" s="395"/>
      <c r="J397" s="395"/>
      <c r="K397" s="395"/>
      <c r="L397" s="395"/>
      <c r="N397" s="395"/>
      <c r="O397" s="395"/>
      <c r="P397" s="395"/>
      <c r="Q397" s="395"/>
      <c r="R397" s="395"/>
    </row>
    <row r="398" spans="2:18" x14ac:dyDescent="0.25">
      <c r="B398" s="413"/>
      <c r="C398" s="395"/>
      <c r="D398" s="395"/>
      <c r="E398" s="395"/>
      <c r="F398" s="395"/>
      <c r="H398" s="395"/>
      <c r="I398" s="395"/>
      <c r="J398" s="395"/>
      <c r="K398" s="395"/>
      <c r="L398" s="395"/>
      <c r="N398" s="395"/>
      <c r="O398" s="395"/>
      <c r="P398" s="395"/>
      <c r="Q398" s="395"/>
      <c r="R398" s="395"/>
    </row>
    <row r="399" spans="2:18" x14ac:dyDescent="0.25">
      <c r="B399" s="413"/>
      <c r="C399" s="395"/>
      <c r="D399" s="395"/>
      <c r="E399" s="395"/>
      <c r="F399" s="395"/>
      <c r="H399" s="395"/>
      <c r="I399" s="395"/>
      <c r="J399" s="395"/>
      <c r="K399" s="395"/>
      <c r="L399" s="395"/>
      <c r="N399" s="395"/>
      <c r="O399" s="395"/>
      <c r="P399" s="395"/>
      <c r="Q399" s="395"/>
      <c r="R399" s="395"/>
    </row>
    <row r="400" spans="2:18" x14ac:dyDescent="0.25">
      <c r="B400" s="413"/>
      <c r="C400" s="395"/>
      <c r="D400" s="395"/>
      <c r="E400" s="395"/>
      <c r="F400" s="395"/>
      <c r="H400" s="395"/>
      <c r="I400" s="395"/>
      <c r="J400" s="395"/>
      <c r="K400" s="395"/>
      <c r="L400" s="395"/>
      <c r="N400" s="395"/>
      <c r="O400" s="395"/>
      <c r="P400" s="395"/>
      <c r="Q400" s="395"/>
      <c r="R400" s="395"/>
    </row>
    <row r="401" spans="2:18" x14ac:dyDescent="0.25">
      <c r="B401" s="413"/>
      <c r="C401" s="395"/>
      <c r="D401" s="395"/>
      <c r="E401" s="395"/>
      <c r="F401" s="395"/>
      <c r="H401" s="395"/>
      <c r="I401" s="395"/>
      <c r="J401" s="395"/>
      <c r="K401" s="395"/>
      <c r="L401" s="395"/>
      <c r="N401" s="395"/>
      <c r="O401" s="395"/>
      <c r="P401" s="395"/>
      <c r="Q401" s="395"/>
      <c r="R401" s="395"/>
    </row>
    <row r="402" spans="2:18" x14ac:dyDescent="0.25">
      <c r="B402" s="413"/>
      <c r="C402" s="395"/>
      <c r="D402" s="395"/>
      <c r="E402" s="395"/>
      <c r="F402" s="395"/>
      <c r="H402" s="395"/>
      <c r="I402" s="395"/>
      <c r="J402" s="395"/>
      <c r="K402" s="395"/>
      <c r="L402" s="395"/>
      <c r="N402" s="395"/>
      <c r="O402" s="395"/>
      <c r="P402" s="395"/>
      <c r="Q402" s="395"/>
      <c r="R402" s="395"/>
    </row>
    <row r="403" spans="2:18" x14ac:dyDescent="0.25">
      <c r="B403" s="413"/>
      <c r="C403" s="395"/>
      <c r="D403" s="395"/>
      <c r="E403" s="395"/>
      <c r="F403" s="395"/>
      <c r="H403" s="395"/>
      <c r="I403" s="395"/>
      <c r="J403" s="395"/>
      <c r="K403" s="395"/>
      <c r="L403" s="395"/>
      <c r="N403" s="395"/>
      <c r="O403" s="395"/>
      <c r="P403" s="395"/>
      <c r="Q403" s="395"/>
      <c r="R403" s="395"/>
    </row>
    <row r="404" spans="2:18" x14ac:dyDescent="0.25">
      <c r="B404" s="413"/>
      <c r="C404" s="395"/>
      <c r="D404" s="395"/>
      <c r="E404" s="395"/>
      <c r="F404" s="395"/>
      <c r="H404" s="395"/>
      <c r="I404" s="395"/>
      <c r="J404" s="395"/>
      <c r="K404" s="395"/>
      <c r="L404" s="395"/>
      <c r="N404" s="395"/>
      <c r="O404" s="395"/>
      <c r="P404" s="395"/>
      <c r="Q404" s="395"/>
      <c r="R404" s="395"/>
    </row>
    <row r="405" spans="2:18" x14ac:dyDescent="0.25">
      <c r="B405" s="413"/>
      <c r="C405" s="395"/>
      <c r="D405" s="395"/>
      <c r="E405" s="395"/>
      <c r="F405" s="395"/>
      <c r="H405" s="395"/>
      <c r="I405" s="395"/>
      <c r="J405" s="395"/>
      <c r="K405" s="395"/>
      <c r="L405" s="395"/>
      <c r="N405" s="395"/>
      <c r="O405" s="395"/>
      <c r="P405" s="395"/>
      <c r="Q405" s="395"/>
      <c r="R405" s="395"/>
    </row>
    <row r="406" spans="2:18" x14ac:dyDescent="0.25">
      <c r="B406" s="413"/>
      <c r="C406" s="395"/>
      <c r="D406" s="395"/>
      <c r="E406" s="395"/>
      <c r="F406" s="395"/>
      <c r="H406" s="395"/>
      <c r="I406" s="395"/>
      <c r="J406" s="395"/>
      <c r="K406" s="395"/>
      <c r="L406" s="395"/>
      <c r="N406" s="395"/>
      <c r="O406" s="395"/>
      <c r="P406" s="395"/>
      <c r="Q406" s="395"/>
      <c r="R406" s="395"/>
    </row>
    <row r="407" spans="2:18" x14ac:dyDescent="0.25">
      <c r="B407" s="413"/>
      <c r="C407" s="395"/>
      <c r="D407" s="395"/>
      <c r="E407" s="395"/>
      <c r="F407" s="395"/>
      <c r="H407" s="395"/>
      <c r="I407" s="395"/>
      <c r="J407" s="395"/>
      <c r="K407" s="395"/>
      <c r="L407" s="395"/>
      <c r="N407" s="395"/>
      <c r="O407" s="395"/>
      <c r="P407" s="395"/>
      <c r="Q407" s="395"/>
      <c r="R407" s="395"/>
    </row>
    <row r="408" spans="2:18" x14ac:dyDescent="0.25">
      <c r="B408" s="413"/>
      <c r="C408" s="395"/>
      <c r="D408" s="395"/>
      <c r="E408" s="395"/>
      <c r="F408" s="395"/>
      <c r="H408" s="395"/>
      <c r="I408" s="395"/>
      <c r="J408" s="395"/>
      <c r="K408" s="395"/>
      <c r="L408" s="395"/>
      <c r="N408" s="395"/>
      <c r="O408" s="395"/>
      <c r="P408" s="395"/>
      <c r="Q408" s="395"/>
      <c r="R408" s="395"/>
    </row>
    <row r="409" spans="2:18" x14ac:dyDescent="0.25">
      <c r="B409" s="413"/>
      <c r="C409" s="395"/>
      <c r="D409" s="395"/>
      <c r="E409" s="395"/>
      <c r="F409" s="395"/>
      <c r="H409" s="395"/>
      <c r="I409" s="395"/>
      <c r="J409" s="395"/>
      <c r="K409" s="395"/>
      <c r="L409" s="395"/>
      <c r="N409" s="395"/>
      <c r="O409" s="395"/>
      <c r="P409" s="395"/>
      <c r="Q409" s="395"/>
      <c r="R409" s="395"/>
    </row>
    <row r="410" spans="2:18" x14ac:dyDescent="0.25">
      <c r="B410" s="413"/>
      <c r="C410" s="395"/>
      <c r="D410" s="395"/>
      <c r="E410" s="395"/>
      <c r="F410" s="395"/>
      <c r="H410" s="395"/>
      <c r="I410" s="395"/>
      <c r="J410" s="395"/>
      <c r="K410" s="395"/>
      <c r="L410" s="395"/>
      <c r="N410" s="395"/>
      <c r="O410" s="395"/>
      <c r="P410" s="395"/>
      <c r="Q410" s="395"/>
      <c r="R410" s="395"/>
    </row>
    <row r="411" spans="2:18" x14ac:dyDescent="0.25">
      <c r="B411" s="413"/>
      <c r="C411" s="395"/>
      <c r="D411" s="395"/>
      <c r="E411" s="395"/>
      <c r="F411" s="395"/>
      <c r="H411" s="395"/>
      <c r="I411" s="395"/>
      <c r="J411" s="395"/>
      <c r="K411" s="395"/>
      <c r="L411" s="395"/>
      <c r="N411" s="395"/>
      <c r="O411" s="395"/>
      <c r="P411" s="395"/>
      <c r="Q411" s="395"/>
      <c r="R411" s="395"/>
    </row>
    <row r="412" spans="2:18" x14ac:dyDescent="0.25">
      <c r="B412" s="413"/>
      <c r="C412" s="395"/>
      <c r="D412" s="395"/>
      <c r="E412" s="395"/>
      <c r="F412" s="395"/>
      <c r="H412" s="395"/>
      <c r="I412" s="395"/>
      <c r="J412" s="395"/>
      <c r="K412" s="395"/>
      <c r="L412" s="395"/>
      <c r="N412" s="395"/>
      <c r="O412" s="395"/>
      <c r="P412" s="395"/>
      <c r="Q412" s="395"/>
      <c r="R412" s="395"/>
    </row>
    <row r="413" spans="2:18" x14ac:dyDescent="0.25">
      <c r="B413" s="413"/>
      <c r="C413" s="395"/>
      <c r="D413" s="395"/>
      <c r="E413" s="395"/>
      <c r="F413" s="395"/>
      <c r="H413" s="395"/>
      <c r="I413" s="395"/>
      <c r="J413" s="395"/>
      <c r="K413" s="395"/>
      <c r="L413" s="395"/>
      <c r="N413" s="395"/>
      <c r="O413" s="395"/>
      <c r="P413" s="395"/>
      <c r="Q413" s="395"/>
      <c r="R413" s="395"/>
    </row>
    <row r="414" spans="2:18" x14ac:dyDescent="0.25">
      <c r="B414" s="413"/>
      <c r="C414" s="395"/>
      <c r="D414" s="395"/>
      <c r="E414" s="395"/>
      <c r="F414" s="395"/>
      <c r="H414" s="395"/>
      <c r="I414" s="395"/>
      <c r="J414" s="395"/>
      <c r="K414" s="395"/>
      <c r="L414" s="395"/>
      <c r="N414" s="395"/>
      <c r="O414" s="395"/>
      <c r="P414" s="395"/>
      <c r="Q414" s="395"/>
      <c r="R414" s="395"/>
    </row>
    <row r="415" spans="2:18" x14ac:dyDescent="0.25">
      <c r="B415" s="413"/>
      <c r="C415" s="395"/>
      <c r="D415" s="395"/>
      <c r="E415" s="395"/>
      <c r="F415" s="395"/>
      <c r="H415" s="395"/>
      <c r="I415" s="395"/>
      <c r="J415" s="395"/>
      <c r="K415" s="395"/>
      <c r="L415" s="395"/>
      <c r="N415" s="395"/>
      <c r="O415" s="395"/>
      <c r="P415" s="395"/>
      <c r="Q415" s="395"/>
      <c r="R415" s="395"/>
    </row>
    <row r="416" spans="2:18" x14ac:dyDescent="0.25">
      <c r="B416" s="413"/>
      <c r="C416" s="395"/>
      <c r="D416" s="395"/>
      <c r="E416" s="395"/>
      <c r="F416" s="395"/>
      <c r="H416" s="395"/>
      <c r="I416" s="395"/>
      <c r="J416" s="395"/>
      <c r="K416" s="395"/>
      <c r="L416" s="395"/>
      <c r="N416" s="395"/>
      <c r="O416" s="395"/>
      <c r="P416" s="395"/>
      <c r="Q416" s="395"/>
      <c r="R416" s="395"/>
    </row>
    <row r="417" spans="2:18" x14ac:dyDescent="0.25">
      <c r="B417" s="413"/>
      <c r="C417" s="395"/>
      <c r="D417" s="395"/>
      <c r="E417" s="395"/>
      <c r="F417" s="395"/>
      <c r="H417" s="395"/>
      <c r="I417" s="395"/>
      <c r="J417" s="395"/>
      <c r="K417" s="395"/>
      <c r="L417" s="395"/>
      <c r="N417" s="395"/>
      <c r="O417" s="395"/>
      <c r="P417" s="395"/>
      <c r="Q417" s="395"/>
      <c r="R417" s="395"/>
    </row>
    <row r="418" spans="2:18" x14ac:dyDescent="0.25">
      <c r="B418" s="413"/>
      <c r="C418" s="395"/>
      <c r="D418" s="395"/>
      <c r="E418" s="395"/>
      <c r="F418" s="395"/>
      <c r="H418" s="395"/>
      <c r="I418" s="395"/>
      <c r="J418" s="395"/>
      <c r="K418" s="395"/>
      <c r="L418" s="395"/>
      <c r="N418" s="395"/>
      <c r="O418" s="395"/>
      <c r="P418" s="395"/>
      <c r="Q418" s="395"/>
      <c r="R418" s="395"/>
    </row>
    <row r="419" spans="2:18" x14ac:dyDescent="0.25">
      <c r="B419" s="413"/>
      <c r="C419" s="395"/>
      <c r="D419" s="395"/>
      <c r="E419" s="395"/>
      <c r="F419" s="395"/>
      <c r="H419" s="395"/>
      <c r="I419" s="395"/>
      <c r="J419" s="395"/>
      <c r="K419" s="395"/>
      <c r="L419" s="395"/>
      <c r="N419" s="395"/>
      <c r="O419" s="395"/>
      <c r="P419" s="395"/>
      <c r="Q419" s="395"/>
      <c r="R419" s="395"/>
    </row>
    <row r="420" spans="2:18" x14ac:dyDescent="0.25">
      <c r="B420" s="413"/>
      <c r="C420" s="395"/>
      <c r="D420" s="395"/>
      <c r="E420" s="395"/>
      <c r="F420" s="395"/>
      <c r="H420" s="395"/>
      <c r="I420" s="395"/>
      <c r="J420" s="395"/>
      <c r="K420" s="395"/>
      <c r="L420" s="395"/>
      <c r="N420" s="395"/>
      <c r="O420" s="395"/>
      <c r="P420" s="395"/>
      <c r="Q420" s="395"/>
      <c r="R420" s="395"/>
    </row>
    <row r="421" spans="2:18" x14ac:dyDescent="0.25">
      <c r="B421" s="413"/>
      <c r="C421" s="395"/>
      <c r="D421" s="395"/>
      <c r="E421" s="395"/>
      <c r="F421" s="395"/>
      <c r="H421" s="395"/>
      <c r="I421" s="395"/>
      <c r="J421" s="395"/>
      <c r="K421" s="395"/>
      <c r="L421" s="395"/>
      <c r="N421" s="395"/>
      <c r="O421" s="395"/>
      <c r="P421" s="395"/>
      <c r="Q421" s="395"/>
      <c r="R421" s="395"/>
    </row>
    <row r="422" spans="2:18" x14ac:dyDescent="0.25">
      <c r="B422" s="413"/>
      <c r="C422" s="395"/>
      <c r="D422" s="395"/>
      <c r="E422" s="395"/>
      <c r="F422" s="395"/>
      <c r="H422" s="395"/>
      <c r="I422" s="395"/>
      <c r="J422" s="395"/>
      <c r="K422" s="395"/>
      <c r="L422" s="395"/>
      <c r="N422" s="395"/>
      <c r="O422" s="395"/>
      <c r="P422" s="395"/>
      <c r="Q422" s="395"/>
      <c r="R422" s="395"/>
    </row>
    <row r="423" spans="2:18" x14ac:dyDescent="0.25">
      <c r="B423" s="413"/>
      <c r="C423" s="395"/>
      <c r="D423" s="395"/>
      <c r="E423" s="395"/>
      <c r="F423" s="395"/>
      <c r="H423" s="395"/>
      <c r="I423" s="395"/>
      <c r="J423" s="395"/>
      <c r="K423" s="395"/>
      <c r="L423" s="395"/>
      <c r="N423" s="395"/>
      <c r="O423" s="395"/>
      <c r="P423" s="395"/>
      <c r="Q423" s="395"/>
      <c r="R423" s="395"/>
    </row>
    <row r="424" spans="2:18" x14ac:dyDescent="0.25">
      <c r="B424" s="413"/>
      <c r="C424" s="395"/>
      <c r="D424" s="395"/>
      <c r="E424" s="395"/>
      <c r="F424" s="395"/>
      <c r="H424" s="395"/>
      <c r="I424" s="395"/>
      <c r="J424" s="395"/>
      <c r="K424" s="395"/>
      <c r="L424" s="395"/>
      <c r="N424" s="395"/>
      <c r="O424" s="395"/>
      <c r="P424" s="395"/>
      <c r="Q424" s="395"/>
      <c r="R424" s="395"/>
    </row>
    <row r="425" spans="2:18" x14ac:dyDescent="0.25">
      <c r="B425" s="413"/>
      <c r="C425" s="395"/>
      <c r="D425" s="395"/>
      <c r="E425" s="395"/>
      <c r="F425" s="395"/>
      <c r="H425" s="395"/>
      <c r="I425" s="395"/>
      <c r="J425" s="395"/>
      <c r="K425" s="395"/>
      <c r="L425" s="395"/>
      <c r="N425" s="395"/>
      <c r="O425" s="395"/>
      <c r="P425" s="395"/>
      <c r="Q425" s="395"/>
      <c r="R425" s="395"/>
    </row>
    <row r="426" spans="2:18" x14ac:dyDescent="0.25">
      <c r="B426" s="413"/>
      <c r="C426" s="395"/>
      <c r="D426" s="395"/>
      <c r="E426" s="395"/>
      <c r="F426" s="395"/>
      <c r="H426" s="395"/>
      <c r="I426" s="395"/>
      <c r="J426" s="395"/>
      <c r="K426" s="395"/>
      <c r="L426" s="395"/>
      <c r="N426" s="395"/>
      <c r="O426" s="395"/>
      <c r="P426" s="395"/>
      <c r="Q426" s="395"/>
      <c r="R426" s="395"/>
    </row>
    <row r="427" spans="2:18" x14ac:dyDescent="0.25">
      <c r="B427" s="413"/>
      <c r="C427" s="395"/>
      <c r="D427" s="395"/>
      <c r="E427" s="395"/>
      <c r="F427" s="395"/>
      <c r="H427" s="395"/>
      <c r="I427" s="395"/>
      <c r="J427" s="395"/>
      <c r="K427" s="395"/>
      <c r="L427" s="395"/>
      <c r="N427" s="395"/>
      <c r="O427" s="395"/>
      <c r="P427" s="395"/>
      <c r="Q427" s="395"/>
      <c r="R427" s="395"/>
    </row>
    <row r="428" spans="2:18" x14ac:dyDescent="0.25">
      <c r="B428" s="413"/>
      <c r="C428" s="395"/>
      <c r="D428" s="395"/>
      <c r="E428" s="395"/>
      <c r="F428" s="395"/>
      <c r="H428" s="395"/>
      <c r="I428" s="395"/>
      <c r="J428" s="395"/>
      <c r="K428" s="395"/>
      <c r="L428" s="395"/>
      <c r="N428" s="395"/>
      <c r="O428" s="395"/>
      <c r="P428" s="395"/>
      <c r="Q428" s="395"/>
      <c r="R428" s="395"/>
    </row>
    <row r="429" spans="2:18" x14ac:dyDescent="0.25">
      <c r="B429" s="413"/>
      <c r="C429" s="395"/>
      <c r="D429" s="395"/>
      <c r="E429" s="395"/>
      <c r="F429" s="395"/>
      <c r="H429" s="395"/>
      <c r="I429" s="395"/>
      <c r="J429" s="395"/>
      <c r="K429" s="395"/>
      <c r="L429" s="395"/>
      <c r="N429" s="395"/>
      <c r="O429" s="395"/>
      <c r="P429" s="395"/>
      <c r="Q429" s="395"/>
      <c r="R429" s="395"/>
    </row>
    <row r="430" spans="2:18" x14ac:dyDescent="0.25">
      <c r="B430" s="413"/>
      <c r="C430" s="395"/>
      <c r="D430" s="395"/>
      <c r="E430" s="395"/>
      <c r="F430" s="395"/>
      <c r="H430" s="395"/>
      <c r="I430" s="395"/>
      <c r="J430" s="395"/>
      <c r="K430" s="395"/>
      <c r="L430" s="395"/>
      <c r="N430" s="395"/>
      <c r="O430" s="395"/>
      <c r="P430" s="395"/>
      <c r="Q430" s="395"/>
      <c r="R430" s="395"/>
    </row>
    <row r="431" spans="2:18" x14ac:dyDescent="0.25">
      <c r="B431" s="413"/>
      <c r="C431" s="395"/>
      <c r="D431" s="395"/>
      <c r="E431" s="395"/>
      <c r="F431" s="395"/>
      <c r="H431" s="395"/>
      <c r="I431" s="395"/>
      <c r="J431" s="395"/>
      <c r="K431" s="395"/>
      <c r="L431" s="395"/>
      <c r="N431" s="395"/>
      <c r="O431" s="395"/>
      <c r="P431" s="395"/>
      <c r="Q431" s="395"/>
      <c r="R431" s="395"/>
    </row>
    <row r="432" spans="2:18" x14ac:dyDescent="0.25">
      <c r="B432" s="413"/>
      <c r="C432" s="395"/>
      <c r="D432" s="395"/>
      <c r="E432" s="395"/>
      <c r="F432" s="395"/>
      <c r="H432" s="395"/>
      <c r="I432" s="395"/>
      <c r="J432" s="395"/>
      <c r="K432" s="395"/>
      <c r="L432" s="395"/>
      <c r="N432" s="395"/>
      <c r="O432" s="395"/>
      <c r="P432" s="395"/>
      <c r="Q432" s="395"/>
      <c r="R432" s="395"/>
    </row>
    <row r="433" spans="2:18" x14ac:dyDescent="0.25">
      <c r="B433" s="413"/>
      <c r="C433" s="395"/>
      <c r="D433" s="395"/>
      <c r="E433" s="395"/>
      <c r="F433" s="395"/>
      <c r="H433" s="395"/>
      <c r="I433" s="395"/>
      <c r="J433" s="395"/>
      <c r="K433" s="395"/>
      <c r="L433" s="395"/>
      <c r="N433" s="395"/>
      <c r="O433" s="395"/>
      <c r="P433" s="395"/>
      <c r="Q433" s="395"/>
      <c r="R433" s="395"/>
    </row>
    <row r="434" spans="2:18" x14ac:dyDescent="0.25">
      <c r="B434" s="413"/>
      <c r="C434" s="395"/>
      <c r="D434" s="395"/>
      <c r="E434" s="395"/>
      <c r="F434" s="395"/>
      <c r="H434" s="395"/>
      <c r="I434" s="395"/>
      <c r="J434" s="395"/>
      <c r="K434" s="395"/>
      <c r="L434" s="395"/>
      <c r="N434" s="395"/>
      <c r="O434" s="395"/>
      <c r="P434" s="395"/>
      <c r="Q434" s="395"/>
      <c r="R434" s="395"/>
    </row>
    <row r="435" spans="2:18" x14ac:dyDescent="0.25">
      <c r="B435" s="413"/>
      <c r="C435" s="395"/>
      <c r="D435" s="395"/>
      <c r="E435" s="395"/>
      <c r="F435" s="395"/>
      <c r="H435" s="395"/>
      <c r="I435" s="395"/>
      <c r="J435" s="395"/>
      <c r="K435" s="395"/>
      <c r="L435" s="395"/>
      <c r="N435" s="395"/>
      <c r="O435" s="395"/>
      <c r="P435" s="395"/>
      <c r="Q435" s="395"/>
      <c r="R435" s="395"/>
    </row>
    <row r="436" spans="2:18" x14ac:dyDescent="0.25">
      <c r="B436" s="413"/>
      <c r="C436" s="395"/>
      <c r="D436" s="395"/>
      <c r="E436" s="395"/>
      <c r="F436" s="395"/>
      <c r="H436" s="395"/>
      <c r="I436" s="395"/>
      <c r="J436" s="395"/>
      <c r="K436" s="395"/>
      <c r="L436" s="395"/>
      <c r="N436" s="395"/>
      <c r="O436" s="395"/>
      <c r="P436" s="395"/>
      <c r="Q436" s="395"/>
      <c r="R436" s="395"/>
    </row>
    <row r="437" spans="2:18" x14ac:dyDescent="0.25">
      <c r="B437" s="413"/>
      <c r="C437" s="395"/>
      <c r="D437" s="395"/>
      <c r="E437" s="395"/>
      <c r="F437" s="395"/>
      <c r="H437" s="395"/>
      <c r="I437" s="395"/>
      <c r="J437" s="395"/>
      <c r="K437" s="395"/>
      <c r="L437" s="395"/>
      <c r="N437" s="395"/>
      <c r="O437" s="395"/>
      <c r="P437" s="395"/>
      <c r="Q437" s="395"/>
      <c r="R437" s="395"/>
    </row>
    <row r="438" spans="2:18" x14ac:dyDescent="0.25">
      <c r="B438" s="413"/>
      <c r="C438" s="395"/>
      <c r="D438" s="395"/>
      <c r="E438" s="395"/>
      <c r="F438" s="395"/>
      <c r="H438" s="395"/>
      <c r="I438" s="395"/>
      <c r="J438" s="395"/>
      <c r="K438" s="395"/>
      <c r="L438" s="395"/>
      <c r="N438" s="395"/>
      <c r="O438" s="395"/>
      <c r="P438" s="395"/>
      <c r="Q438" s="395"/>
      <c r="R438" s="395"/>
    </row>
    <row r="439" spans="2:18" x14ac:dyDescent="0.25">
      <c r="B439" s="413"/>
      <c r="C439" s="395"/>
      <c r="D439" s="395"/>
      <c r="E439" s="395"/>
      <c r="F439" s="395"/>
      <c r="H439" s="395"/>
      <c r="I439" s="395"/>
      <c r="J439" s="395"/>
      <c r="K439" s="395"/>
      <c r="L439" s="395"/>
      <c r="N439" s="395"/>
      <c r="O439" s="395"/>
      <c r="P439" s="395"/>
      <c r="Q439" s="395"/>
      <c r="R439" s="395"/>
    </row>
    <row r="440" spans="2:18" x14ac:dyDescent="0.25">
      <c r="B440" s="413"/>
      <c r="C440" s="395"/>
      <c r="D440" s="395"/>
      <c r="E440" s="395"/>
      <c r="F440" s="395"/>
      <c r="H440" s="395"/>
      <c r="I440" s="395"/>
      <c r="J440" s="395"/>
      <c r="K440" s="395"/>
      <c r="L440" s="395"/>
      <c r="N440" s="395"/>
      <c r="O440" s="395"/>
      <c r="P440" s="395"/>
      <c r="Q440" s="395"/>
      <c r="R440" s="395"/>
    </row>
    <row r="441" spans="2:18" x14ac:dyDescent="0.25">
      <c r="B441" s="413"/>
      <c r="C441" s="395"/>
      <c r="D441" s="395"/>
      <c r="E441" s="395"/>
      <c r="F441" s="395"/>
      <c r="H441" s="395"/>
      <c r="I441" s="395"/>
      <c r="J441" s="395"/>
      <c r="K441" s="395"/>
      <c r="L441" s="395"/>
      <c r="N441" s="395"/>
      <c r="O441" s="395"/>
      <c r="P441" s="395"/>
      <c r="Q441" s="395"/>
      <c r="R441" s="395"/>
    </row>
    <row r="442" spans="2:18" x14ac:dyDescent="0.25">
      <c r="B442" s="413"/>
      <c r="C442" s="395"/>
      <c r="D442" s="395"/>
      <c r="E442" s="395"/>
      <c r="F442" s="395"/>
      <c r="H442" s="395"/>
      <c r="I442" s="395"/>
      <c r="J442" s="395"/>
      <c r="K442" s="395"/>
      <c r="L442" s="395"/>
      <c r="N442" s="395"/>
      <c r="O442" s="395"/>
      <c r="P442" s="395"/>
      <c r="Q442" s="395"/>
      <c r="R442" s="395"/>
    </row>
    <row r="443" spans="2:18" x14ac:dyDescent="0.25">
      <c r="B443" s="413"/>
      <c r="C443" s="395"/>
      <c r="D443" s="395"/>
      <c r="E443" s="395"/>
      <c r="F443" s="395"/>
      <c r="H443" s="395"/>
      <c r="I443" s="395"/>
      <c r="J443" s="395"/>
      <c r="K443" s="395"/>
      <c r="L443" s="395"/>
      <c r="N443" s="395"/>
      <c r="O443" s="395"/>
      <c r="P443" s="395"/>
      <c r="Q443" s="395"/>
      <c r="R443" s="395"/>
    </row>
    <row r="444" spans="2:18" x14ac:dyDescent="0.25">
      <c r="B444" s="413"/>
      <c r="C444" s="395"/>
      <c r="D444" s="395"/>
      <c r="E444" s="395"/>
      <c r="F444" s="395"/>
      <c r="H444" s="395"/>
      <c r="I444" s="395"/>
      <c r="J444" s="395"/>
      <c r="K444" s="395"/>
      <c r="L444" s="395"/>
      <c r="N444" s="395"/>
      <c r="O444" s="395"/>
      <c r="P444" s="395"/>
      <c r="Q444" s="395"/>
      <c r="R444" s="395"/>
    </row>
    <row r="445" spans="2:18" x14ac:dyDescent="0.25">
      <c r="B445" s="413"/>
      <c r="C445" s="395"/>
      <c r="D445" s="395"/>
      <c r="E445" s="395"/>
      <c r="F445" s="395"/>
      <c r="H445" s="395"/>
      <c r="I445" s="395"/>
      <c r="J445" s="395"/>
      <c r="K445" s="395"/>
      <c r="L445" s="395"/>
      <c r="N445" s="395"/>
      <c r="O445" s="395"/>
      <c r="P445" s="395"/>
      <c r="Q445" s="395"/>
      <c r="R445" s="395"/>
    </row>
    <row r="446" spans="2:18" x14ac:dyDescent="0.25">
      <c r="B446" s="413"/>
      <c r="C446" s="395"/>
      <c r="D446" s="395"/>
      <c r="E446" s="395"/>
      <c r="F446" s="395"/>
      <c r="H446" s="395"/>
      <c r="I446" s="395"/>
      <c r="J446" s="395"/>
      <c r="K446" s="395"/>
      <c r="L446" s="395"/>
      <c r="N446" s="395"/>
      <c r="O446" s="395"/>
      <c r="P446" s="395"/>
      <c r="Q446" s="395"/>
      <c r="R446" s="395"/>
    </row>
    <row r="447" spans="2:18" x14ac:dyDescent="0.25">
      <c r="B447" s="413"/>
      <c r="C447" s="395"/>
      <c r="D447" s="395"/>
      <c r="E447" s="395"/>
      <c r="F447" s="395"/>
      <c r="H447" s="395"/>
      <c r="I447" s="395"/>
      <c r="J447" s="395"/>
      <c r="K447" s="395"/>
      <c r="L447" s="395"/>
      <c r="N447" s="395"/>
      <c r="O447" s="395"/>
      <c r="P447" s="395"/>
      <c r="Q447" s="395"/>
      <c r="R447" s="395"/>
    </row>
    <row r="448" spans="2:18" x14ac:dyDescent="0.25">
      <c r="B448" s="413"/>
      <c r="C448" s="395"/>
      <c r="D448" s="395"/>
      <c r="E448" s="395"/>
      <c r="F448" s="395"/>
      <c r="H448" s="395"/>
      <c r="I448" s="395"/>
      <c r="J448" s="395"/>
      <c r="K448" s="395"/>
      <c r="L448" s="395"/>
      <c r="N448" s="395"/>
      <c r="O448" s="395"/>
      <c r="P448" s="395"/>
      <c r="Q448" s="395"/>
      <c r="R448" s="395"/>
    </row>
    <row r="449" spans="2:18" x14ac:dyDescent="0.25">
      <c r="B449" s="413"/>
      <c r="C449" s="395"/>
      <c r="D449" s="395"/>
      <c r="E449" s="395"/>
      <c r="F449" s="395"/>
      <c r="H449" s="395"/>
      <c r="I449" s="395"/>
      <c r="J449" s="395"/>
      <c r="K449" s="395"/>
      <c r="L449" s="395"/>
      <c r="N449" s="395"/>
      <c r="O449" s="395"/>
      <c r="P449" s="395"/>
      <c r="Q449" s="395"/>
      <c r="R449" s="395"/>
    </row>
    <row r="450" spans="2:18" x14ac:dyDescent="0.25">
      <c r="B450" s="413"/>
      <c r="C450" s="395"/>
      <c r="D450" s="395"/>
      <c r="E450" s="395"/>
      <c r="F450" s="395"/>
      <c r="H450" s="395"/>
      <c r="I450" s="395"/>
      <c r="J450" s="395"/>
      <c r="K450" s="395"/>
      <c r="L450" s="395"/>
      <c r="N450" s="395"/>
      <c r="O450" s="395"/>
      <c r="P450" s="395"/>
      <c r="Q450" s="395"/>
      <c r="R450" s="395"/>
    </row>
    <row r="451" spans="2:18" x14ac:dyDescent="0.25">
      <c r="B451" s="413"/>
      <c r="C451" s="395"/>
      <c r="D451" s="395"/>
      <c r="E451" s="395"/>
      <c r="F451" s="395"/>
      <c r="H451" s="395"/>
      <c r="I451" s="395"/>
      <c r="J451" s="395"/>
      <c r="K451" s="395"/>
      <c r="L451" s="395"/>
      <c r="N451" s="395"/>
      <c r="O451" s="395"/>
      <c r="P451" s="395"/>
      <c r="Q451" s="395"/>
      <c r="R451" s="395"/>
    </row>
    <row r="452" spans="2:18" x14ac:dyDescent="0.25">
      <c r="B452" s="413"/>
      <c r="C452" s="395"/>
      <c r="D452" s="395"/>
      <c r="E452" s="395"/>
      <c r="F452" s="395"/>
      <c r="H452" s="395"/>
      <c r="I452" s="395"/>
      <c r="J452" s="395"/>
      <c r="K452" s="395"/>
      <c r="L452" s="395"/>
      <c r="N452" s="395"/>
      <c r="O452" s="395"/>
      <c r="P452" s="395"/>
      <c r="Q452" s="395"/>
      <c r="R452" s="395"/>
    </row>
    <row r="453" spans="2:18" x14ac:dyDescent="0.25">
      <c r="B453" s="413"/>
      <c r="C453" s="395"/>
      <c r="D453" s="395"/>
      <c r="E453" s="395"/>
      <c r="F453" s="395"/>
      <c r="H453" s="395"/>
      <c r="I453" s="395"/>
      <c r="J453" s="395"/>
      <c r="K453" s="395"/>
      <c r="L453" s="395"/>
      <c r="N453" s="395"/>
      <c r="O453" s="395"/>
      <c r="P453" s="395"/>
      <c r="Q453" s="395"/>
      <c r="R453" s="395"/>
    </row>
    <row r="454" spans="2:18" x14ac:dyDescent="0.25">
      <c r="B454" s="413"/>
      <c r="C454" s="395"/>
      <c r="D454" s="395"/>
      <c r="E454" s="395"/>
      <c r="F454" s="395"/>
      <c r="H454" s="395"/>
      <c r="I454" s="395"/>
      <c r="J454" s="395"/>
      <c r="K454" s="395"/>
      <c r="L454" s="395"/>
      <c r="N454" s="395"/>
      <c r="O454" s="395"/>
      <c r="P454" s="395"/>
      <c r="Q454" s="395"/>
      <c r="R454" s="395"/>
    </row>
    <row r="455" spans="2:18" x14ac:dyDescent="0.25">
      <c r="B455" s="413"/>
      <c r="C455" s="395"/>
      <c r="D455" s="395"/>
      <c r="E455" s="395"/>
      <c r="F455" s="395"/>
      <c r="H455" s="395"/>
      <c r="I455" s="395"/>
      <c r="J455" s="395"/>
      <c r="K455" s="395"/>
      <c r="L455" s="395"/>
      <c r="N455" s="395"/>
      <c r="O455" s="395"/>
      <c r="P455" s="395"/>
      <c r="Q455" s="395"/>
      <c r="R455" s="395"/>
    </row>
    <row r="456" spans="2:18" x14ac:dyDescent="0.25">
      <c r="B456" s="413"/>
      <c r="C456" s="395"/>
      <c r="D456" s="395"/>
      <c r="E456" s="395"/>
      <c r="F456" s="395"/>
      <c r="H456" s="395"/>
      <c r="I456" s="395"/>
      <c r="J456" s="395"/>
      <c r="K456" s="395"/>
      <c r="L456" s="395"/>
      <c r="N456" s="395"/>
      <c r="O456" s="395"/>
      <c r="P456" s="395"/>
      <c r="Q456" s="395"/>
      <c r="R456" s="395"/>
    </row>
    <row r="457" spans="2:18" x14ac:dyDescent="0.25">
      <c r="B457" s="413"/>
      <c r="C457" s="395"/>
      <c r="D457" s="395"/>
      <c r="E457" s="395"/>
      <c r="F457" s="395"/>
      <c r="H457" s="395"/>
      <c r="I457" s="395"/>
      <c r="J457" s="395"/>
      <c r="K457" s="395"/>
      <c r="L457" s="395"/>
      <c r="N457" s="395"/>
      <c r="O457" s="395"/>
      <c r="P457" s="395"/>
      <c r="Q457" s="395"/>
      <c r="R457" s="395"/>
    </row>
    <row r="458" spans="2:18" x14ac:dyDescent="0.25">
      <c r="B458" s="413"/>
      <c r="C458" s="395"/>
      <c r="D458" s="395"/>
      <c r="E458" s="395"/>
      <c r="F458" s="395"/>
      <c r="H458" s="395"/>
      <c r="I458" s="395"/>
      <c r="J458" s="395"/>
      <c r="K458" s="395"/>
      <c r="L458" s="395"/>
      <c r="N458" s="395"/>
      <c r="O458" s="395"/>
      <c r="P458" s="395"/>
      <c r="Q458" s="395"/>
      <c r="R458" s="395"/>
    </row>
    <row r="459" spans="2:18" x14ac:dyDescent="0.25">
      <c r="B459" s="413"/>
      <c r="C459" s="395"/>
      <c r="D459" s="395"/>
      <c r="E459" s="395"/>
      <c r="F459" s="395"/>
      <c r="H459" s="395"/>
      <c r="I459" s="395"/>
      <c r="J459" s="395"/>
      <c r="K459" s="395"/>
      <c r="L459" s="395"/>
      <c r="N459" s="395"/>
      <c r="O459" s="395"/>
      <c r="P459" s="395"/>
      <c r="Q459" s="395"/>
      <c r="R459" s="395"/>
    </row>
    <row r="460" spans="2:18" x14ac:dyDescent="0.25">
      <c r="B460" s="413"/>
      <c r="C460" s="395"/>
      <c r="D460" s="395"/>
      <c r="E460" s="395"/>
      <c r="F460" s="395"/>
      <c r="H460" s="395"/>
      <c r="I460" s="395"/>
      <c r="J460" s="395"/>
      <c r="K460" s="395"/>
      <c r="L460" s="395"/>
      <c r="N460" s="395"/>
      <c r="O460" s="395"/>
      <c r="P460" s="395"/>
      <c r="Q460" s="395"/>
      <c r="R460" s="395"/>
    </row>
    <row r="461" spans="2:18" x14ac:dyDescent="0.25">
      <c r="B461" s="413"/>
      <c r="C461" s="395"/>
      <c r="D461" s="395"/>
      <c r="E461" s="395"/>
      <c r="F461" s="395"/>
      <c r="H461" s="395"/>
      <c r="I461" s="395"/>
      <c r="J461" s="395"/>
      <c r="K461" s="395"/>
      <c r="L461" s="395"/>
      <c r="N461" s="395"/>
      <c r="O461" s="395"/>
      <c r="P461" s="395"/>
      <c r="Q461" s="395"/>
      <c r="R461" s="395"/>
    </row>
    <row r="462" spans="2:18" x14ac:dyDescent="0.25">
      <c r="B462" s="413"/>
      <c r="C462" s="395"/>
      <c r="D462" s="395"/>
      <c r="E462" s="395"/>
      <c r="F462" s="395"/>
      <c r="H462" s="395"/>
      <c r="I462" s="395"/>
      <c r="J462" s="395"/>
      <c r="K462" s="395"/>
      <c r="L462" s="395"/>
      <c r="N462" s="395"/>
      <c r="O462" s="395"/>
      <c r="P462" s="395"/>
      <c r="Q462" s="395"/>
      <c r="R462" s="395"/>
    </row>
    <row r="463" spans="2:18" x14ac:dyDescent="0.25">
      <c r="B463" s="413"/>
      <c r="C463" s="395"/>
      <c r="D463" s="395"/>
      <c r="E463" s="395"/>
      <c r="F463" s="395"/>
      <c r="H463" s="395"/>
      <c r="I463" s="395"/>
      <c r="J463" s="395"/>
      <c r="K463" s="395"/>
      <c r="L463" s="395"/>
      <c r="N463" s="395"/>
      <c r="O463" s="395"/>
      <c r="P463" s="395"/>
      <c r="Q463" s="395"/>
      <c r="R463" s="395"/>
    </row>
    <row r="464" spans="2:18" x14ac:dyDescent="0.25">
      <c r="B464" s="413"/>
      <c r="C464" s="395"/>
      <c r="D464" s="395"/>
      <c r="E464" s="395"/>
      <c r="F464" s="395"/>
      <c r="H464" s="395"/>
      <c r="I464" s="395"/>
      <c r="J464" s="395"/>
      <c r="K464" s="395"/>
      <c r="L464" s="395"/>
      <c r="N464" s="395"/>
      <c r="O464" s="395"/>
      <c r="P464" s="395"/>
      <c r="Q464" s="395"/>
      <c r="R464" s="395"/>
    </row>
    <row r="465" spans="2:18" x14ac:dyDescent="0.25">
      <c r="B465" s="413"/>
      <c r="C465" s="395"/>
      <c r="D465" s="395"/>
      <c r="E465" s="395"/>
      <c r="F465" s="395"/>
      <c r="H465" s="395"/>
      <c r="I465" s="395"/>
      <c r="J465" s="395"/>
      <c r="K465" s="395"/>
      <c r="L465" s="395"/>
      <c r="N465" s="395"/>
      <c r="O465" s="395"/>
      <c r="P465" s="395"/>
      <c r="Q465" s="395"/>
      <c r="R465" s="395"/>
    </row>
    <row r="466" spans="2:18" x14ac:dyDescent="0.25">
      <c r="B466" s="413"/>
      <c r="C466" s="395"/>
      <c r="D466" s="395"/>
      <c r="E466" s="395"/>
      <c r="F466" s="395"/>
      <c r="H466" s="395"/>
      <c r="I466" s="395"/>
      <c r="J466" s="395"/>
      <c r="K466" s="395"/>
      <c r="L466" s="395"/>
      <c r="N466" s="395"/>
      <c r="O466" s="395"/>
      <c r="P466" s="395"/>
      <c r="Q466" s="395"/>
      <c r="R466" s="395"/>
    </row>
    <row r="467" spans="2:18" x14ac:dyDescent="0.25">
      <c r="B467" s="413"/>
      <c r="C467" s="395"/>
      <c r="D467" s="395"/>
      <c r="E467" s="395"/>
      <c r="F467" s="395"/>
      <c r="H467" s="395"/>
      <c r="I467" s="395"/>
      <c r="J467" s="395"/>
      <c r="K467" s="395"/>
      <c r="L467" s="395"/>
      <c r="N467" s="395"/>
      <c r="O467" s="395"/>
      <c r="P467" s="395"/>
      <c r="Q467" s="395"/>
      <c r="R467" s="395"/>
    </row>
    <row r="468" spans="2:18" x14ac:dyDescent="0.25">
      <c r="B468" s="413"/>
      <c r="C468" s="395"/>
      <c r="D468" s="395"/>
      <c r="E468" s="395"/>
      <c r="F468" s="395"/>
      <c r="H468" s="395"/>
      <c r="I468" s="395"/>
      <c r="J468" s="395"/>
      <c r="K468" s="395"/>
      <c r="L468" s="395"/>
      <c r="N468" s="395"/>
      <c r="O468" s="395"/>
      <c r="P468" s="395"/>
      <c r="Q468" s="395"/>
      <c r="R468" s="395"/>
    </row>
    <row r="469" spans="2:18" x14ac:dyDescent="0.25">
      <c r="B469" s="413"/>
      <c r="C469" s="395"/>
      <c r="D469" s="395"/>
      <c r="E469" s="395"/>
      <c r="F469" s="395"/>
      <c r="H469" s="395"/>
      <c r="I469" s="395"/>
      <c r="J469" s="395"/>
      <c r="K469" s="395"/>
      <c r="L469" s="395"/>
      <c r="N469" s="395"/>
      <c r="O469" s="395"/>
      <c r="P469" s="395"/>
      <c r="Q469" s="395"/>
      <c r="R469" s="395"/>
    </row>
    <row r="470" spans="2:18" x14ac:dyDescent="0.25">
      <c r="B470" s="413"/>
      <c r="C470" s="395"/>
      <c r="D470" s="395"/>
      <c r="E470" s="395"/>
      <c r="F470" s="395"/>
      <c r="H470" s="395"/>
      <c r="I470" s="395"/>
      <c r="J470" s="395"/>
      <c r="K470" s="395"/>
      <c r="L470" s="395"/>
      <c r="N470" s="395"/>
      <c r="O470" s="395"/>
      <c r="P470" s="395"/>
      <c r="Q470" s="395"/>
      <c r="R470" s="395"/>
    </row>
    <row r="471" spans="2:18" x14ac:dyDescent="0.25">
      <c r="B471" s="413"/>
      <c r="C471" s="395"/>
      <c r="D471" s="395"/>
      <c r="E471" s="395"/>
      <c r="F471" s="395"/>
      <c r="H471" s="395"/>
      <c r="I471" s="395"/>
      <c r="J471" s="395"/>
      <c r="K471" s="395"/>
      <c r="L471" s="395"/>
      <c r="N471" s="395"/>
      <c r="O471" s="395"/>
      <c r="P471" s="395"/>
      <c r="Q471" s="395"/>
      <c r="R471" s="395"/>
    </row>
    <row r="472" spans="2:18" x14ac:dyDescent="0.25">
      <c r="B472" s="413"/>
      <c r="C472" s="395"/>
      <c r="D472" s="395"/>
      <c r="E472" s="395"/>
      <c r="F472" s="395"/>
      <c r="H472" s="395"/>
      <c r="I472" s="395"/>
      <c r="J472" s="395"/>
      <c r="K472" s="395"/>
      <c r="L472" s="395"/>
      <c r="N472" s="395"/>
      <c r="O472" s="395"/>
      <c r="P472" s="395"/>
      <c r="Q472" s="395"/>
      <c r="R472" s="395"/>
    </row>
    <row r="473" spans="2:18" x14ac:dyDescent="0.25">
      <c r="B473" s="413"/>
      <c r="C473" s="395"/>
      <c r="D473" s="395"/>
      <c r="E473" s="395"/>
      <c r="F473" s="395"/>
      <c r="H473" s="395"/>
      <c r="I473" s="395"/>
      <c r="J473" s="395"/>
      <c r="K473" s="395"/>
      <c r="L473" s="395"/>
      <c r="N473" s="395"/>
      <c r="O473" s="395"/>
      <c r="P473" s="395"/>
      <c r="Q473" s="395"/>
      <c r="R473" s="395"/>
    </row>
    <row r="474" spans="2:18" x14ac:dyDescent="0.25">
      <c r="B474" s="413"/>
      <c r="C474" s="395"/>
      <c r="D474" s="395"/>
      <c r="E474" s="395"/>
      <c r="F474" s="395"/>
      <c r="H474" s="395"/>
      <c r="I474" s="395"/>
      <c r="J474" s="395"/>
      <c r="K474" s="395"/>
      <c r="L474" s="395"/>
      <c r="N474" s="395"/>
      <c r="O474" s="395"/>
      <c r="P474" s="395"/>
      <c r="Q474" s="395"/>
      <c r="R474" s="395"/>
    </row>
    <row r="475" spans="2:18" x14ac:dyDescent="0.25">
      <c r="B475" s="413"/>
      <c r="C475" s="395"/>
      <c r="D475" s="395"/>
      <c r="E475" s="395"/>
      <c r="F475" s="395"/>
      <c r="H475" s="395"/>
      <c r="I475" s="395"/>
      <c r="J475" s="395"/>
      <c r="K475" s="395"/>
      <c r="L475" s="395"/>
      <c r="N475" s="395"/>
      <c r="O475" s="395"/>
      <c r="P475" s="395"/>
      <c r="Q475" s="395"/>
      <c r="R475" s="395"/>
    </row>
    <row r="476" spans="2:18" x14ac:dyDescent="0.25">
      <c r="B476" s="413"/>
      <c r="C476" s="395"/>
      <c r="D476" s="395"/>
      <c r="E476" s="395"/>
      <c r="F476" s="395"/>
      <c r="H476" s="395"/>
      <c r="I476" s="395"/>
      <c r="J476" s="395"/>
      <c r="K476" s="395"/>
      <c r="L476" s="395"/>
      <c r="N476" s="395"/>
      <c r="O476" s="395"/>
      <c r="P476" s="395"/>
      <c r="Q476" s="395"/>
      <c r="R476" s="395"/>
    </row>
    <row r="477" spans="2:18" x14ac:dyDescent="0.25">
      <c r="B477" s="413"/>
      <c r="C477" s="395"/>
      <c r="D477" s="395"/>
      <c r="E477" s="395"/>
      <c r="F477" s="395"/>
      <c r="H477" s="395"/>
      <c r="I477" s="395"/>
      <c r="J477" s="395"/>
      <c r="K477" s="395"/>
      <c r="L477" s="395"/>
      <c r="N477" s="395"/>
      <c r="O477" s="395"/>
      <c r="P477" s="395"/>
      <c r="Q477" s="395"/>
      <c r="R477" s="395"/>
    </row>
    <row r="478" spans="2:18" x14ac:dyDescent="0.25">
      <c r="B478" s="413"/>
      <c r="C478" s="395"/>
      <c r="D478" s="395"/>
      <c r="E478" s="395"/>
      <c r="F478" s="395"/>
      <c r="H478" s="395"/>
      <c r="I478" s="395"/>
      <c r="J478" s="395"/>
      <c r="K478" s="395"/>
      <c r="L478" s="395"/>
      <c r="N478" s="395"/>
      <c r="O478" s="395"/>
      <c r="P478" s="395"/>
      <c r="Q478" s="395"/>
      <c r="R478" s="395"/>
    </row>
    <row r="479" spans="2:18" x14ac:dyDescent="0.25">
      <c r="B479" s="413"/>
      <c r="C479" s="395"/>
      <c r="D479" s="395"/>
      <c r="E479" s="395"/>
      <c r="F479" s="395"/>
      <c r="H479" s="395"/>
      <c r="I479" s="395"/>
      <c r="J479" s="395"/>
      <c r="K479" s="395"/>
      <c r="L479" s="395"/>
      <c r="N479" s="395"/>
      <c r="O479" s="395"/>
      <c r="P479" s="395"/>
      <c r="Q479" s="395"/>
      <c r="R479" s="395"/>
    </row>
    <row r="480" spans="2:18" x14ac:dyDescent="0.25">
      <c r="B480" s="413"/>
      <c r="C480" s="395"/>
      <c r="D480" s="395"/>
      <c r="E480" s="395"/>
      <c r="F480" s="395"/>
      <c r="H480" s="395"/>
      <c r="I480" s="395"/>
      <c r="J480" s="395"/>
      <c r="K480" s="395"/>
      <c r="L480" s="395"/>
      <c r="N480" s="395"/>
      <c r="O480" s="395"/>
      <c r="P480" s="395"/>
      <c r="Q480" s="395"/>
      <c r="R480" s="395"/>
    </row>
    <row r="481" spans="2:18" x14ac:dyDescent="0.25">
      <c r="B481" s="413"/>
      <c r="C481" s="395"/>
      <c r="D481" s="395"/>
      <c r="E481" s="395"/>
      <c r="F481" s="395"/>
      <c r="H481" s="395"/>
      <c r="I481" s="395"/>
      <c r="J481" s="395"/>
      <c r="K481" s="395"/>
      <c r="L481" s="395"/>
      <c r="N481" s="395"/>
      <c r="O481" s="395"/>
      <c r="P481" s="395"/>
      <c r="Q481" s="395"/>
      <c r="R481" s="395"/>
    </row>
    <row r="482" spans="2:18" x14ac:dyDescent="0.25">
      <c r="B482" s="413"/>
      <c r="C482" s="395"/>
      <c r="D482" s="395"/>
      <c r="E482" s="395"/>
      <c r="F482" s="395"/>
      <c r="H482" s="395"/>
      <c r="I482" s="395"/>
      <c r="J482" s="395"/>
      <c r="K482" s="395"/>
      <c r="L482" s="395"/>
      <c r="N482" s="395"/>
      <c r="O482" s="395"/>
      <c r="P482" s="395"/>
      <c r="Q482" s="395"/>
      <c r="R482" s="395"/>
    </row>
    <row r="483" spans="2:18" x14ac:dyDescent="0.25">
      <c r="B483" s="413"/>
      <c r="C483" s="395"/>
      <c r="D483" s="395"/>
      <c r="E483" s="395"/>
      <c r="F483" s="395"/>
      <c r="H483" s="395"/>
      <c r="I483" s="395"/>
      <c r="J483" s="395"/>
      <c r="K483" s="395"/>
      <c r="L483" s="395"/>
      <c r="N483" s="395"/>
      <c r="O483" s="395"/>
      <c r="P483" s="395"/>
      <c r="Q483" s="395"/>
      <c r="R483" s="395"/>
    </row>
    <row r="484" spans="2:18" x14ac:dyDescent="0.25">
      <c r="B484" s="413"/>
      <c r="C484" s="395"/>
      <c r="D484" s="395"/>
      <c r="E484" s="395"/>
      <c r="F484" s="395"/>
      <c r="H484" s="395"/>
      <c r="I484" s="395"/>
      <c r="J484" s="395"/>
      <c r="K484" s="395"/>
      <c r="L484" s="395"/>
      <c r="N484" s="395"/>
      <c r="O484" s="395"/>
      <c r="P484" s="395"/>
      <c r="Q484" s="395"/>
      <c r="R484" s="395"/>
    </row>
    <row r="485" spans="2:18" x14ac:dyDescent="0.25">
      <c r="B485" s="413"/>
      <c r="C485" s="395"/>
      <c r="D485" s="395"/>
      <c r="E485" s="395"/>
      <c r="F485" s="395"/>
      <c r="H485" s="395"/>
      <c r="I485" s="395"/>
      <c r="J485" s="395"/>
      <c r="K485" s="395"/>
      <c r="L485" s="395"/>
      <c r="N485" s="395"/>
      <c r="O485" s="395"/>
      <c r="P485" s="395"/>
      <c r="Q485" s="395"/>
      <c r="R485" s="395"/>
    </row>
    <row r="486" spans="2:18" x14ac:dyDescent="0.25">
      <c r="B486" s="413"/>
      <c r="C486" s="395"/>
      <c r="D486" s="395"/>
      <c r="E486" s="395"/>
      <c r="F486" s="395"/>
      <c r="H486" s="395"/>
      <c r="I486" s="395"/>
      <c r="J486" s="395"/>
      <c r="K486" s="395"/>
      <c r="L486" s="395"/>
      <c r="N486" s="395"/>
      <c r="O486" s="395"/>
      <c r="P486" s="395"/>
      <c r="Q486" s="395"/>
      <c r="R486" s="395"/>
    </row>
    <row r="487" spans="2:18" x14ac:dyDescent="0.25">
      <c r="B487" s="413"/>
      <c r="C487" s="395"/>
      <c r="D487" s="395"/>
      <c r="E487" s="395"/>
      <c r="F487" s="395"/>
      <c r="H487" s="395"/>
      <c r="I487" s="395"/>
      <c r="J487" s="395"/>
      <c r="K487" s="395"/>
      <c r="L487" s="395"/>
      <c r="N487" s="395"/>
      <c r="O487" s="395"/>
      <c r="P487" s="395"/>
      <c r="Q487" s="395"/>
      <c r="R487" s="395"/>
    </row>
    <row r="488" spans="2:18" x14ac:dyDescent="0.25">
      <c r="B488" s="413"/>
      <c r="C488" s="395"/>
      <c r="D488" s="395"/>
      <c r="E488" s="395"/>
      <c r="F488" s="395"/>
      <c r="H488" s="395"/>
      <c r="I488" s="395"/>
      <c r="J488" s="395"/>
      <c r="K488" s="395"/>
      <c r="L488" s="395"/>
      <c r="N488" s="395"/>
      <c r="O488" s="395"/>
      <c r="P488" s="395"/>
      <c r="Q488" s="395"/>
      <c r="R488" s="395"/>
    </row>
    <row r="489" spans="2:18" x14ac:dyDescent="0.25">
      <c r="B489" s="413"/>
      <c r="C489" s="395"/>
      <c r="D489" s="395"/>
      <c r="E489" s="395"/>
      <c r="F489" s="395"/>
      <c r="H489" s="395"/>
      <c r="I489" s="395"/>
      <c r="J489" s="395"/>
      <c r="K489" s="395"/>
      <c r="L489" s="395"/>
      <c r="N489" s="395"/>
      <c r="O489" s="395"/>
      <c r="P489" s="395"/>
      <c r="Q489" s="395"/>
      <c r="R489" s="395"/>
    </row>
    <row r="490" spans="2:18" x14ac:dyDescent="0.25">
      <c r="B490" s="413"/>
      <c r="C490" s="395"/>
      <c r="D490" s="395"/>
      <c r="E490" s="395"/>
      <c r="F490" s="395"/>
      <c r="H490" s="395"/>
      <c r="I490" s="395"/>
      <c r="J490" s="395"/>
      <c r="K490" s="395"/>
      <c r="L490" s="395"/>
      <c r="N490" s="395"/>
      <c r="O490" s="395"/>
      <c r="P490" s="395"/>
      <c r="Q490" s="395"/>
      <c r="R490" s="395"/>
    </row>
    <row r="491" spans="2:18" x14ac:dyDescent="0.25">
      <c r="B491" s="413"/>
      <c r="C491" s="395"/>
      <c r="D491" s="395"/>
      <c r="E491" s="395"/>
      <c r="F491" s="395"/>
      <c r="H491" s="395"/>
      <c r="I491" s="395"/>
      <c r="J491" s="395"/>
      <c r="K491" s="395"/>
      <c r="L491" s="395"/>
      <c r="N491" s="395"/>
      <c r="O491" s="395"/>
      <c r="P491" s="395"/>
      <c r="Q491" s="395"/>
      <c r="R491" s="395"/>
    </row>
    <row r="492" spans="2:18" x14ac:dyDescent="0.25">
      <c r="B492" s="413"/>
      <c r="C492" s="395"/>
      <c r="D492" s="395"/>
      <c r="E492" s="395"/>
      <c r="F492" s="395"/>
      <c r="H492" s="395"/>
      <c r="I492" s="395"/>
      <c r="J492" s="395"/>
      <c r="K492" s="395"/>
      <c r="L492" s="395"/>
      <c r="N492" s="395"/>
      <c r="O492" s="395"/>
      <c r="P492" s="395"/>
      <c r="Q492" s="395"/>
      <c r="R492" s="395"/>
    </row>
    <row r="493" spans="2:18" x14ac:dyDescent="0.25">
      <c r="B493" s="413"/>
      <c r="C493" s="395"/>
      <c r="D493" s="395"/>
      <c r="E493" s="395"/>
      <c r="F493" s="395"/>
      <c r="H493" s="395"/>
      <c r="I493" s="395"/>
      <c r="J493" s="395"/>
      <c r="K493" s="395"/>
      <c r="L493" s="395"/>
      <c r="N493" s="395"/>
      <c r="O493" s="395"/>
      <c r="P493" s="395"/>
      <c r="Q493" s="395"/>
      <c r="R493" s="395"/>
    </row>
    <row r="494" spans="2:18" x14ac:dyDescent="0.25">
      <c r="B494" s="413"/>
      <c r="C494" s="395"/>
      <c r="D494" s="395"/>
      <c r="E494" s="395"/>
      <c r="F494" s="395"/>
      <c r="H494" s="395"/>
      <c r="I494" s="395"/>
      <c r="J494" s="395"/>
      <c r="K494" s="395"/>
      <c r="L494" s="395"/>
      <c r="N494" s="395"/>
      <c r="O494" s="395"/>
      <c r="P494" s="395"/>
      <c r="Q494" s="395"/>
      <c r="R494" s="395"/>
    </row>
    <row r="495" spans="2:18" x14ac:dyDescent="0.25">
      <c r="B495" s="413"/>
      <c r="C495" s="395"/>
      <c r="D495" s="395"/>
      <c r="E495" s="395"/>
      <c r="F495" s="395"/>
      <c r="H495" s="395"/>
      <c r="I495" s="395"/>
      <c r="J495" s="395"/>
      <c r="K495" s="395"/>
      <c r="L495" s="395"/>
      <c r="N495" s="395"/>
      <c r="O495" s="395"/>
      <c r="P495" s="395"/>
      <c r="Q495" s="395"/>
      <c r="R495" s="395"/>
    </row>
    <row r="496" spans="2:18" x14ac:dyDescent="0.25">
      <c r="B496" s="413"/>
      <c r="C496" s="395"/>
      <c r="D496" s="395"/>
      <c r="E496" s="395"/>
      <c r="F496" s="395"/>
      <c r="H496" s="395"/>
      <c r="I496" s="395"/>
      <c r="J496" s="395"/>
      <c r="K496" s="395"/>
      <c r="L496" s="395"/>
      <c r="N496" s="395"/>
      <c r="O496" s="395"/>
      <c r="P496" s="395"/>
      <c r="Q496" s="395"/>
      <c r="R496" s="395"/>
    </row>
    <row r="497" spans="2:18" x14ac:dyDescent="0.25">
      <c r="B497" s="413"/>
      <c r="C497" s="395"/>
      <c r="D497" s="395"/>
      <c r="E497" s="395"/>
      <c r="F497" s="395"/>
      <c r="H497" s="395"/>
      <c r="I497" s="395"/>
      <c r="J497" s="395"/>
      <c r="K497" s="395"/>
      <c r="L497" s="395"/>
      <c r="N497" s="395"/>
      <c r="O497" s="395"/>
      <c r="P497" s="395"/>
      <c r="Q497" s="395"/>
      <c r="R497" s="395"/>
    </row>
    <row r="498" spans="2:18" x14ac:dyDescent="0.25">
      <c r="B498" s="413"/>
      <c r="C498" s="395"/>
      <c r="D498" s="395"/>
      <c r="E498" s="395"/>
      <c r="F498" s="395"/>
      <c r="H498" s="395"/>
      <c r="I498" s="395"/>
      <c r="J498" s="395"/>
      <c r="K498" s="395"/>
      <c r="L498" s="395"/>
      <c r="N498" s="395"/>
      <c r="O498" s="395"/>
      <c r="P498" s="395"/>
      <c r="Q498" s="395"/>
      <c r="R498" s="395"/>
    </row>
    <row r="499" spans="2:18" x14ac:dyDescent="0.25">
      <c r="B499" s="413"/>
      <c r="C499" s="395"/>
      <c r="D499" s="395"/>
      <c r="E499" s="395"/>
      <c r="F499" s="395"/>
      <c r="H499" s="395"/>
      <c r="I499" s="395"/>
      <c r="J499" s="395"/>
      <c r="K499" s="395"/>
      <c r="L499" s="395"/>
      <c r="N499" s="395"/>
      <c r="O499" s="395"/>
      <c r="P499" s="395"/>
      <c r="Q499" s="395"/>
      <c r="R499" s="395"/>
    </row>
    <row r="500" spans="2:18" x14ac:dyDescent="0.25">
      <c r="B500" s="413"/>
      <c r="C500" s="395"/>
      <c r="D500" s="395"/>
      <c r="E500" s="395"/>
      <c r="F500" s="395"/>
      <c r="H500" s="395"/>
      <c r="I500" s="395"/>
      <c r="J500" s="395"/>
      <c r="K500" s="395"/>
      <c r="L500" s="395"/>
      <c r="N500" s="395"/>
      <c r="O500" s="395"/>
      <c r="P500" s="395"/>
      <c r="Q500" s="395"/>
      <c r="R500" s="395"/>
    </row>
    <row r="501" spans="2:18" x14ac:dyDescent="0.25">
      <c r="B501" s="413"/>
      <c r="C501" s="395"/>
      <c r="D501" s="395"/>
      <c r="E501" s="395"/>
      <c r="F501" s="395"/>
      <c r="H501" s="395"/>
      <c r="I501" s="395"/>
      <c r="J501" s="395"/>
      <c r="K501" s="395"/>
      <c r="L501" s="395"/>
      <c r="N501" s="395"/>
      <c r="O501" s="395"/>
      <c r="P501" s="395"/>
      <c r="Q501" s="395"/>
      <c r="R501" s="395"/>
    </row>
    <row r="502" spans="2:18" x14ac:dyDescent="0.25">
      <c r="B502" s="413"/>
      <c r="C502" s="395"/>
      <c r="D502" s="395"/>
      <c r="E502" s="395"/>
      <c r="F502" s="395"/>
      <c r="H502" s="395"/>
      <c r="I502" s="395"/>
      <c r="J502" s="395"/>
      <c r="K502" s="395"/>
      <c r="L502" s="395"/>
      <c r="N502" s="395"/>
      <c r="O502" s="395"/>
      <c r="P502" s="395"/>
      <c r="Q502" s="395"/>
      <c r="R502" s="395"/>
    </row>
    <row r="503" spans="2:18" x14ac:dyDescent="0.25">
      <c r="B503" s="413"/>
      <c r="C503" s="395"/>
      <c r="D503" s="395"/>
      <c r="E503" s="395"/>
      <c r="F503" s="395"/>
      <c r="H503" s="395"/>
      <c r="I503" s="395"/>
      <c r="J503" s="395"/>
      <c r="K503" s="395"/>
      <c r="L503" s="395"/>
      <c r="N503" s="395"/>
      <c r="O503" s="395"/>
      <c r="P503" s="395"/>
      <c r="Q503" s="395"/>
      <c r="R503" s="395"/>
    </row>
    <row r="504" spans="2:18" x14ac:dyDescent="0.25">
      <c r="B504" s="413"/>
      <c r="C504" s="395"/>
      <c r="D504" s="395"/>
      <c r="E504" s="395"/>
      <c r="F504" s="395"/>
      <c r="H504" s="395"/>
      <c r="I504" s="395"/>
      <c r="J504" s="395"/>
      <c r="K504" s="395"/>
      <c r="L504" s="395"/>
      <c r="N504" s="395"/>
      <c r="O504" s="395"/>
      <c r="P504" s="395"/>
      <c r="Q504" s="395"/>
      <c r="R504" s="395"/>
    </row>
    <row r="505" spans="2:18" x14ac:dyDescent="0.25">
      <c r="B505" s="413"/>
      <c r="C505" s="395"/>
      <c r="D505" s="395"/>
      <c r="E505" s="395"/>
      <c r="F505" s="395"/>
      <c r="H505" s="395"/>
      <c r="I505" s="395"/>
      <c r="J505" s="395"/>
      <c r="K505" s="395"/>
      <c r="L505" s="395"/>
      <c r="N505" s="395"/>
      <c r="O505" s="395"/>
      <c r="P505" s="395"/>
      <c r="Q505" s="395"/>
      <c r="R505" s="395"/>
    </row>
    <row r="506" spans="2:18" x14ac:dyDescent="0.25">
      <c r="B506" s="413"/>
      <c r="C506" s="395"/>
      <c r="D506" s="395"/>
      <c r="E506" s="395"/>
      <c r="F506" s="395"/>
      <c r="H506" s="395"/>
      <c r="I506" s="395"/>
      <c r="J506" s="395"/>
      <c r="K506" s="395"/>
      <c r="L506" s="395"/>
      <c r="N506" s="395"/>
      <c r="O506" s="395"/>
      <c r="P506" s="395"/>
      <c r="Q506" s="395"/>
      <c r="R506" s="395"/>
    </row>
    <row r="507" spans="2:18" x14ac:dyDescent="0.25">
      <c r="B507" s="413"/>
      <c r="C507" s="395"/>
      <c r="D507" s="395"/>
      <c r="E507" s="395"/>
      <c r="F507" s="395"/>
      <c r="H507" s="395"/>
      <c r="I507" s="395"/>
      <c r="J507" s="395"/>
      <c r="K507" s="395"/>
      <c r="L507" s="395"/>
      <c r="N507" s="395"/>
      <c r="O507" s="395"/>
      <c r="P507" s="395"/>
      <c r="Q507" s="395"/>
      <c r="R507" s="395"/>
    </row>
    <row r="508" spans="2:18" x14ac:dyDescent="0.25">
      <c r="B508" s="413"/>
      <c r="C508" s="395"/>
      <c r="D508" s="395"/>
      <c r="E508" s="395"/>
      <c r="F508" s="395"/>
      <c r="H508" s="395"/>
      <c r="I508" s="395"/>
      <c r="J508" s="395"/>
      <c r="K508" s="395"/>
      <c r="L508" s="395"/>
      <c r="N508" s="395"/>
      <c r="O508" s="395"/>
      <c r="P508" s="395"/>
      <c r="Q508" s="395"/>
      <c r="R508" s="395"/>
    </row>
    <row r="509" spans="2:18" x14ac:dyDescent="0.25">
      <c r="B509" s="413"/>
      <c r="C509" s="395"/>
      <c r="D509" s="395"/>
      <c r="E509" s="395"/>
      <c r="F509" s="395"/>
      <c r="H509" s="395"/>
      <c r="I509" s="395"/>
      <c r="J509" s="395"/>
      <c r="K509" s="395"/>
      <c r="L509" s="395"/>
      <c r="N509" s="395"/>
      <c r="O509" s="395"/>
      <c r="P509" s="395"/>
      <c r="Q509" s="395"/>
      <c r="R509" s="395"/>
    </row>
    <row r="510" spans="2:18" x14ac:dyDescent="0.25">
      <c r="B510" s="413"/>
      <c r="C510" s="395"/>
      <c r="D510" s="395"/>
      <c r="E510" s="395"/>
      <c r="F510" s="395"/>
      <c r="H510" s="395"/>
      <c r="I510" s="395"/>
      <c r="J510" s="395"/>
      <c r="K510" s="395"/>
      <c r="L510" s="395"/>
      <c r="N510" s="395"/>
      <c r="O510" s="395"/>
      <c r="P510" s="395"/>
      <c r="Q510" s="395"/>
      <c r="R510" s="395"/>
    </row>
    <row r="511" spans="2:18" x14ac:dyDescent="0.25">
      <c r="B511" s="413"/>
      <c r="C511" s="395"/>
      <c r="D511" s="395"/>
      <c r="E511" s="395"/>
      <c r="F511" s="395"/>
      <c r="H511" s="395"/>
      <c r="I511" s="395"/>
      <c r="J511" s="395"/>
      <c r="K511" s="395"/>
      <c r="L511" s="395"/>
      <c r="N511" s="395"/>
      <c r="O511" s="395"/>
      <c r="P511" s="395"/>
      <c r="Q511" s="395"/>
      <c r="R511" s="395"/>
    </row>
    <row r="512" spans="2:18" x14ac:dyDescent="0.25">
      <c r="B512" s="413"/>
      <c r="C512" s="395"/>
      <c r="D512" s="395"/>
      <c r="E512" s="395"/>
      <c r="F512" s="395"/>
      <c r="H512" s="395"/>
      <c r="I512" s="395"/>
      <c r="J512" s="395"/>
      <c r="K512" s="395"/>
      <c r="L512" s="395"/>
      <c r="N512" s="395"/>
      <c r="O512" s="395"/>
      <c r="P512" s="395"/>
      <c r="Q512" s="395"/>
      <c r="R512" s="395"/>
    </row>
    <row r="513" spans="2:18" x14ac:dyDescent="0.25">
      <c r="B513" s="413"/>
      <c r="C513" s="395"/>
      <c r="D513" s="395"/>
      <c r="E513" s="395"/>
      <c r="F513" s="395"/>
      <c r="H513" s="395"/>
      <c r="I513" s="395"/>
      <c r="J513" s="395"/>
      <c r="K513" s="395"/>
      <c r="L513" s="395"/>
      <c r="N513" s="395"/>
      <c r="O513" s="395"/>
      <c r="P513" s="395"/>
      <c r="Q513" s="395"/>
      <c r="R513" s="395"/>
    </row>
    <row r="514" spans="2:18" x14ac:dyDescent="0.25">
      <c r="B514" s="413"/>
      <c r="C514" s="395"/>
      <c r="D514" s="395"/>
      <c r="E514" s="395"/>
      <c r="F514" s="395"/>
      <c r="H514" s="395"/>
      <c r="I514" s="395"/>
      <c r="J514" s="395"/>
      <c r="K514" s="395"/>
      <c r="L514" s="395"/>
      <c r="N514" s="395"/>
      <c r="O514" s="395"/>
      <c r="P514" s="395"/>
      <c r="Q514" s="395"/>
      <c r="R514" s="395"/>
    </row>
    <row r="515" spans="2:18" x14ac:dyDescent="0.25">
      <c r="B515" s="413"/>
      <c r="C515" s="395"/>
      <c r="D515" s="395"/>
      <c r="E515" s="395"/>
      <c r="F515" s="395"/>
      <c r="H515" s="395"/>
      <c r="I515" s="395"/>
      <c r="J515" s="395"/>
      <c r="K515" s="395"/>
      <c r="L515" s="395"/>
      <c r="N515" s="395"/>
      <c r="O515" s="395"/>
      <c r="P515" s="395"/>
      <c r="Q515" s="395"/>
      <c r="R515" s="395"/>
    </row>
    <row r="516" spans="2:18" x14ac:dyDescent="0.25">
      <c r="B516" s="413"/>
      <c r="C516" s="395"/>
      <c r="D516" s="395"/>
      <c r="E516" s="395"/>
      <c r="F516" s="395"/>
      <c r="H516" s="395"/>
      <c r="I516" s="395"/>
      <c r="J516" s="395"/>
      <c r="K516" s="395"/>
      <c r="L516" s="395"/>
      <c r="N516" s="395"/>
      <c r="O516" s="395"/>
      <c r="P516" s="395"/>
      <c r="Q516" s="395"/>
      <c r="R516" s="395"/>
    </row>
    <row r="517" spans="2:18" x14ac:dyDescent="0.25">
      <c r="B517" s="413"/>
      <c r="C517" s="395"/>
      <c r="D517" s="395"/>
      <c r="E517" s="395"/>
      <c r="F517" s="395"/>
      <c r="H517" s="395"/>
      <c r="I517" s="395"/>
      <c r="J517" s="395"/>
      <c r="K517" s="395"/>
      <c r="L517" s="395"/>
      <c r="N517" s="395"/>
      <c r="O517" s="395"/>
      <c r="P517" s="395"/>
      <c r="Q517" s="395"/>
      <c r="R517" s="395"/>
    </row>
    <row r="518" spans="2:18" x14ac:dyDescent="0.25">
      <c r="B518" s="413"/>
      <c r="C518" s="395"/>
      <c r="D518" s="395"/>
      <c r="E518" s="395"/>
      <c r="F518" s="395"/>
      <c r="H518" s="395"/>
      <c r="I518" s="395"/>
      <c r="J518" s="395"/>
      <c r="K518" s="395"/>
      <c r="L518" s="395"/>
      <c r="N518" s="395"/>
      <c r="O518" s="395"/>
      <c r="P518" s="395"/>
      <c r="Q518" s="395"/>
      <c r="R518" s="395"/>
    </row>
    <row r="519" spans="2:18" x14ac:dyDescent="0.25">
      <c r="B519" s="413"/>
      <c r="C519" s="395"/>
      <c r="D519" s="395"/>
      <c r="E519" s="395"/>
      <c r="F519" s="395"/>
      <c r="H519" s="395"/>
      <c r="I519" s="395"/>
      <c r="J519" s="395"/>
      <c r="K519" s="395"/>
      <c r="L519" s="395"/>
      <c r="N519" s="395"/>
      <c r="O519" s="395"/>
      <c r="P519" s="395"/>
      <c r="Q519" s="395"/>
      <c r="R519" s="395"/>
    </row>
    <row r="520" spans="2:18" x14ac:dyDescent="0.25">
      <c r="B520" s="413"/>
      <c r="C520" s="395"/>
      <c r="D520" s="395"/>
      <c r="E520" s="395"/>
      <c r="F520" s="395"/>
      <c r="H520" s="395"/>
      <c r="I520" s="395"/>
      <c r="J520" s="395"/>
      <c r="K520" s="395"/>
      <c r="L520" s="395"/>
      <c r="N520" s="395"/>
      <c r="O520" s="395"/>
      <c r="P520" s="395"/>
      <c r="Q520" s="395"/>
      <c r="R520" s="395"/>
    </row>
    <row r="521" spans="2:18" x14ac:dyDescent="0.25">
      <c r="B521" s="413"/>
      <c r="C521" s="395"/>
      <c r="D521" s="395"/>
      <c r="E521" s="395"/>
      <c r="F521" s="395"/>
      <c r="H521" s="395"/>
      <c r="I521" s="395"/>
      <c r="J521" s="395"/>
      <c r="K521" s="395"/>
      <c r="L521" s="395"/>
      <c r="N521" s="395"/>
      <c r="O521" s="395"/>
      <c r="P521" s="395"/>
      <c r="Q521" s="395"/>
      <c r="R521" s="395"/>
    </row>
    <row r="522" spans="2:18" x14ac:dyDescent="0.25">
      <c r="B522" s="413"/>
      <c r="C522" s="395"/>
      <c r="D522" s="395"/>
      <c r="E522" s="395"/>
      <c r="F522" s="395"/>
      <c r="H522" s="395"/>
      <c r="I522" s="395"/>
      <c r="J522" s="395"/>
      <c r="K522" s="395"/>
      <c r="L522" s="395"/>
      <c r="N522" s="395"/>
      <c r="O522" s="395"/>
      <c r="P522" s="395"/>
      <c r="Q522" s="395"/>
      <c r="R522" s="395"/>
    </row>
    <row r="523" spans="2:18" x14ac:dyDescent="0.25">
      <c r="B523" s="413"/>
      <c r="C523" s="395"/>
      <c r="D523" s="395"/>
      <c r="E523" s="395"/>
      <c r="F523" s="395"/>
      <c r="H523" s="395"/>
      <c r="I523" s="395"/>
      <c r="J523" s="395"/>
      <c r="K523" s="395"/>
      <c r="L523" s="395"/>
      <c r="N523" s="395"/>
      <c r="O523" s="395"/>
      <c r="P523" s="395"/>
      <c r="Q523" s="395"/>
      <c r="R523" s="395"/>
    </row>
    <row r="524" spans="2:18" x14ac:dyDescent="0.25">
      <c r="B524" s="413"/>
      <c r="C524" s="395"/>
      <c r="D524" s="395"/>
      <c r="E524" s="395"/>
      <c r="F524" s="395"/>
      <c r="H524" s="395"/>
      <c r="I524" s="395"/>
      <c r="J524" s="395"/>
      <c r="K524" s="395"/>
      <c r="L524" s="395"/>
      <c r="N524" s="395"/>
      <c r="O524" s="395"/>
      <c r="P524" s="395"/>
      <c r="Q524" s="395"/>
      <c r="R524" s="395"/>
    </row>
    <row r="525" spans="2:18" x14ac:dyDescent="0.25">
      <c r="B525" s="413"/>
      <c r="C525" s="395"/>
      <c r="D525" s="395"/>
      <c r="E525" s="395"/>
      <c r="F525" s="395"/>
      <c r="H525" s="395"/>
      <c r="I525" s="395"/>
      <c r="J525" s="395"/>
      <c r="K525" s="395"/>
      <c r="L525" s="395"/>
      <c r="N525" s="395"/>
      <c r="O525" s="395"/>
      <c r="P525" s="395"/>
      <c r="Q525" s="395"/>
      <c r="R525" s="395"/>
    </row>
    <row r="526" spans="2:18" x14ac:dyDescent="0.25">
      <c r="B526" s="413"/>
      <c r="C526" s="395"/>
      <c r="D526" s="395"/>
      <c r="E526" s="395"/>
      <c r="F526" s="395"/>
      <c r="H526" s="395"/>
      <c r="I526" s="395"/>
      <c r="J526" s="395"/>
      <c r="K526" s="395"/>
      <c r="L526" s="395"/>
      <c r="N526" s="395"/>
      <c r="O526" s="395"/>
      <c r="P526" s="395"/>
      <c r="Q526" s="395"/>
      <c r="R526" s="395"/>
    </row>
    <row r="527" spans="2:18" x14ac:dyDescent="0.25">
      <c r="B527" s="413"/>
      <c r="C527" s="395"/>
      <c r="D527" s="395"/>
      <c r="E527" s="395"/>
      <c r="F527" s="395"/>
      <c r="H527" s="395"/>
      <c r="I527" s="395"/>
      <c r="J527" s="395"/>
      <c r="K527" s="395"/>
      <c r="L527" s="395"/>
      <c r="N527" s="395"/>
      <c r="O527" s="395"/>
      <c r="P527" s="395"/>
      <c r="Q527" s="395"/>
      <c r="R527" s="395"/>
    </row>
    <row r="528" spans="2:18" x14ac:dyDescent="0.25">
      <c r="B528" s="413"/>
      <c r="C528" s="395"/>
      <c r="D528" s="395"/>
      <c r="E528" s="395"/>
      <c r="F528" s="395"/>
      <c r="H528" s="395"/>
      <c r="I528" s="395"/>
      <c r="J528" s="395"/>
      <c r="K528" s="395"/>
      <c r="L528" s="395"/>
      <c r="N528" s="395"/>
      <c r="O528" s="395"/>
      <c r="P528" s="395"/>
      <c r="Q528" s="395"/>
      <c r="R528" s="395"/>
    </row>
    <row r="529" spans="2:18" x14ac:dyDescent="0.25">
      <c r="B529" s="413"/>
      <c r="C529" s="395"/>
      <c r="D529" s="395"/>
      <c r="E529" s="395"/>
      <c r="F529" s="395"/>
      <c r="H529" s="395"/>
      <c r="I529" s="395"/>
      <c r="J529" s="395"/>
      <c r="K529" s="395"/>
      <c r="L529" s="395"/>
      <c r="N529" s="395"/>
      <c r="O529" s="395"/>
      <c r="P529" s="395"/>
      <c r="Q529" s="395"/>
      <c r="R529" s="395"/>
    </row>
    <row r="530" spans="2:18" x14ac:dyDescent="0.25">
      <c r="B530" s="413"/>
      <c r="C530" s="395"/>
      <c r="D530" s="395"/>
      <c r="E530" s="395"/>
      <c r="F530" s="395"/>
      <c r="H530" s="395"/>
      <c r="I530" s="395"/>
      <c r="J530" s="395"/>
      <c r="K530" s="395"/>
      <c r="L530" s="395"/>
      <c r="N530" s="395"/>
      <c r="O530" s="395"/>
      <c r="P530" s="395"/>
      <c r="Q530" s="395"/>
      <c r="R530" s="395"/>
    </row>
    <row r="531" spans="2:18" x14ac:dyDescent="0.25">
      <c r="B531" s="413"/>
      <c r="C531" s="395"/>
      <c r="D531" s="395"/>
      <c r="E531" s="395"/>
      <c r="F531" s="395"/>
      <c r="H531" s="395"/>
      <c r="I531" s="395"/>
      <c r="J531" s="395"/>
      <c r="K531" s="395"/>
      <c r="L531" s="395"/>
      <c r="N531" s="395"/>
      <c r="O531" s="395"/>
      <c r="P531" s="395"/>
      <c r="Q531" s="395"/>
      <c r="R531" s="395"/>
    </row>
    <row r="532" spans="2:18" x14ac:dyDescent="0.25">
      <c r="B532" s="413"/>
      <c r="C532" s="395"/>
      <c r="D532" s="395"/>
      <c r="E532" s="395"/>
      <c r="F532" s="395"/>
      <c r="H532" s="395"/>
      <c r="I532" s="395"/>
      <c r="J532" s="395"/>
      <c r="K532" s="395"/>
      <c r="L532" s="395"/>
      <c r="N532" s="395"/>
      <c r="O532" s="395"/>
      <c r="P532" s="395"/>
      <c r="Q532" s="395"/>
      <c r="R532" s="395"/>
    </row>
    <row r="533" spans="2:18" x14ac:dyDescent="0.25">
      <c r="B533" s="413"/>
      <c r="C533" s="395"/>
      <c r="D533" s="395"/>
      <c r="E533" s="395"/>
      <c r="F533" s="395"/>
      <c r="H533" s="395"/>
      <c r="I533" s="395"/>
      <c r="J533" s="395"/>
      <c r="K533" s="395"/>
      <c r="L533" s="395"/>
      <c r="N533" s="395"/>
      <c r="O533" s="395"/>
      <c r="P533" s="395"/>
      <c r="Q533" s="395"/>
      <c r="R533" s="395"/>
    </row>
    <row r="534" spans="2:18" x14ac:dyDescent="0.25">
      <c r="B534" s="413"/>
      <c r="C534" s="395"/>
      <c r="D534" s="395"/>
      <c r="E534" s="395"/>
      <c r="F534" s="395"/>
      <c r="H534" s="395"/>
      <c r="I534" s="395"/>
      <c r="J534" s="395"/>
      <c r="K534" s="395"/>
      <c r="L534" s="395"/>
      <c r="N534" s="395"/>
      <c r="O534" s="395"/>
      <c r="P534" s="395"/>
      <c r="Q534" s="395"/>
      <c r="R534" s="395"/>
    </row>
    <row r="535" spans="2:18" x14ac:dyDescent="0.25">
      <c r="B535" s="413"/>
      <c r="C535" s="395"/>
      <c r="D535" s="395"/>
      <c r="E535" s="395"/>
      <c r="F535" s="395"/>
      <c r="H535" s="395"/>
      <c r="I535" s="395"/>
      <c r="J535" s="395"/>
      <c r="K535" s="395"/>
      <c r="L535" s="395"/>
      <c r="N535" s="395"/>
      <c r="O535" s="395"/>
      <c r="P535" s="395"/>
      <c r="Q535" s="395"/>
      <c r="R535" s="395"/>
    </row>
    <row r="536" spans="2:18" x14ac:dyDescent="0.25">
      <c r="B536" s="413"/>
      <c r="C536" s="395"/>
      <c r="D536" s="395"/>
      <c r="E536" s="395"/>
      <c r="F536" s="395"/>
      <c r="H536" s="395"/>
      <c r="I536" s="395"/>
      <c r="J536" s="395"/>
      <c r="K536" s="395"/>
      <c r="L536" s="395"/>
      <c r="N536" s="395"/>
      <c r="O536" s="395"/>
      <c r="P536" s="395"/>
      <c r="Q536" s="395"/>
      <c r="R536" s="395"/>
    </row>
    <row r="537" spans="2:18" x14ac:dyDescent="0.25">
      <c r="B537" s="413"/>
      <c r="C537" s="395"/>
      <c r="D537" s="395"/>
      <c r="E537" s="395"/>
      <c r="F537" s="395"/>
      <c r="H537" s="395"/>
      <c r="I537" s="395"/>
      <c r="J537" s="395"/>
      <c r="K537" s="395"/>
      <c r="L537" s="395"/>
      <c r="N537" s="395"/>
      <c r="O537" s="395"/>
      <c r="P537" s="395"/>
      <c r="Q537" s="395"/>
      <c r="R537" s="395"/>
    </row>
    <row r="538" spans="2:18" x14ac:dyDescent="0.25">
      <c r="B538" s="413"/>
      <c r="C538" s="395"/>
      <c r="D538" s="395"/>
      <c r="E538" s="395"/>
      <c r="F538" s="395"/>
      <c r="H538" s="395"/>
      <c r="I538" s="395"/>
      <c r="J538" s="395"/>
      <c r="K538" s="395"/>
      <c r="L538" s="395"/>
      <c r="N538" s="395"/>
      <c r="O538" s="395"/>
      <c r="P538" s="395"/>
      <c r="Q538" s="395"/>
      <c r="R538" s="395"/>
    </row>
    <row r="539" spans="2:18" x14ac:dyDescent="0.25">
      <c r="B539" s="413"/>
      <c r="C539" s="395"/>
      <c r="D539" s="395"/>
      <c r="E539" s="395"/>
      <c r="F539" s="395"/>
      <c r="H539" s="395"/>
      <c r="I539" s="395"/>
      <c r="J539" s="395"/>
      <c r="K539" s="395"/>
      <c r="L539" s="395"/>
      <c r="N539" s="395"/>
      <c r="O539" s="395"/>
      <c r="P539" s="395"/>
      <c r="Q539" s="395"/>
      <c r="R539" s="395"/>
    </row>
    <row r="540" spans="2:18" x14ac:dyDescent="0.25">
      <c r="B540" s="413"/>
      <c r="C540" s="395"/>
      <c r="D540" s="395"/>
      <c r="E540" s="395"/>
      <c r="F540" s="395"/>
      <c r="H540" s="395"/>
      <c r="I540" s="395"/>
      <c r="J540" s="395"/>
      <c r="K540" s="395"/>
      <c r="L540" s="395"/>
      <c r="N540" s="395"/>
      <c r="O540" s="395"/>
      <c r="P540" s="395"/>
      <c r="Q540" s="395"/>
      <c r="R540" s="395"/>
    </row>
    <row r="541" spans="2:18" x14ac:dyDescent="0.25">
      <c r="B541" s="413"/>
      <c r="C541" s="395"/>
      <c r="D541" s="395"/>
      <c r="E541" s="395"/>
      <c r="F541" s="395"/>
      <c r="H541" s="395"/>
      <c r="I541" s="395"/>
      <c r="J541" s="395"/>
      <c r="K541" s="395"/>
      <c r="L541" s="395"/>
      <c r="N541" s="395"/>
      <c r="O541" s="395"/>
      <c r="P541" s="395"/>
      <c r="Q541" s="395"/>
      <c r="R541" s="395"/>
    </row>
    <row r="542" spans="2:18" x14ac:dyDescent="0.25">
      <c r="B542" s="413"/>
      <c r="C542" s="395"/>
      <c r="D542" s="395"/>
      <c r="E542" s="395"/>
      <c r="F542" s="395"/>
      <c r="H542" s="395"/>
      <c r="I542" s="395"/>
      <c r="J542" s="395"/>
      <c r="K542" s="395"/>
      <c r="L542" s="395"/>
      <c r="N542" s="395"/>
      <c r="O542" s="395"/>
      <c r="P542" s="395"/>
      <c r="Q542" s="395"/>
      <c r="R542" s="395"/>
    </row>
    <row r="543" spans="2:18" x14ac:dyDescent="0.25">
      <c r="B543" s="413"/>
      <c r="C543" s="395"/>
      <c r="D543" s="395"/>
      <c r="E543" s="395"/>
      <c r="F543" s="395"/>
      <c r="H543" s="395"/>
      <c r="I543" s="395"/>
      <c r="J543" s="395"/>
      <c r="K543" s="395"/>
      <c r="L543" s="395"/>
      <c r="N543" s="395"/>
      <c r="O543" s="395"/>
      <c r="P543" s="395"/>
      <c r="Q543" s="395"/>
      <c r="R543" s="395"/>
    </row>
    <row r="544" spans="2:18" x14ac:dyDescent="0.25">
      <c r="B544" s="413"/>
      <c r="C544" s="395"/>
      <c r="D544" s="395"/>
      <c r="E544" s="395"/>
      <c r="F544" s="395"/>
      <c r="H544" s="395"/>
      <c r="I544" s="395"/>
      <c r="J544" s="395"/>
      <c r="K544" s="395"/>
      <c r="L544" s="395"/>
      <c r="N544" s="395"/>
      <c r="O544" s="395"/>
      <c r="P544" s="395"/>
      <c r="Q544" s="395"/>
      <c r="R544" s="395"/>
    </row>
    <row r="545" spans="2:18" x14ac:dyDescent="0.25">
      <c r="B545" s="413"/>
      <c r="C545" s="395"/>
      <c r="D545" s="395"/>
      <c r="E545" s="395"/>
      <c r="F545" s="395"/>
      <c r="H545" s="395"/>
      <c r="I545" s="395"/>
      <c r="J545" s="395"/>
      <c r="K545" s="395"/>
      <c r="L545" s="395"/>
      <c r="N545" s="395"/>
      <c r="O545" s="395"/>
      <c r="P545" s="395"/>
      <c r="Q545" s="395"/>
      <c r="R545" s="395"/>
    </row>
    <row r="546" spans="2:18" x14ac:dyDescent="0.25">
      <c r="B546" s="413"/>
      <c r="C546" s="395"/>
      <c r="D546" s="395"/>
      <c r="E546" s="395"/>
      <c r="F546" s="395"/>
      <c r="H546" s="395"/>
      <c r="I546" s="395"/>
      <c r="J546" s="395"/>
      <c r="K546" s="395"/>
      <c r="L546" s="395"/>
      <c r="N546" s="395"/>
      <c r="O546" s="395"/>
      <c r="P546" s="395"/>
      <c r="Q546" s="395"/>
      <c r="R546" s="395"/>
    </row>
    <row r="547" spans="2:18" x14ac:dyDescent="0.25">
      <c r="B547" s="413"/>
      <c r="C547" s="395"/>
      <c r="D547" s="395"/>
      <c r="E547" s="395"/>
      <c r="F547" s="395"/>
      <c r="H547" s="395"/>
      <c r="I547" s="395"/>
      <c r="J547" s="395"/>
      <c r="K547" s="395"/>
      <c r="L547" s="395"/>
      <c r="N547" s="395"/>
      <c r="O547" s="395"/>
      <c r="P547" s="395"/>
      <c r="Q547" s="395"/>
      <c r="R547" s="395"/>
    </row>
    <row r="548" spans="2:18" x14ac:dyDescent="0.25">
      <c r="B548" s="413"/>
      <c r="C548" s="395"/>
      <c r="D548" s="395"/>
      <c r="E548" s="395"/>
      <c r="F548" s="395"/>
      <c r="H548" s="395"/>
      <c r="I548" s="395"/>
      <c r="J548" s="395"/>
      <c r="K548" s="395"/>
      <c r="L548" s="395"/>
      <c r="N548" s="395"/>
      <c r="O548" s="395"/>
      <c r="P548" s="395"/>
      <c r="Q548" s="395"/>
      <c r="R548" s="395"/>
    </row>
    <row r="549" spans="2:18" x14ac:dyDescent="0.25">
      <c r="B549" s="413"/>
      <c r="C549" s="395"/>
      <c r="D549" s="395"/>
      <c r="E549" s="395"/>
      <c r="F549" s="395"/>
      <c r="H549" s="395"/>
      <c r="I549" s="395"/>
      <c r="J549" s="395"/>
      <c r="K549" s="395"/>
      <c r="L549" s="395"/>
      <c r="N549" s="395"/>
      <c r="O549" s="395"/>
      <c r="P549" s="395"/>
      <c r="Q549" s="395"/>
      <c r="R549" s="395"/>
    </row>
    <row r="550" spans="2:18" x14ac:dyDescent="0.25">
      <c r="B550" s="413"/>
      <c r="C550" s="395"/>
      <c r="D550" s="395"/>
      <c r="E550" s="395"/>
      <c r="F550" s="395"/>
      <c r="H550" s="395"/>
      <c r="I550" s="395"/>
      <c r="J550" s="395"/>
      <c r="K550" s="395"/>
      <c r="L550" s="395"/>
      <c r="N550" s="395"/>
      <c r="O550" s="395"/>
      <c r="P550" s="395"/>
      <c r="Q550" s="395"/>
      <c r="R550" s="395"/>
    </row>
    <row r="551" spans="2:18" x14ac:dyDescent="0.25">
      <c r="B551" s="413"/>
      <c r="C551" s="395"/>
      <c r="D551" s="395"/>
      <c r="E551" s="395"/>
      <c r="F551" s="395"/>
      <c r="H551" s="395"/>
      <c r="I551" s="395"/>
      <c r="J551" s="395"/>
      <c r="K551" s="395"/>
      <c r="L551" s="395"/>
      <c r="N551" s="395"/>
      <c r="O551" s="395"/>
      <c r="P551" s="395"/>
      <c r="Q551" s="395"/>
      <c r="R551" s="395"/>
    </row>
    <row r="552" spans="2:18" x14ac:dyDescent="0.25">
      <c r="B552" s="413"/>
      <c r="C552" s="395"/>
      <c r="D552" s="395"/>
      <c r="E552" s="395"/>
      <c r="F552" s="395"/>
      <c r="H552" s="395"/>
      <c r="I552" s="395"/>
      <c r="J552" s="395"/>
      <c r="K552" s="395"/>
      <c r="L552" s="395"/>
      <c r="N552" s="395"/>
      <c r="O552" s="395"/>
      <c r="P552" s="395"/>
      <c r="Q552" s="395"/>
      <c r="R552" s="395"/>
    </row>
    <row r="553" spans="2:18" x14ac:dyDescent="0.25">
      <c r="B553" s="413"/>
      <c r="C553" s="395"/>
      <c r="D553" s="395"/>
      <c r="E553" s="395"/>
      <c r="F553" s="395"/>
      <c r="H553" s="395"/>
      <c r="I553" s="395"/>
      <c r="J553" s="395"/>
      <c r="K553" s="395"/>
      <c r="L553" s="395"/>
      <c r="N553" s="395"/>
      <c r="O553" s="395"/>
      <c r="P553" s="395"/>
      <c r="Q553" s="395"/>
      <c r="R553" s="395"/>
    </row>
    <row r="554" spans="2:18" x14ac:dyDescent="0.25">
      <c r="B554" s="413"/>
      <c r="C554" s="395"/>
      <c r="D554" s="395"/>
      <c r="E554" s="395"/>
      <c r="F554" s="395"/>
      <c r="H554" s="395"/>
      <c r="I554" s="395"/>
      <c r="J554" s="395"/>
      <c r="K554" s="395"/>
      <c r="L554" s="395"/>
      <c r="N554" s="395"/>
      <c r="O554" s="395"/>
      <c r="P554" s="395"/>
      <c r="Q554" s="395"/>
      <c r="R554" s="395"/>
    </row>
    <row r="555" spans="2:18" x14ac:dyDescent="0.25">
      <c r="B555" s="413"/>
      <c r="C555" s="395"/>
      <c r="D555" s="395"/>
      <c r="E555" s="395"/>
      <c r="F555" s="395"/>
      <c r="H555" s="395"/>
      <c r="I555" s="395"/>
      <c r="J555" s="395"/>
      <c r="K555" s="395"/>
      <c r="L555" s="395"/>
      <c r="N555" s="395"/>
      <c r="O555" s="395"/>
      <c r="P555" s="395"/>
      <c r="Q555" s="395"/>
      <c r="R555" s="395"/>
    </row>
    <row r="556" spans="2:18" x14ac:dyDescent="0.25">
      <c r="B556" s="413"/>
      <c r="C556" s="395"/>
      <c r="D556" s="395"/>
      <c r="E556" s="395"/>
      <c r="F556" s="395"/>
      <c r="H556" s="395"/>
      <c r="I556" s="395"/>
      <c r="J556" s="395"/>
      <c r="K556" s="395"/>
      <c r="L556" s="395"/>
      <c r="N556" s="395"/>
      <c r="O556" s="395"/>
      <c r="P556" s="395"/>
      <c r="Q556" s="395"/>
      <c r="R556" s="395"/>
    </row>
    <row r="557" spans="2:18" x14ac:dyDescent="0.25">
      <c r="B557" s="413"/>
      <c r="C557" s="395"/>
      <c r="D557" s="395"/>
      <c r="E557" s="395"/>
      <c r="F557" s="395"/>
      <c r="H557" s="395"/>
      <c r="I557" s="395"/>
      <c r="J557" s="395"/>
      <c r="K557" s="395"/>
      <c r="L557" s="395"/>
      <c r="N557" s="395"/>
      <c r="O557" s="395"/>
      <c r="P557" s="395"/>
      <c r="Q557" s="395"/>
      <c r="R557" s="395"/>
    </row>
    <row r="558" spans="2:18" x14ac:dyDescent="0.25">
      <c r="B558" s="413"/>
      <c r="C558" s="395"/>
      <c r="D558" s="395"/>
      <c r="E558" s="395"/>
      <c r="F558" s="395"/>
      <c r="H558" s="395"/>
      <c r="I558" s="395"/>
      <c r="J558" s="395"/>
      <c r="K558" s="395"/>
      <c r="L558" s="395"/>
      <c r="N558" s="395"/>
      <c r="O558" s="395"/>
      <c r="P558" s="395"/>
      <c r="Q558" s="395"/>
      <c r="R558" s="395"/>
    </row>
    <row r="559" spans="2:18" x14ac:dyDescent="0.25">
      <c r="B559" s="413"/>
      <c r="C559" s="395"/>
      <c r="D559" s="395"/>
      <c r="E559" s="395"/>
      <c r="F559" s="395"/>
      <c r="H559" s="395"/>
      <c r="I559" s="395"/>
      <c r="J559" s="395"/>
      <c r="K559" s="395"/>
      <c r="L559" s="395"/>
      <c r="N559" s="395"/>
      <c r="O559" s="395"/>
      <c r="P559" s="395"/>
      <c r="Q559" s="395"/>
      <c r="R559" s="395"/>
    </row>
    <row r="560" spans="2:18" x14ac:dyDescent="0.25">
      <c r="B560" s="413"/>
      <c r="C560" s="395"/>
      <c r="D560" s="395"/>
      <c r="E560" s="395"/>
      <c r="F560" s="395"/>
      <c r="H560" s="395"/>
      <c r="I560" s="395"/>
      <c r="J560" s="395"/>
      <c r="K560" s="395"/>
      <c r="L560" s="395"/>
      <c r="N560" s="395"/>
      <c r="O560" s="395"/>
      <c r="P560" s="395"/>
      <c r="Q560" s="395"/>
      <c r="R560" s="395"/>
    </row>
    <row r="561" spans="2:18" x14ac:dyDescent="0.25">
      <c r="B561" s="413"/>
      <c r="C561" s="395"/>
      <c r="D561" s="395"/>
      <c r="E561" s="395"/>
      <c r="F561" s="395"/>
      <c r="H561" s="395"/>
      <c r="I561" s="395"/>
      <c r="J561" s="395"/>
      <c r="K561" s="395"/>
      <c r="L561" s="395"/>
      <c r="N561" s="395"/>
      <c r="O561" s="395"/>
      <c r="P561" s="395"/>
      <c r="Q561" s="395"/>
      <c r="R561" s="395"/>
    </row>
    <row r="562" spans="2:18" x14ac:dyDescent="0.25">
      <c r="B562" s="413"/>
      <c r="C562" s="395"/>
      <c r="D562" s="395"/>
      <c r="E562" s="395"/>
      <c r="F562" s="395"/>
      <c r="H562" s="395"/>
      <c r="I562" s="395"/>
      <c r="J562" s="395"/>
      <c r="K562" s="395"/>
      <c r="L562" s="395"/>
      <c r="N562" s="395"/>
      <c r="O562" s="395"/>
      <c r="P562" s="395"/>
      <c r="Q562" s="395"/>
      <c r="R562" s="395"/>
    </row>
    <row r="563" spans="2:18" x14ac:dyDescent="0.25">
      <c r="B563" s="413"/>
      <c r="C563" s="395"/>
      <c r="D563" s="395"/>
      <c r="E563" s="395"/>
      <c r="F563" s="395"/>
      <c r="H563" s="395"/>
      <c r="I563" s="395"/>
      <c r="J563" s="395"/>
      <c r="K563" s="395"/>
      <c r="L563" s="395"/>
      <c r="N563" s="395"/>
      <c r="O563" s="395"/>
      <c r="P563" s="395"/>
      <c r="Q563" s="395"/>
      <c r="R563" s="395"/>
    </row>
    <row r="564" spans="2:18" x14ac:dyDescent="0.25">
      <c r="B564" s="413"/>
      <c r="C564" s="395"/>
      <c r="D564" s="395"/>
      <c r="E564" s="395"/>
      <c r="F564" s="395"/>
      <c r="H564" s="395"/>
      <c r="I564" s="395"/>
      <c r="J564" s="395"/>
      <c r="K564" s="395"/>
      <c r="L564" s="395"/>
      <c r="N564" s="395"/>
      <c r="O564" s="395"/>
      <c r="P564" s="395"/>
      <c r="Q564" s="395"/>
      <c r="R564" s="395"/>
    </row>
    <row r="565" spans="2:18" x14ac:dyDescent="0.25">
      <c r="B565" s="413"/>
      <c r="C565" s="395"/>
      <c r="D565" s="395"/>
      <c r="E565" s="395"/>
      <c r="F565" s="395"/>
      <c r="H565" s="395"/>
      <c r="I565" s="395"/>
      <c r="J565" s="395"/>
      <c r="K565" s="395"/>
      <c r="L565" s="395"/>
      <c r="N565" s="395"/>
      <c r="O565" s="395"/>
      <c r="P565" s="395"/>
      <c r="Q565" s="395"/>
      <c r="R565" s="395"/>
    </row>
    <row r="566" spans="2:18" x14ac:dyDescent="0.25">
      <c r="B566" s="413"/>
      <c r="C566" s="395"/>
      <c r="D566" s="395"/>
      <c r="E566" s="395"/>
      <c r="F566" s="395"/>
      <c r="H566" s="395"/>
      <c r="I566" s="395"/>
      <c r="J566" s="395"/>
      <c r="K566" s="395"/>
      <c r="L566" s="395"/>
      <c r="N566" s="395"/>
      <c r="O566" s="395"/>
      <c r="P566" s="395"/>
      <c r="Q566" s="395"/>
      <c r="R566" s="395"/>
    </row>
    <row r="567" spans="2:18" x14ac:dyDescent="0.25">
      <c r="B567" s="413"/>
      <c r="C567" s="395"/>
      <c r="D567" s="395"/>
      <c r="E567" s="395"/>
      <c r="F567" s="395"/>
      <c r="H567" s="395"/>
      <c r="I567" s="395"/>
      <c r="J567" s="395"/>
      <c r="K567" s="395"/>
      <c r="L567" s="395"/>
      <c r="N567" s="395"/>
      <c r="O567" s="395"/>
      <c r="P567" s="395"/>
      <c r="Q567" s="395"/>
      <c r="R567" s="395"/>
    </row>
    <row r="568" spans="2:18" x14ac:dyDescent="0.25">
      <c r="B568" s="413"/>
      <c r="C568" s="395"/>
      <c r="D568" s="395"/>
      <c r="E568" s="395"/>
      <c r="F568" s="395"/>
      <c r="H568" s="395"/>
      <c r="I568" s="395"/>
      <c r="J568" s="395"/>
      <c r="K568" s="395"/>
      <c r="L568" s="395"/>
      <c r="N568" s="395"/>
      <c r="O568" s="395"/>
      <c r="P568" s="395"/>
      <c r="Q568" s="395"/>
      <c r="R568" s="395"/>
    </row>
    <row r="569" spans="2:18" x14ac:dyDescent="0.25">
      <c r="B569" s="413"/>
      <c r="C569" s="395"/>
      <c r="D569" s="395"/>
      <c r="E569" s="395"/>
      <c r="F569" s="395"/>
      <c r="H569" s="395"/>
      <c r="I569" s="395"/>
      <c r="J569" s="395"/>
      <c r="K569" s="395"/>
      <c r="L569" s="395"/>
      <c r="N569" s="395"/>
      <c r="O569" s="395"/>
      <c r="P569" s="395"/>
      <c r="Q569" s="395"/>
      <c r="R569" s="395"/>
    </row>
    <row r="570" spans="2:18" x14ac:dyDescent="0.25">
      <c r="B570" s="413"/>
      <c r="C570" s="395"/>
      <c r="D570" s="395"/>
      <c r="E570" s="395"/>
      <c r="F570" s="395"/>
      <c r="H570" s="395"/>
      <c r="I570" s="395"/>
      <c r="J570" s="395"/>
      <c r="K570" s="395"/>
      <c r="L570" s="395"/>
      <c r="N570" s="395"/>
      <c r="O570" s="395"/>
      <c r="P570" s="395"/>
      <c r="Q570" s="395"/>
      <c r="R570" s="395"/>
    </row>
    <row r="571" spans="2:18" x14ac:dyDescent="0.25">
      <c r="B571" s="413"/>
      <c r="C571" s="395"/>
      <c r="D571" s="395"/>
      <c r="E571" s="395"/>
      <c r="F571" s="395"/>
      <c r="H571" s="395"/>
      <c r="I571" s="395"/>
      <c r="J571" s="395"/>
      <c r="K571" s="395"/>
      <c r="L571" s="395"/>
      <c r="N571" s="395"/>
      <c r="O571" s="395"/>
      <c r="P571" s="395"/>
      <c r="Q571" s="395"/>
      <c r="R571" s="395"/>
    </row>
    <row r="572" spans="2:18" x14ac:dyDescent="0.25">
      <c r="B572" s="413"/>
      <c r="C572" s="395"/>
      <c r="D572" s="395"/>
      <c r="E572" s="395"/>
      <c r="F572" s="395"/>
      <c r="H572" s="395"/>
      <c r="I572" s="395"/>
      <c r="J572" s="395"/>
      <c r="K572" s="395"/>
      <c r="L572" s="395"/>
      <c r="N572" s="395"/>
      <c r="O572" s="395"/>
      <c r="P572" s="395"/>
      <c r="Q572" s="395"/>
      <c r="R572" s="395"/>
    </row>
    <row r="573" spans="2:18" x14ac:dyDescent="0.25">
      <c r="B573" s="413"/>
      <c r="C573" s="395"/>
      <c r="D573" s="395"/>
      <c r="E573" s="395"/>
      <c r="F573" s="395"/>
      <c r="H573" s="395"/>
      <c r="I573" s="395"/>
      <c r="J573" s="395"/>
      <c r="K573" s="395"/>
      <c r="L573" s="395"/>
      <c r="N573" s="395"/>
      <c r="O573" s="395"/>
      <c r="P573" s="395"/>
      <c r="Q573" s="395"/>
      <c r="R573" s="395"/>
    </row>
    <row r="574" spans="2:18" x14ac:dyDescent="0.25">
      <c r="B574" s="413"/>
      <c r="C574" s="395"/>
      <c r="D574" s="395"/>
      <c r="E574" s="395"/>
      <c r="F574" s="395"/>
      <c r="H574" s="395"/>
      <c r="I574" s="395"/>
      <c r="J574" s="395"/>
      <c r="K574" s="395"/>
      <c r="L574" s="395"/>
      <c r="N574" s="395"/>
      <c r="O574" s="395"/>
      <c r="P574" s="395"/>
      <c r="Q574" s="395"/>
      <c r="R574" s="395"/>
    </row>
    <row r="575" spans="2:18" x14ac:dyDescent="0.25">
      <c r="B575" s="413"/>
      <c r="C575" s="395"/>
      <c r="D575" s="395"/>
      <c r="E575" s="395"/>
      <c r="F575" s="395"/>
      <c r="H575" s="395"/>
      <c r="I575" s="395"/>
      <c r="J575" s="395"/>
      <c r="K575" s="395"/>
      <c r="L575" s="395"/>
      <c r="N575" s="395"/>
      <c r="O575" s="395"/>
      <c r="P575" s="395"/>
      <c r="Q575" s="395"/>
      <c r="R575" s="395"/>
    </row>
    <row r="576" spans="2:18" x14ac:dyDescent="0.25">
      <c r="B576" s="413"/>
      <c r="C576" s="395"/>
      <c r="D576" s="395"/>
      <c r="E576" s="395"/>
      <c r="F576" s="395"/>
      <c r="H576" s="395"/>
      <c r="I576" s="395"/>
      <c r="J576" s="395"/>
      <c r="K576" s="395"/>
      <c r="L576" s="395"/>
      <c r="N576" s="395"/>
      <c r="O576" s="395"/>
      <c r="P576" s="395"/>
      <c r="Q576" s="395"/>
      <c r="R576" s="395"/>
    </row>
    <row r="577" spans="2:18" x14ac:dyDescent="0.25">
      <c r="B577" s="413"/>
      <c r="C577" s="395"/>
      <c r="D577" s="395"/>
      <c r="E577" s="395"/>
      <c r="F577" s="395"/>
      <c r="H577" s="395"/>
      <c r="I577" s="395"/>
      <c r="J577" s="395"/>
      <c r="K577" s="395"/>
      <c r="L577" s="395"/>
      <c r="N577" s="395"/>
      <c r="O577" s="395"/>
      <c r="P577" s="395"/>
      <c r="Q577" s="395"/>
      <c r="R577" s="395"/>
    </row>
    <row r="578" spans="2:18" x14ac:dyDescent="0.25">
      <c r="B578" s="413"/>
      <c r="C578" s="395"/>
      <c r="D578" s="395"/>
      <c r="E578" s="395"/>
      <c r="F578" s="395"/>
      <c r="H578" s="395"/>
      <c r="I578" s="395"/>
      <c r="J578" s="395"/>
      <c r="K578" s="395"/>
      <c r="L578" s="395"/>
      <c r="N578" s="395"/>
      <c r="O578" s="395"/>
      <c r="P578" s="395"/>
      <c r="Q578" s="395"/>
      <c r="R578" s="395"/>
    </row>
    <row r="579" spans="2:18" x14ac:dyDescent="0.25">
      <c r="B579" s="413"/>
      <c r="C579" s="395"/>
      <c r="D579" s="395"/>
      <c r="E579" s="395"/>
      <c r="F579" s="395"/>
      <c r="H579" s="395"/>
      <c r="I579" s="395"/>
      <c r="J579" s="395"/>
      <c r="K579" s="395"/>
      <c r="L579" s="395"/>
      <c r="N579" s="395"/>
      <c r="O579" s="395"/>
      <c r="P579" s="395"/>
      <c r="Q579" s="395"/>
      <c r="R579" s="395"/>
    </row>
    <row r="580" spans="2:18" x14ac:dyDescent="0.25">
      <c r="B580" s="413"/>
      <c r="C580" s="395"/>
      <c r="D580" s="395"/>
      <c r="E580" s="395"/>
      <c r="F580" s="395"/>
      <c r="H580" s="395"/>
      <c r="I580" s="395"/>
      <c r="J580" s="395"/>
      <c r="K580" s="395"/>
      <c r="L580" s="395"/>
      <c r="N580" s="395"/>
      <c r="O580" s="395"/>
      <c r="P580" s="395"/>
      <c r="Q580" s="395"/>
      <c r="R580" s="395"/>
    </row>
    <row r="581" spans="2:18" x14ac:dyDescent="0.25">
      <c r="B581" s="413"/>
      <c r="C581" s="395"/>
      <c r="D581" s="395"/>
      <c r="E581" s="395"/>
      <c r="F581" s="395"/>
      <c r="H581" s="395"/>
      <c r="I581" s="395"/>
      <c r="J581" s="395"/>
      <c r="K581" s="395"/>
      <c r="L581" s="395"/>
      <c r="N581" s="395"/>
      <c r="O581" s="395"/>
      <c r="P581" s="395"/>
      <c r="Q581" s="395"/>
      <c r="R581" s="395"/>
    </row>
    <row r="582" spans="2:18" x14ac:dyDescent="0.25">
      <c r="B582" s="413"/>
      <c r="C582" s="395"/>
      <c r="D582" s="395"/>
      <c r="E582" s="395"/>
      <c r="F582" s="395"/>
      <c r="H582" s="395"/>
      <c r="I582" s="395"/>
      <c r="J582" s="395"/>
      <c r="K582" s="395"/>
      <c r="L582" s="395"/>
      <c r="N582" s="395"/>
      <c r="O582" s="395"/>
      <c r="P582" s="395"/>
      <c r="Q582" s="395"/>
      <c r="R582" s="395"/>
    </row>
    <row r="583" spans="2:18" x14ac:dyDescent="0.25">
      <c r="B583" s="413"/>
      <c r="C583" s="395"/>
      <c r="D583" s="395"/>
      <c r="E583" s="395"/>
      <c r="F583" s="395"/>
      <c r="H583" s="395"/>
      <c r="I583" s="395"/>
      <c r="J583" s="395"/>
      <c r="K583" s="395"/>
      <c r="L583" s="395"/>
      <c r="N583" s="395"/>
      <c r="O583" s="395"/>
      <c r="P583" s="395"/>
      <c r="Q583" s="395"/>
      <c r="R583" s="395"/>
    </row>
    <row r="584" spans="2:18" x14ac:dyDescent="0.25">
      <c r="B584" s="413"/>
      <c r="C584" s="395"/>
      <c r="D584" s="395"/>
      <c r="E584" s="395"/>
      <c r="F584" s="395"/>
      <c r="H584" s="395"/>
      <c r="I584" s="395"/>
      <c r="J584" s="395"/>
      <c r="K584" s="395"/>
      <c r="L584" s="395"/>
      <c r="N584" s="395"/>
      <c r="O584" s="395"/>
      <c r="P584" s="395"/>
      <c r="Q584" s="395"/>
      <c r="R584" s="395"/>
    </row>
    <row r="585" spans="2:18" x14ac:dyDescent="0.25">
      <c r="B585" s="413"/>
      <c r="C585" s="395"/>
      <c r="D585" s="395"/>
      <c r="E585" s="395"/>
      <c r="F585" s="395"/>
      <c r="H585" s="395"/>
      <c r="I585" s="395"/>
      <c r="J585" s="395"/>
      <c r="K585" s="395"/>
      <c r="L585" s="395"/>
      <c r="N585" s="395"/>
      <c r="O585" s="395"/>
      <c r="P585" s="395"/>
      <c r="Q585" s="395"/>
      <c r="R585" s="395"/>
    </row>
    <row r="586" spans="2:18" x14ac:dyDescent="0.25">
      <c r="B586" s="413"/>
      <c r="C586" s="395"/>
      <c r="D586" s="395"/>
      <c r="E586" s="395"/>
      <c r="F586" s="395"/>
      <c r="H586" s="395"/>
      <c r="I586" s="395"/>
      <c r="J586" s="395"/>
      <c r="K586" s="395"/>
      <c r="L586" s="395"/>
      <c r="N586" s="395"/>
      <c r="O586" s="395"/>
      <c r="P586" s="395"/>
      <c r="Q586" s="395"/>
      <c r="R586" s="395"/>
    </row>
    <row r="587" spans="2:18" x14ac:dyDescent="0.25">
      <c r="B587" s="413"/>
      <c r="C587" s="395"/>
      <c r="D587" s="395"/>
      <c r="E587" s="395"/>
      <c r="F587" s="395"/>
      <c r="H587" s="395"/>
      <c r="I587" s="395"/>
      <c r="J587" s="395"/>
      <c r="K587" s="395"/>
      <c r="L587" s="395"/>
      <c r="N587" s="395"/>
      <c r="O587" s="395"/>
      <c r="P587" s="395"/>
      <c r="Q587" s="395"/>
      <c r="R587" s="395"/>
    </row>
    <row r="588" spans="2:18" x14ac:dyDescent="0.25">
      <c r="B588" s="413"/>
      <c r="C588" s="395"/>
      <c r="D588" s="395"/>
      <c r="E588" s="395"/>
      <c r="F588" s="395"/>
      <c r="H588" s="395"/>
      <c r="I588" s="395"/>
      <c r="J588" s="395"/>
      <c r="K588" s="395"/>
      <c r="L588" s="395"/>
      <c r="N588" s="395"/>
      <c r="O588" s="395"/>
      <c r="P588" s="395"/>
      <c r="Q588" s="395"/>
      <c r="R588" s="395"/>
    </row>
    <row r="589" spans="2:18" x14ac:dyDescent="0.25">
      <c r="B589" s="413"/>
      <c r="C589" s="395"/>
      <c r="D589" s="395"/>
      <c r="E589" s="395"/>
      <c r="F589" s="395"/>
      <c r="H589" s="395"/>
      <c r="I589" s="395"/>
      <c r="J589" s="395"/>
      <c r="K589" s="395"/>
      <c r="L589" s="395"/>
      <c r="N589" s="395"/>
      <c r="O589" s="395"/>
      <c r="P589" s="395"/>
      <c r="Q589" s="395"/>
      <c r="R589" s="395"/>
    </row>
    <row r="590" spans="2:18" x14ac:dyDescent="0.25">
      <c r="B590" s="413"/>
      <c r="C590" s="395"/>
      <c r="D590" s="395"/>
      <c r="E590" s="395"/>
      <c r="F590" s="395"/>
      <c r="H590" s="395"/>
      <c r="I590" s="395"/>
      <c r="J590" s="395"/>
      <c r="K590" s="395"/>
      <c r="L590" s="395"/>
      <c r="N590" s="395"/>
      <c r="O590" s="395"/>
      <c r="P590" s="395"/>
      <c r="Q590" s="395"/>
      <c r="R590" s="395"/>
    </row>
    <row r="591" spans="2:18" x14ac:dyDescent="0.25">
      <c r="B591" s="413"/>
      <c r="C591" s="395"/>
      <c r="D591" s="395"/>
      <c r="E591" s="395"/>
      <c r="F591" s="395"/>
      <c r="H591" s="395"/>
      <c r="I591" s="395"/>
      <c r="J591" s="395"/>
      <c r="K591" s="395"/>
      <c r="L591" s="395"/>
      <c r="N591" s="395"/>
      <c r="O591" s="395"/>
      <c r="P591" s="395"/>
      <c r="Q591" s="395"/>
      <c r="R591" s="395"/>
    </row>
    <row r="592" spans="2:18" x14ac:dyDescent="0.25">
      <c r="B592" s="413"/>
      <c r="C592" s="395"/>
      <c r="D592" s="395"/>
      <c r="E592" s="395"/>
      <c r="F592" s="395"/>
      <c r="H592" s="395"/>
      <c r="I592" s="395"/>
      <c r="J592" s="395"/>
      <c r="K592" s="395"/>
      <c r="L592" s="395"/>
      <c r="N592" s="395"/>
      <c r="O592" s="395"/>
      <c r="P592" s="395"/>
      <c r="Q592" s="395"/>
      <c r="R592" s="395"/>
    </row>
    <row r="593" spans="2:18" x14ac:dyDescent="0.25">
      <c r="B593" s="413"/>
      <c r="C593" s="395"/>
      <c r="D593" s="395"/>
      <c r="E593" s="395"/>
      <c r="F593" s="395"/>
      <c r="H593" s="395"/>
      <c r="I593" s="395"/>
      <c r="J593" s="395"/>
      <c r="K593" s="395"/>
      <c r="L593" s="395"/>
      <c r="N593" s="395"/>
      <c r="O593" s="395"/>
      <c r="P593" s="395"/>
      <c r="Q593" s="395"/>
      <c r="R593" s="395"/>
    </row>
    <row r="594" spans="2:18" x14ac:dyDescent="0.25">
      <c r="B594" s="413"/>
      <c r="C594" s="395"/>
      <c r="D594" s="395"/>
      <c r="E594" s="395"/>
      <c r="F594" s="395"/>
      <c r="H594" s="395"/>
      <c r="I594" s="395"/>
      <c r="J594" s="395"/>
      <c r="K594" s="395"/>
      <c r="L594" s="395"/>
      <c r="N594" s="395"/>
      <c r="O594" s="395"/>
      <c r="P594" s="395"/>
      <c r="Q594" s="395"/>
      <c r="R594" s="395"/>
    </row>
    <row r="595" spans="2:18" x14ac:dyDescent="0.25">
      <c r="B595" s="413"/>
      <c r="C595" s="395"/>
      <c r="D595" s="395"/>
      <c r="E595" s="395"/>
      <c r="F595" s="395"/>
      <c r="H595" s="395"/>
      <c r="I595" s="395"/>
      <c r="J595" s="395"/>
      <c r="K595" s="395"/>
      <c r="L595" s="395"/>
      <c r="N595" s="395"/>
      <c r="O595" s="395"/>
      <c r="P595" s="395"/>
      <c r="Q595" s="395"/>
      <c r="R595" s="395"/>
    </row>
    <row r="596" spans="2:18" x14ac:dyDescent="0.25">
      <c r="B596" s="413"/>
      <c r="C596" s="395"/>
      <c r="D596" s="395"/>
      <c r="E596" s="395"/>
      <c r="F596" s="395"/>
      <c r="H596" s="395"/>
      <c r="I596" s="395"/>
      <c r="J596" s="395"/>
      <c r="K596" s="395"/>
      <c r="L596" s="395"/>
      <c r="N596" s="395"/>
      <c r="O596" s="395"/>
      <c r="P596" s="395"/>
      <c r="Q596" s="395"/>
      <c r="R596" s="395"/>
    </row>
    <row r="597" spans="2:18" x14ac:dyDescent="0.25">
      <c r="B597" s="413"/>
      <c r="C597" s="395"/>
      <c r="D597" s="395"/>
      <c r="E597" s="395"/>
      <c r="F597" s="395"/>
      <c r="H597" s="395"/>
      <c r="I597" s="395"/>
      <c r="J597" s="395"/>
      <c r="K597" s="395"/>
      <c r="L597" s="395"/>
      <c r="N597" s="395"/>
      <c r="O597" s="395"/>
      <c r="P597" s="395"/>
      <c r="Q597" s="395"/>
      <c r="R597" s="395"/>
    </row>
    <row r="598" spans="2:18" x14ac:dyDescent="0.25">
      <c r="B598" s="413"/>
      <c r="C598" s="395"/>
      <c r="D598" s="395"/>
      <c r="E598" s="395"/>
      <c r="F598" s="395"/>
      <c r="H598" s="395"/>
      <c r="I598" s="395"/>
      <c r="J598" s="395"/>
      <c r="K598" s="395"/>
      <c r="L598" s="395"/>
      <c r="N598" s="395"/>
      <c r="O598" s="395"/>
      <c r="P598" s="395"/>
      <c r="Q598" s="395"/>
      <c r="R598" s="395"/>
    </row>
    <row r="599" spans="2:18" x14ac:dyDescent="0.25">
      <c r="B599" s="413"/>
      <c r="C599" s="395"/>
      <c r="D599" s="395"/>
      <c r="E599" s="395"/>
      <c r="F599" s="395"/>
      <c r="H599" s="395"/>
      <c r="I599" s="395"/>
      <c r="J599" s="395"/>
      <c r="K599" s="395"/>
      <c r="L599" s="395"/>
      <c r="N599" s="395"/>
      <c r="O599" s="395"/>
      <c r="P599" s="395"/>
      <c r="Q599" s="395"/>
      <c r="R599" s="395"/>
    </row>
    <row r="600" spans="2:18" x14ac:dyDescent="0.25">
      <c r="B600" s="413"/>
      <c r="C600" s="395"/>
      <c r="D600" s="395"/>
      <c r="E600" s="395"/>
      <c r="F600" s="395"/>
      <c r="H600" s="395"/>
      <c r="I600" s="395"/>
      <c r="J600" s="395"/>
      <c r="K600" s="395"/>
      <c r="L600" s="395"/>
      <c r="N600" s="395"/>
      <c r="O600" s="395"/>
      <c r="P600" s="395"/>
      <c r="Q600" s="395"/>
      <c r="R600" s="395"/>
    </row>
    <row r="601" spans="2:18" x14ac:dyDescent="0.25">
      <c r="B601" s="413"/>
      <c r="C601" s="395"/>
      <c r="D601" s="395"/>
      <c r="E601" s="395"/>
      <c r="F601" s="395"/>
      <c r="H601" s="395"/>
      <c r="I601" s="395"/>
      <c r="J601" s="395"/>
      <c r="K601" s="395"/>
      <c r="L601" s="395"/>
      <c r="N601" s="395"/>
      <c r="O601" s="395"/>
      <c r="P601" s="395"/>
      <c r="Q601" s="395"/>
      <c r="R601" s="395"/>
    </row>
    <row r="602" spans="2:18" x14ac:dyDescent="0.25">
      <c r="B602" s="413"/>
      <c r="C602" s="395"/>
      <c r="D602" s="395"/>
      <c r="E602" s="395"/>
      <c r="F602" s="395"/>
      <c r="H602" s="395"/>
      <c r="I602" s="395"/>
      <c r="J602" s="395"/>
      <c r="K602" s="395"/>
      <c r="L602" s="395"/>
      <c r="N602" s="395"/>
      <c r="O602" s="395"/>
      <c r="P602" s="395"/>
      <c r="Q602" s="395"/>
      <c r="R602" s="395"/>
    </row>
    <row r="603" spans="2:18" x14ac:dyDescent="0.25">
      <c r="B603" s="413"/>
      <c r="C603" s="395"/>
      <c r="D603" s="395"/>
      <c r="E603" s="395"/>
      <c r="F603" s="395"/>
      <c r="H603" s="395"/>
      <c r="I603" s="395"/>
      <c r="J603" s="395"/>
      <c r="K603" s="395"/>
      <c r="L603" s="395"/>
      <c r="N603" s="395"/>
      <c r="O603" s="395"/>
      <c r="P603" s="395"/>
      <c r="Q603" s="395"/>
      <c r="R603" s="395"/>
    </row>
    <row r="604" spans="2:18" x14ac:dyDescent="0.25">
      <c r="B604" s="413"/>
      <c r="C604" s="395"/>
      <c r="D604" s="395"/>
      <c r="E604" s="395"/>
      <c r="F604" s="395"/>
      <c r="H604" s="395"/>
      <c r="I604" s="395"/>
      <c r="J604" s="395"/>
      <c r="K604" s="395"/>
      <c r="L604" s="395"/>
      <c r="N604" s="395"/>
      <c r="O604" s="395"/>
      <c r="P604" s="395"/>
      <c r="Q604" s="395"/>
      <c r="R604" s="395"/>
    </row>
    <row r="605" spans="2:18" x14ac:dyDescent="0.25">
      <c r="B605" s="413"/>
      <c r="C605" s="395"/>
      <c r="D605" s="395"/>
      <c r="E605" s="395"/>
      <c r="F605" s="395"/>
      <c r="H605" s="395"/>
      <c r="I605" s="395"/>
      <c r="J605" s="395"/>
      <c r="K605" s="395"/>
      <c r="L605" s="395"/>
      <c r="N605" s="395"/>
      <c r="O605" s="395"/>
      <c r="P605" s="395"/>
      <c r="Q605" s="395"/>
      <c r="R605" s="395"/>
    </row>
    <row r="606" spans="2:18" x14ac:dyDescent="0.25">
      <c r="B606" s="413"/>
      <c r="C606" s="395"/>
      <c r="D606" s="395"/>
      <c r="E606" s="395"/>
      <c r="F606" s="395"/>
      <c r="H606" s="395"/>
      <c r="I606" s="395"/>
      <c r="J606" s="395"/>
      <c r="K606" s="395"/>
      <c r="L606" s="395"/>
      <c r="N606" s="395"/>
      <c r="O606" s="395"/>
      <c r="P606" s="395"/>
      <c r="Q606" s="395"/>
      <c r="R606" s="395"/>
    </row>
    <row r="607" spans="2:18" x14ac:dyDescent="0.25">
      <c r="B607" s="413"/>
      <c r="C607" s="395"/>
      <c r="D607" s="395"/>
      <c r="E607" s="395"/>
      <c r="F607" s="395"/>
      <c r="H607" s="395"/>
      <c r="I607" s="395"/>
      <c r="J607" s="395"/>
      <c r="K607" s="395"/>
      <c r="L607" s="395"/>
      <c r="N607" s="395"/>
      <c r="O607" s="395"/>
      <c r="P607" s="395"/>
      <c r="Q607" s="395"/>
      <c r="R607" s="395"/>
    </row>
    <row r="608" spans="2:18" x14ac:dyDescent="0.25">
      <c r="B608" s="413"/>
      <c r="C608" s="395"/>
      <c r="D608" s="395"/>
      <c r="E608" s="395"/>
      <c r="F608" s="395"/>
      <c r="H608" s="395"/>
      <c r="I608" s="395"/>
      <c r="J608" s="395"/>
      <c r="K608" s="395"/>
      <c r="L608" s="395"/>
      <c r="N608" s="395"/>
      <c r="O608" s="395"/>
      <c r="P608" s="395"/>
      <c r="Q608" s="395"/>
      <c r="R608" s="395"/>
    </row>
    <row r="609" spans="2:18" x14ac:dyDescent="0.25">
      <c r="B609" s="413"/>
      <c r="C609" s="395"/>
      <c r="D609" s="395"/>
      <c r="E609" s="395"/>
      <c r="F609" s="395"/>
      <c r="H609" s="395"/>
      <c r="I609" s="395"/>
      <c r="J609" s="395"/>
      <c r="K609" s="395"/>
      <c r="L609" s="395"/>
      <c r="N609" s="395"/>
      <c r="O609" s="395"/>
      <c r="P609" s="395"/>
      <c r="Q609" s="395"/>
      <c r="R609" s="395"/>
    </row>
    <row r="610" spans="2:18" x14ac:dyDescent="0.25">
      <c r="B610" s="413"/>
      <c r="C610" s="395"/>
      <c r="D610" s="395"/>
      <c r="E610" s="395"/>
      <c r="F610" s="395"/>
      <c r="H610" s="395"/>
      <c r="I610" s="395"/>
      <c r="J610" s="395"/>
      <c r="K610" s="395"/>
      <c r="L610" s="395"/>
      <c r="N610" s="395"/>
      <c r="O610" s="395"/>
      <c r="P610" s="395"/>
      <c r="Q610" s="395"/>
      <c r="R610" s="395"/>
    </row>
    <row r="611" spans="2:18" x14ac:dyDescent="0.25">
      <c r="B611" s="413"/>
      <c r="C611" s="395"/>
      <c r="D611" s="395"/>
      <c r="E611" s="395"/>
      <c r="F611" s="395"/>
      <c r="H611" s="395"/>
      <c r="I611" s="395"/>
      <c r="J611" s="395"/>
      <c r="K611" s="395"/>
      <c r="L611" s="395"/>
      <c r="N611" s="395"/>
      <c r="O611" s="395"/>
      <c r="P611" s="395"/>
      <c r="Q611" s="395"/>
      <c r="R611" s="395"/>
    </row>
    <row r="612" spans="2:18" x14ac:dyDescent="0.25">
      <c r="B612" s="413"/>
      <c r="C612" s="395"/>
      <c r="D612" s="395"/>
      <c r="E612" s="395"/>
      <c r="F612" s="395"/>
      <c r="H612" s="395"/>
      <c r="I612" s="395"/>
      <c r="J612" s="395"/>
      <c r="K612" s="395"/>
      <c r="L612" s="395"/>
      <c r="N612" s="395"/>
      <c r="O612" s="395"/>
      <c r="P612" s="395"/>
      <c r="Q612" s="395"/>
      <c r="R612" s="395"/>
    </row>
    <row r="613" spans="2:18" x14ac:dyDescent="0.25">
      <c r="B613" s="413"/>
      <c r="C613" s="395"/>
      <c r="D613" s="395"/>
      <c r="E613" s="395"/>
      <c r="F613" s="395"/>
      <c r="H613" s="395"/>
      <c r="I613" s="395"/>
      <c r="J613" s="395"/>
      <c r="K613" s="395"/>
      <c r="L613" s="395"/>
      <c r="N613" s="395"/>
      <c r="O613" s="395"/>
      <c r="P613" s="395"/>
      <c r="Q613" s="395"/>
      <c r="R613" s="395"/>
    </row>
    <row r="614" spans="2:18" x14ac:dyDescent="0.25">
      <c r="B614" s="413"/>
      <c r="C614" s="395"/>
      <c r="D614" s="395"/>
      <c r="E614" s="395"/>
      <c r="F614" s="395"/>
      <c r="H614" s="395"/>
      <c r="I614" s="395"/>
      <c r="J614" s="395"/>
      <c r="K614" s="395"/>
      <c r="L614" s="395"/>
      <c r="N614" s="395"/>
      <c r="O614" s="395"/>
      <c r="P614" s="395"/>
      <c r="Q614" s="395"/>
      <c r="R614" s="395"/>
    </row>
    <row r="615" spans="2:18" x14ac:dyDescent="0.25">
      <c r="B615" s="413"/>
      <c r="C615" s="395"/>
      <c r="D615" s="395"/>
      <c r="E615" s="395"/>
      <c r="F615" s="395"/>
      <c r="H615" s="395"/>
      <c r="I615" s="395"/>
      <c r="J615" s="395"/>
      <c r="K615" s="395"/>
      <c r="L615" s="395"/>
      <c r="N615" s="395"/>
      <c r="O615" s="395"/>
      <c r="P615" s="395"/>
      <c r="Q615" s="395"/>
      <c r="R615" s="395"/>
    </row>
    <row r="616" spans="2:18" x14ac:dyDescent="0.25">
      <c r="B616" s="413"/>
      <c r="C616" s="395"/>
      <c r="D616" s="395"/>
      <c r="E616" s="395"/>
      <c r="F616" s="395"/>
      <c r="H616" s="395"/>
      <c r="I616" s="395"/>
      <c r="J616" s="395"/>
      <c r="K616" s="395"/>
      <c r="L616" s="395"/>
      <c r="N616" s="395"/>
      <c r="O616" s="395"/>
      <c r="P616" s="395"/>
      <c r="Q616" s="395"/>
      <c r="R616" s="395"/>
    </row>
    <row r="617" spans="2:18" x14ac:dyDescent="0.25">
      <c r="B617" s="413"/>
      <c r="C617" s="395"/>
      <c r="D617" s="395"/>
      <c r="E617" s="395"/>
      <c r="F617" s="395"/>
      <c r="H617" s="395"/>
      <c r="I617" s="395"/>
      <c r="J617" s="395"/>
      <c r="K617" s="395"/>
      <c r="L617" s="395"/>
      <c r="N617" s="395"/>
      <c r="O617" s="395"/>
      <c r="P617" s="395"/>
      <c r="Q617" s="395"/>
      <c r="R617" s="395"/>
    </row>
    <row r="618" spans="2:18" x14ac:dyDescent="0.25">
      <c r="B618" s="413"/>
      <c r="C618" s="395"/>
      <c r="D618" s="395"/>
      <c r="E618" s="395"/>
      <c r="F618" s="395"/>
      <c r="H618" s="395"/>
      <c r="I618" s="395"/>
      <c r="J618" s="395"/>
      <c r="K618" s="395"/>
      <c r="L618" s="395"/>
      <c r="N618" s="395"/>
      <c r="O618" s="395"/>
      <c r="P618" s="395"/>
      <c r="Q618" s="395"/>
      <c r="R618" s="395"/>
    </row>
    <row r="619" spans="2:18" x14ac:dyDescent="0.25">
      <c r="B619" s="413"/>
      <c r="C619" s="395"/>
      <c r="D619" s="395"/>
      <c r="E619" s="395"/>
      <c r="F619" s="395"/>
      <c r="H619" s="395"/>
      <c r="I619" s="395"/>
      <c r="J619" s="395"/>
      <c r="K619" s="395"/>
      <c r="L619" s="395"/>
      <c r="N619" s="395"/>
      <c r="O619" s="395"/>
      <c r="P619" s="395"/>
      <c r="Q619" s="395"/>
      <c r="R619" s="395"/>
    </row>
    <row r="620" spans="2:18" x14ac:dyDescent="0.25">
      <c r="B620" s="413"/>
      <c r="C620" s="395"/>
      <c r="D620" s="395"/>
      <c r="E620" s="395"/>
      <c r="F620" s="395"/>
      <c r="H620" s="395"/>
      <c r="I620" s="395"/>
      <c r="J620" s="395"/>
      <c r="K620" s="395"/>
      <c r="L620" s="395"/>
      <c r="N620" s="395"/>
      <c r="O620" s="395"/>
      <c r="P620" s="395"/>
      <c r="Q620" s="395"/>
      <c r="R620" s="395"/>
    </row>
    <row r="621" spans="2:18" x14ac:dyDescent="0.25">
      <c r="B621" s="413"/>
      <c r="C621" s="395"/>
      <c r="D621" s="395"/>
      <c r="E621" s="395"/>
      <c r="F621" s="395"/>
      <c r="H621" s="395"/>
      <c r="I621" s="395"/>
      <c r="J621" s="395"/>
      <c r="K621" s="395"/>
      <c r="L621" s="395"/>
      <c r="N621" s="395"/>
      <c r="O621" s="395"/>
      <c r="P621" s="395"/>
      <c r="Q621" s="395"/>
      <c r="R621" s="395"/>
    </row>
    <row r="622" spans="2:18" x14ac:dyDescent="0.25">
      <c r="B622" s="413"/>
      <c r="C622" s="395"/>
      <c r="D622" s="395"/>
      <c r="E622" s="395"/>
      <c r="F622" s="395"/>
      <c r="H622" s="395"/>
      <c r="I622" s="395"/>
      <c r="J622" s="395"/>
      <c r="K622" s="395"/>
      <c r="L622" s="395"/>
      <c r="N622" s="395"/>
      <c r="O622" s="395"/>
      <c r="P622" s="395"/>
      <c r="Q622" s="395"/>
      <c r="R622" s="395"/>
    </row>
    <row r="623" spans="2:18" x14ac:dyDescent="0.25">
      <c r="B623" s="413"/>
      <c r="C623" s="395"/>
      <c r="D623" s="395"/>
      <c r="E623" s="395"/>
      <c r="F623" s="395"/>
      <c r="H623" s="395"/>
      <c r="I623" s="395"/>
      <c r="J623" s="395"/>
      <c r="K623" s="395"/>
      <c r="L623" s="395"/>
      <c r="N623" s="395"/>
      <c r="O623" s="395"/>
      <c r="P623" s="395"/>
      <c r="Q623" s="395"/>
      <c r="R623" s="395"/>
    </row>
    <row r="624" spans="2:18" x14ac:dyDescent="0.25">
      <c r="B624" s="413"/>
      <c r="C624" s="395"/>
      <c r="D624" s="395"/>
      <c r="E624" s="395"/>
      <c r="F624" s="395"/>
      <c r="H624" s="395"/>
      <c r="I624" s="395"/>
      <c r="J624" s="395"/>
      <c r="K624" s="395"/>
      <c r="L624" s="395"/>
      <c r="N624" s="395"/>
      <c r="O624" s="395"/>
      <c r="P624" s="395"/>
      <c r="Q624" s="395"/>
      <c r="R624" s="395"/>
    </row>
    <row r="625" spans="2:18" x14ac:dyDescent="0.25">
      <c r="B625" s="413"/>
      <c r="C625" s="395"/>
      <c r="D625" s="395"/>
      <c r="E625" s="395"/>
      <c r="F625" s="395"/>
      <c r="H625" s="395"/>
      <c r="I625" s="395"/>
      <c r="J625" s="395"/>
      <c r="K625" s="395"/>
      <c r="L625" s="395"/>
      <c r="N625" s="395"/>
      <c r="O625" s="395"/>
      <c r="P625" s="395"/>
      <c r="Q625" s="395"/>
      <c r="R625" s="395"/>
    </row>
    <row r="626" spans="2:18" x14ac:dyDescent="0.25">
      <c r="B626" s="413"/>
      <c r="C626" s="395"/>
      <c r="D626" s="395"/>
      <c r="E626" s="395"/>
      <c r="F626" s="395"/>
      <c r="H626" s="395"/>
      <c r="I626" s="395"/>
      <c r="J626" s="395"/>
      <c r="K626" s="395"/>
      <c r="L626" s="395"/>
      <c r="N626" s="395"/>
      <c r="O626" s="395"/>
      <c r="P626" s="395"/>
      <c r="Q626" s="395"/>
      <c r="R626" s="395"/>
    </row>
    <row r="627" spans="2:18" x14ac:dyDescent="0.25">
      <c r="B627" s="413"/>
      <c r="C627" s="395"/>
      <c r="D627" s="395"/>
      <c r="E627" s="395"/>
      <c r="F627" s="395"/>
      <c r="H627" s="395"/>
      <c r="I627" s="395"/>
      <c r="J627" s="395"/>
      <c r="K627" s="395"/>
      <c r="L627" s="395"/>
      <c r="N627" s="395"/>
      <c r="O627" s="395"/>
      <c r="P627" s="395"/>
      <c r="Q627" s="395"/>
      <c r="R627" s="395"/>
    </row>
    <row r="628" spans="2:18" x14ac:dyDescent="0.25">
      <c r="B628" s="413"/>
      <c r="C628" s="395"/>
      <c r="D628" s="395"/>
      <c r="E628" s="395"/>
      <c r="F628" s="395"/>
      <c r="H628" s="395"/>
      <c r="I628" s="395"/>
      <c r="J628" s="395"/>
      <c r="K628" s="395"/>
      <c r="L628" s="395"/>
      <c r="N628" s="395"/>
      <c r="O628" s="395"/>
      <c r="P628" s="395"/>
      <c r="Q628" s="395"/>
      <c r="R628" s="395"/>
    </row>
    <row r="629" spans="2:18" x14ac:dyDescent="0.25">
      <c r="B629" s="413"/>
      <c r="C629" s="395"/>
      <c r="D629" s="395"/>
      <c r="E629" s="395"/>
      <c r="F629" s="395"/>
      <c r="H629" s="395"/>
      <c r="I629" s="395"/>
      <c r="J629" s="395"/>
      <c r="K629" s="395"/>
      <c r="L629" s="395"/>
      <c r="N629" s="395"/>
      <c r="O629" s="395"/>
      <c r="P629" s="395"/>
      <c r="Q629" s="395"/>
      <c r="R629" s="395"/>
    </row>
    <row r="630" spans="2:18" x14ac:dyDescent="0.25">
      <c r="B630" s="413"/>
      <c r="C630" s="395"/>
      <c r="D630" s="395"/>
      <c r="E630" s="395"/>
      <c r="F630" s="395"/>
      <c r="H630" s="395"/>
      <c r="I630" s="395"/>
      <c r="J630" s="395"/>
      <c r="K630" s="395"/>
      <c r="L630" s="395"/>
      <c r="N630" s="395"/>
      <c r="O630" s="395"/>
      <c r="P630" s="395"/>
      <c r="Q630" s="395"/>
      <c r="R630" s="395"/>
    </row>
    <row r="631" spans="2:18" x14ac:dyDescent="0.25">
      <c r="B631" s="413"/>
      <c r="C631" s="395"/>
      <c r="D631" s="395"/>
      <c r="E631" s="395"/>
      <c r="F631" s="395"/>
      <c r="H631" s="395"/>
      <c r="I631" s="395"/>
      <c r="J631" s="395"/>
      <c r="K631" s="395"/>
      <c r="L631" s="395"/>
      <c r="N631" s="395"/>
      <c r="O631" s="395"/>
      <c r="P631" s="395"/>
      <c r="Q631" s="395"/>
      <c r="R631" s="395"/>
    </row>
    <row r="632" spans="2:18" x14ac:dyDescent="0.25">
      <c r="B632" s="413"/>
      <c r="C632" s="395"/>
      <c r="D632" s="395"/>
      <c r="E632" s="395"/>
      <c r="F632" s="395"/>
      <c r="H632" s="395"/>
      <c r="I632" s="395"/>
      <c r="J632" s="395"/>
      <c r="K632" s="395"/>
      <c r="L632" s="395"/>
      <c r="N632" s="395"/>
      <c r="O632" s="395"/>
      <c r="P632" s="395"/>
      <c r="Q632" s="395"/>
      <c r="R632" s="395"/>
    </row>
    <row r="633" spans="2:18" x14ac:dyDescent="0.25">
      <c r="B633" s="413"/>
      <c r="C633" s="395"/>
      <c r="D633" s="395"/>
      <c r="E633" s="395"/>
      <c r="F633" s="395"/>
      <c r="H633" s="395"/>
      <c r="I633" s="395"/>
      <c r="J633" s="395"/>
      <c r="K633" s="395"/>
      <c r="L633" s="395"/>
      <c r="N633" s="395"/>
      <c r="O633" s="395"/>
      <c r="P633" s="395"/>
      <c r="Q633" s="395"/>
      <c r="R633" s="395"/>
    </row>
    <row r="634" spans="2:18" x14ac:dyDescent="0.25">
      <c r="B634" s="413"/>
      <c r="C634" s="395"/>
      <c r="D634" s="395"/>
      <c r="E634" s="395"/>
      <c r="F634" s="395"/>
      <c r="H634" s="395"/>
      <c r="I634" s="395"/>
      <c r="J634" s="395"/>
      <c r="K634" s="395"/>
      <c r="L634" s="395"/>
      <c r="N634" s="395"/>
      <c r="O634" s="395"/>
      <c r="P634" s="395"/>
      <c r="Q634" s="395"/>
      <c r="R634" s="395"/>
    </row>
    <row r="635" spans="2:18" x14ac:dyDescent="0.25">
      <c r="B635" s="413"/>
      <c r="C635" s="395"/>
      <c r="D635" s="395"/>
      <c r="E635" s="395"/>
      <c r="F635" s="395"/>
      <c r="H635" s="395"/>
      <c r="I635" s="395"/>
      <c r="J635" s="395"/>
      <c r="K635" s="395"/>
      <c r="L635" s="395"/>
      <c r="N635" s="395"/>
      <c r="O635" s="395"/>
      <c r="P635" s="395"/>
      <c r="Q635" s="395"/>
      <c r="R635" s="395"/>
    </row>
    <row r="636" spans="2:18" x14ac:dyDescent="0.25">
      <c r="B636" s="413"/>
      <c r="C636" s="395"/>
      <c r="D636" s="395"/>
      <c r="E636" s="395"/>
      <c r="F636" s="395"/>
      <c r="H636" s="395"/>
      <c r="I636" s="395"/>
      <c r="J636" s="395"/>
      <c r="K636" s="395"/>
      <c r="L636" s="395"/>
      <c r="N636" s="395"/>
      <c r="O636" s="395"/>
      <c r="P636" s="395"/>
      <c r="Q636" s="395"/>
      <c r="R636" s="395"/>
    </row>
    <row r="637" spans="2:18" x14ac:dyDescent="0.25">
      <c r="B637" s="413"/>
      <c r="C637" s="395"/>
      <c r="D637" s="395"/>
      <c r="E637" s="395"/>
      <c r="F637" s="395"/>
      <c r="H637" s="395"/>
      <c r="I637" s="395"/>
      <c r="J637" s="395"/>
      <c r="K637" s="395"/>
      <c r="L637" s="395"/>
      <c r="N637" s="395"/>
      <c r="O637" s="395"/>
      <c r="P637" s="395"/>
      <c r="Q637" s="395"/>
      <c r="R637" s="395"/>
    </row>
    <row r="638" spans="2:18" x14ac:dyDescent="0.25">
      <c r="B638" s="413"/>
      <c r="C638" s="395"/>
      <c r="D638" s="395"/>
      <c r="E638" s="395"/>
      <c r="F638" s="395"/>
      <c r="H638" s="395"/>
      <c r="I638" s="395"/>
      <c r="J638" s="395"/>
      <c r="K638" s="395"/>
      <c r="L638" s="395"/>
      <c r="N638" s="395"/>
      <c r="O638" s="395"/>
      <c r="P638" s="395"/>
      <c r="Q638" s="395"/>
      <c r="R638" s="395"/>
    </row>
    <row r="639" spans="2:18" x14ac:dyDescent="0.25">
      <c r="B639" s="413"/>
      <c r="C639" s="395"/>
      <c r="D639" s="395"/>
      <c r="E639" s="395"/>
      <c r="F639" s="395"/>
      <c r="H639" s="395"/>
      <c r="I639" s="395"/>
      <c r="J639" s="395"/>
      <c r="K639" s="395"/>
      <c r="L639" s="395"/>
      <c r="N639" s="395"/>
      <c r="O639" s="395"/>
      <c r="P639" s="395"/>
      <c r="Q639" s="395"/>
      <c r="R639" s="395"/>
    </row>
    <row r="640" spans="2:18" x14ac:dyDescent="0.25">
      <c r="B640" s="413"/>
      <c r="C640" s="395"/>
      <c r="D640" s="395"/>
      <c r="E640" s="395"/>
      <c r="F640" s="395"/>
      <c r="H640" s="395"/>
      <c r="I640" s="395"/>
      <c r="J640" s="395"/>
      <c r="K640" s="395"/>
      <c r="L640" s="395"/>
      <c r="N640" s="395"/>
      <c r="O640" s="395"/>
      <c r="P640" s="395"/>
      <c r="Q640" s="395"/>
      <c r="R640" s="395"/>
    </row>
    <row r="641" spans="2:18" x14ac:dyDescent="0.25">
      <c r="B641" s="413"/>
      <c r="C641" s="395"/>
      <c r="D641" s="395"/>
      <c r="E641" s="395"/>
      <c r="F641" s="395"/>
      <c r="H641" s="395"/>
      <c r="I641" s="395"/>
      <c r="J641" s="395"/>
      <c r="K641" s="395"/>
      <c r="L641" s="395"/>
      <c r="N641" s="395"/>
      <c r="O641" s="395"/>
      <c r="P641" s="395"/>
      <c r="Q641" s="395"/>
      <c r="R641" s="395"/>
    </row>
    <row r="642" spans="2:18" x14ac:dyDescent="0.25">
      <c r="B642" s="413"/>
      <c r="C642" s="395"/>
      <c r="D642" s="395"/>
      <c r="E642" s="395"/>
      <c r="F642" s="395"/>
      <c r="H642" s="395"/>
      <c r="I642" s="395"/>
      <c r="J642" s="395"/>
      <c r="K642" s="395"/>
      <c r="L642" s="395"/>
      <c r="N642" s="395"/>
      <c r="O642" s="395"/>
      <c r="P642" s="395"/>
      <c r="Q642" s="395"/>
      <c r="R642" s="395"/>
    </row>
    <row r="643" spans="2:18" x14ac:dyDescent="0.25">
      <c r="B643" s="413"/>
      <c r="C643" s="395"/>
      <c r="D643" s="395"/>
      <c r="E643" s="395"/>
      <c r="F643" s="395"/>
      <c r="H643" s="395"/>
      <c r="I643" s="395"/>
      <c r="J643" s="395"/>
      <c r="K643" s="395"/>
      <c r="L643" s="395"/>
      <c r="N643" s="395"/>
      <c r="O643" s="395"/>
      <c r="P643" s="395"/>
      <c r="Q643" s="395"/>
      <c r="R643" s="395"/>
    </row>
    <row r="644" spans="2:18" x14ac:dyDescent="0.25">
      <c r="B644" s="413"/>
      <c r="C644" s="395"/>
      <c r="D644" s="395"/>
      <c r="E644" s="395"/>
      <c r="F644" s="395"/>
      <c r="H644" s="395"/>
      <c r="I644" s="395"/>
      <c r="J644" s="395"/>
      <c r="K644" s="395"/>
      <c r="L644" s="395"/>
      <c r="N644" s="395"/>
      <c r="O644" s="395"/>
      <c r="P644" s="395"/>
      <c r="Q644" s="395"/>
      <c r="R644" s="395"/>
    </row>
    <row r="645" spans="2:18" x14ac:dyDescent="0.25">
      <c r="B645" s="413"/>
      <c r="C645" s="395"/>
      <c r="D645" s="395"/>
      <c r="E645" s="395"/>
      <c r="F645" s="395"/>
      <c r="H645" s="395"/>
      <c r="I645" s="395"/>
      <c r="J645" s="395"/>
      <c r="K645" s="395"/>
      <c r="L645" s="395"/>
      <c r="N645" s="395"/>
      <c r="O645" s="395"/>
      <c r="P645" s="395"/>
      <c r="Q645" s="395"/>
      <c r="R645" s="395"/>
    </row>
    <row r="646" spans="2:18" x14ac:dyDescent="0.25">
      <c r="B646" s="413"/>
      <c r="C646" s="395"/>
      <c r="D646" s="395"/>
      <c r="E646" s="395"/>
      <c r="F646" s="395"/>
      <c r="H646" s="395"/>
      <c r="I646" s="395"/>
      <c r="J646" s="395"/>
      <c r="K646" s="395"/>
      <c r="L646" s="395"/>
      <c r="N646" s="395"/>
      <c r="O646" s="395"/>
      <c r="P646" s="395"/>
      <c r="Q646" s="395"/>
      <c r="R646" s="395"/>
    </row>
    <row r="647" spans="2:18" x14ac:dyDescent="0.25">
      <c r="B647" s="413"/>
      <c r="C647" s="395"/>
      <c r="D647" s="395"/>
      <c r="E647" s="395"/>
      <c r="F647" s="395"/>
      <c r="H647" s="395"/>
      <c r="I647" s="395"/>
      <c r="J647" s="395"/>
      <c r="K647" s="395"/>
      <c r="L647" s="395"/>
      <c r="N647" s="395"/>
      <c r="O647" s="395"/>
      <c r="P647" s="395"/>
      <c r="Q647" s="395"/>
      <c r="R647" s="395"/>
    </row>
    <row r="648" spans="2:18" x14ac:dyDescent="0.25">
      <c r="B648" s="413"/>
      <c r="C648" s="395"/>
      <c r="D648" s="395"/>
      <c r="E648" s="395"/>
      <c r="F648" s="395"/>
      <c r="H648" s="395"/>
      <c r="I648" s="395"/>
      <c r="J648" s="395"/>
      <c r="K648" s="395"/>
      <c r="L648" s="395"/>
      <c r="N648" s="395"/>
      <c r="O648" s="395"/>
      <c r="P648" s="395"/>
      <c r="Q648" s="395"/>
      <c r="R648" s="395"/>
    </row>
    <row r="649" spans="2:18" x14ac:dyDescent="0.25">
      <c r="B649" s="413"/>
      <c r="C649" s="395"/>
      <c r="D649" s="395"/>
      <c r="E649" s="395"/>
      <c r="F649" s="395"/>
      <c r="H649" s="395"/>
      <c r="I649" s="395"/>
      <c r="J649" s="395"/>
      <c r="K649" s="395"/>
      <c r="L649" s="395"/>
      <c r="N649" s="395"/>
      <c r="O649" s="395"/>
      <c r="P649" s="395"/>
      <c r="Q649" s="395"/>
      <c r="R649" s="395"/>
    </row>
    <row r="650" spans="2:18" x14ac:dyDescent="0.25">
      <c r="B650" s="413"/>
      <c r="C650" s="395"/>
      <c r="D650" s="395"/>
      <c r="E650" s="395"/>
      <c r="F650" s="395"/>
      <c r="H650" s="395"/>
      <c r="I650" s="395"/>
      <c r="J650" s="395"/>
      <c r="K650" s="395"/>
      <c r="L650" s="395"/>
      <c r="N650" s="395"/>
      <c r="O650" s="395"/>
      <c r="P650" s="395"/>
      <c r="Q650" s="395"/>
      <c r="R650" s="395"/>
    </row>
    <row r="651" spans="2:18" x14ac:dyDescent="0.25">
      <c r="B651" s="413"/>
      <c r="C651" s="395"/>
      <c r="D651" s="395"/>
      <c r="E651" s="395"/>
      <c r="F651" s="395"/>
      <c r="H651" s="395"/>
      <c r="I651" s="395"/>
      <c r="J651" s="395"/>
      <c r="K651" s="395"/>
      <c r="L651" s="395"/>
      <c r="N651" s="395"/>
      <c r="O651" s="395"/>
      <c r="P651" s="395"/>
      <c r="Q651" s="395"/>
      <c r="R651" s="395"/>
    </row>
    <row r="652" spans="2:18" x14ac:dyDescent="0.25">
      <c r="B652" s="413"/>
      <c r="C652" s="395"/>
      <c r="D652" s="395"/>
      <c r="E652" s="395"/>
      <c r="F652" s="395"/>
      <c r="H652" s="395"/>
      <c r="I652" s="395"/>
      <c r="J652" s="395"/>
      <c r="K652" s="395"/>
      <c r="L652" s="395"/>
      <c r="N652" s="395"/>
      <c r="O652" s="395"/>
      <c r="P652" s="395"/>
      <c r="Q652" s="395"/>
      <c r="R652" s="395"/>
    </row>
    <row r="653" spans="2:18" x14ac:dyDescent="0.25">
      <c r="B653" s="413"/>
      <c r="C653" s="395"/>
      <c r="D653" s="395"/>
      <c r="E653" s="395"/>
      <c r="F653" s="395"/>
      <c r="H653" s="395"/>
      <c r="I653" s="395"/>
      <c r="J653" s="395"/>
      <c r="K653" s="395"/>
      <c r="L653" s="395"/>
      <c r="N653" s="395"/>
      <c r="O653" s="395"/>
      <c r="P653" s="395"/>
      <c r="Q653" s="395"/>
      <c r="R653" s="395"/>
    </row>
    <row r="654" spans="2:18" x14ac:dyDescent="0.25">
      <c r="B654" s="413"/>
      <c r="C654" s="395"/>
      <c r="D654" s="395"/>
      <c r="E654" s="395"/>
      <c r="F654" s="395"/>
      <c r="H654" s="395"/>
      <c r="I654" s="395"/>
      <c r="J654" s="395"/>
      <c r="K654" s="395"/>
      <c r="L654" s="395"/>
      <c r="N654" s="395"/>
      <c r="O654" s="395"/>
      <c r="P654" s="395"/>
      <c r="Q654" s="395"/>
      <c r="R654" s="395"/>
    </row>
    <row r="655" spans="2:18" x14ac:dyDescent="0.25">
      <c r="B655" s="413"/>
      <c r="C655" s="395"/>
      <c r="D655" s="395"/>
      <c r="E655" s="395"/>
      <c r="F655" s="395"/>
      <c r="H655" s="395"/>
      <c r="I655" s="395"/>
      <c r="J655" s="395"/>
      <c r="K655" s="395"/>
      <c r="L655" s="395"/>
      <c r="N655" s="395"/>
      <c r="O655" s="395"/>
      <c r="P655" s="395"/>
      <c r="Q655" s="395"/>
      <c r="R655" s="395"/>
    </row>
    <row r="656" spans="2:18" x14ac:dyDescent="0.25">
      <c r="B656" s="413"/>
      <c r="C656" s="395"/>
      <c r="D656" s="395"/>
      <c r="E656" s="395"/>
      <c r="F656" s="395"/>
      <c r="H656" s="395"/>
      <c r="I656" s="395"/>
      <c r="J656" s="395"/>
      <c r="K656" s="395"/>
      <c r="L656" s="395"/>
      <c r="N656" s="395"/>
      <c r="O656" s="395"/>
      <c r="P656" s="395"/>
      <c r="Q656" s="395"/>
      <c r="R656" s="395"/>
    </row>
    <row r="657" spans="2:18" x14ac:dyDescent="0.25">
      <c r="B657" s="413"/>
      <c r="C657" s="395"/>
      <c r="D657" s="395"/>
      <c r="E657" s="395"/>
      <c r="F657" s="395"/>
      <c r="H657" s="395"/>
      <c r="I657" s="395"/>
      <c r="J657" s="395"/>
      <c r="K657" s="395"/>
      <c r="L657" s="395"/>
      <c r="N657" s="395"/>
      <c r="O657" s="395"/>
      <c r="P657" s="395"/>
      <c r="Q657" s="395"/>
      <c r="R657" s="395"/>
    </row>
    <row r="658" spans="2:18" x14ac:dyDescent="0.25">
      <c r="B658" s="413"/>
      <c r="C658" s="395"/>
      <c r="D658" s="395"/>
      <c r="E658" s="395"/>
      <c r="F658" s="395"/>
      <c r="H658" s="395"/>
      <c r="I658" s="395"/>
      <c r="J658" s="395"/>
      <c r="K658" s="395"/>
      <c r="L658" s="395"/>
      <c r="N658" s="395"/>
      <c r="O658" s="395"/>
      <c r="P658" s="395"/>
      <c r="Q658" s="395"/>
      <c r="R658" s="395"/>
    </row>
    <row r="659" spans="2:18" x14ac:dyDescent="0.25">
      <c r="B659" s="413"/>
      <c r="C659" s="395"/>
      <c r="D659" s="395"/>
      <c r="E659" s="395"/>
      <c r="F659" s="395"/>
      <c r="H659" s="395"/>
      <c r="I659" s="395"/>
      <c r="J659" s="395"/>
      <c r="K659" s="395"/>
      <c r="L659" s="395"/>
      <c r="N659" s="395"/>
      <c r="O659" s="395"/>
      <c r="P659" s="395"/>
      <c r="Q659" s="395"/>
      <c r="R659" s="395"/>
    </row>
    <row r="660" spans="2:18" x14ac:dyDescent="0.25">
      <c r="B660" s="413"/>
      <c r="C660" s="395"/>
      <c r="D660" s="395"/>
      <c r="E660" s="395"/>
      <c r="F660" s="395"/>
      <c r="H660" s="395"/>
      <c r="I660" s="395"/>
      <c r="J660" s="395"/>
      <c r="K660" s="395"/>
      <c r="L660" s="395"/>
      <c r="N660" s="395"/>
      <c r="O660" s="395"/>
      <c r="P660" s="395"/>
      <c r="Q660" s="395"/>
      <c r="R660" s="395"/>
    </row>
    <row r="661" spans="2:18" x14ac:dyDescent="0.25">
      <c r="B661" s="413"/>
      <c r="C661" s="395"/>
      <c r="D661" s="395"/>
      <c r="E661" s="395"/>
      <c r="F661" s="395"/>
      <c r="H661" s="395"/>
      <c r="I661" s="395"/>
      <c r="J661" s="395"/>
      <c r="K661" s="395"/>
      <c r="L661" s="395"/>
      <c r="N661" s="395"/>
      <c r="O661" s="395"/>
      <c r="P661" s="395"/>
      <c r="Q661" s="395"/>
      <c r="R661" s="395"/>
    </row>
    <row r="662" spans="2:18" x14ac:dyDescent="0.25">
      <c r="B662" s="413"/>
      <c r="C662" s="395"/>
      <c r="D662" s="395"/>
      <c r="E662" s="395"/>
      <c r="F662" s="395"/>
      <c r="H662" s="395"/>
      <c r="I662" s="395"/>
      <c r="J662" s="395"/>
      <c r="K662" s="395"/>
      <c r="L662" s="395"/>
      <c r="N662" s="395"/>
      <c r="O662" s="395"/>
      <c r="P662" s="395"/>
      <c r="Q662" s="395"/>
      <c r="R662" s="395"/>
    </row>
    <row r="663" spans="2:18" x14ac:dyDescent="0.25">
      <c r="B663" s="413"/>
      <c r="C663" s="395"/>
      <c r="D663" s="395"/>
      <c r="E663" s="395"/>
      <c r="F663" s="395"/>
      <c r="H663" s="395"/>
      <c r="I663" s="395"/>
      <c r="J663" s="395"/>
      <c r="K663" s="395"/>
      <c r="L663" s="395"/>
      <c r="N663" s="395"/>
      <c r="O663" s="395"/>
      <c r="P663" s="395"/>
      <c r="Q663" s="395"/>
      <c r="R663" s="395"/>
    </row>
    <row r="664" spans="2:18" x14ac:dyDescent="0.25">
      <c r="B664" s="413"/>
      <c r="C664" s="395"/>
      <c r="D664" s="395"/>
      <c r="E664" s="395"/>
      <c r="F664" s="395"/>
      <c r="H664" s="395"/>
      <c r="I664" s="395"/>
      <c r="J664" s="395"/>
      <c r="K664" s="395"/>
      <c r="L664" s="395"/>
      <c r="N664" s="395"/>
      <c r="O664" s="395"/>
      <c r="P664" s="395"/>
      <c r="Q664" s="395"/>
      <c r="R664" s="395"/>
    </row>
    <row r="665" spans="2:18" x14ac:dyDescent="0.25">
      <c r="B665" s="413"/>
      <c r="C665" s="395"/>
      <c r="D665" s="395"/>
      <c r="E665" s="395"/>
      <c r="F665" s="395"/>
      <c r="H665" s="395"/>
      <c r="I665" s="395"/>
      <c r="J665" s="395"/>
      <c r="K665" s="395"/>
      <c r="L665" s="395"/>
      <c r="N665" s="395"/>
      <c r="O665" s="395"/>
      <c r="P665" s="395"/>
      <c r="Q665" s="395"/>
      <c r="R665" s="395"/>
    </row>
    <row r="666" spans="2:18" x14ac:dyDescent="0.25">
      <c r="B666" s="413"/>
      <c r="C666" s="395"/>
      <c r="D666" s="395"/>
      <c r="E666" s="395"/>
      <c r="F666" s="395"/>
      <c r="H666" s="395"/>
      <c r="I666" s="395"/>
      <c r="J666" s="395"/>
      <c r="K666" s="395"/>
      <c r="L666" s="395"/>
      <c r="N666" s="395"/>
      <c r="O666" s="395"/>
      <c r="P666" s="395"/>
      <c r="Q666" s="395"/>
      <c r="R666" s="395"/>
    </row>
    <row r="667" spans="2:18" x14ac:dyDescent="0.25">
      <c r="B667" s="413"/>
      <c r="C667" s="395"/>
      <c r="D667" s="395"/>
      <c r="E667" s="395"/>
      <c r="F667" s="395"/>
      <c r="H667" s="395"/>
      <c r="I667" s="395"/>
      <c r="J667" s="395"/>
      <c r="K667" s="395"/>
      <c r="L667" s="395"/>
      <c r="N667" s="395"/>
      <c r="O667" s="395"/>
      <c r="P667" s="395"/>
      <c r="Q667" s="395"/>
      <c r="R667" s="395"/>
    </row>
    <row r="668" spans="2:18" x14ac:dyDescent="0.25">
      <c r="B668" s="413"/>
      <c r="C668" s="395"/>
      <c r="D668" s="395"/>
      <c r="E668" s="395"/>
      <c r="F668" s="395"/>
      <c r="H668" s="395"/>
      <c r="I668" s="395"/>
      <c r="J668" s="395"/>
      <c r="K668" s="395"/>
      <c r="L668" s="395"/>
      <c r="N668" s="395"/>
      <c r="O668" s="395"/>
      <c r="P668" s="395"/>
      <c r="Q668" s="395"/>
      <c r="R668" s="395"/>
    </row>
    <row r="669" spans="2:18" x14ac:dyDescent="0.25">
      <c r="B669" s="413"/>
      <c r="C669" s="395"/>
      <c r="D669" s="395"/>
      <c r="E669" s="395"/>
      <c r="F669" s="395"/>
      <c r="H669" s="395"/>
      <c r="I669" s="395"/>
      <c r="J669" s="395"/>
      <c r="K669" s="395"/>
      <c r="L669" s="395"/>
      <c r="N669" s="395"/>
      <c r="O669" s="395"/>
      <c r="P669" s="395"/>
      <c r="Q669" s="395"/>
      <c r="R669" s="395"/>
    </row>
    <row r="670" spans="2:18" x14ac:dyDescent="0.25">
      <c r="B670" s="413"/>
      <c r="C670" s="395"/>
      <c r="D670" s="395"/>
      <c r="E670" s="395"/>
      <c r="F670" s="395"/>
      <c r="H670" s="395"/>
      <c r="I670" s="395"/>
      <c r="J670" s="395"/>
      <c r="K670" s="395"/>
      <c r="L670" s="395"/>
      <c r="N670" s="395"/>
      <c r="O670" s="395"/>
      <c r="P670" s="395"/>
      <c r="Q670" s="395"/>
      <c r="R670" s="395"/>
    </row>
    <row r="671" spans="2:18" x14ac:dyDescent="0.25">
      <c r="B671" s="413"/>
      <c r="C671" s="395"/>
      <c r="D671" s="395"/>
      <c r="E671" s="395"/>
      <c r="F671" s="395"/>
      <c r="H671" s="395"/>
      <c r="I671" s="395"/>
      <c r="J671" s="395"/>
      <c r="K671" s="395"/>
      <c r="L671" s="395"/>
      <c r="N671" s="395"/>
      <c r="O671" s="395"/>
      <c r="P671" s="395"/>
      <c r="Q671" s="395"/>
      <c r="R671" s="395"/>
    </row>
    <row r="672" spans="2:18" x14ac:dyDescent="0.25">
      <c r="B672" s="413"/>
      <c r="C672" s="395"/>
      <c r="D672" s="395"/>
      <c r="E672" s="395"/>
      <c r="F672" s="395"/>
      <c r="H672" s="395"/>
      <c r="I672" s="395"/>
      <c r="J672" s="395"/>
      <c r="K672" s="395"/>
      <c r="L672" s="395"/>
      <c r="N672" s="395"/>
      <c r="O672" s="395"/>
      <c r="P672" s="395"/>
      <c r="Q672" s="395"/>
      <c r="R672" s="395"/>
    </row>
    <row r="673" spans="2:18" x14ac:dyDescent="0.25">
      <c r="B673" s="413"/>
      <c r="C673" s="395"/>
      <c r="D673" s="395"/>
      <c r="E673" s="395"/>
      <c r="F673" s="395"/>
      <c r="H673" s="395"/>
      <c r="I673" s="395"/>
      <c r="J673" s="395"/>
      <c r="K673" s="395"/>
      <c r="L673" s="395"/>
      <c r="N673" s="395"/>
      <c r="O673" s="395"/>
      <c r="P673" s="395"/>
      <c r="Q673" s="395"/>
      <c r="R673" s="395"/>
    </row>
    <row r="674" spans="2:18" x14ac:dyDescent="0.25">
      <c r="B674" s="413"/>
      <c r="C674" s="395"/>
      <c r="D674" s="395"/>
      <c r="E674" s="395"/>
      <c r="F674" s="395"/>
      <c r="H674" s="395"/>
      <c r="I674" s="395"/>
      <c r="J674" s="395"/>
      <c r="K674" s="395"/>
      <c r="L674" s="395"/>
      <c r="N674" s="395"/>
      <c r="O674" s="395"/>
      <c r="P674" s="395"/>
      <c r="Q674" s="395"/>
      <c r="R674" s="395"/>
    </row>
    <row r="675" spans="2:18" x14ac:dyDescent="0.25">
      <c r="B675" s="413"/>
      <c r="C675" s="395"/>
      <c r="D675" s="395"/>
      <c r="E675" s="395"/>
      <c r="F675" s="395"/>
      <c r="H675" s="395"/>
      <c r="I675" s="395"/>
      <c r="J675" s="395"/>
      <c r="K675" s="395"/>
      <c r="L675" s="395"/>
      <c r="N675" s="395"/>
      <c r="O675" s="395"/>
      <c r="P675" s="395"/>
      <c r="Q675" s="395"/>
      <c r="R675" s="395"/>
    </row>
    <row r="676" spans="2:18" x14ac:dyDescent="0.25">
      <c r="B676" s="413"/>
      <c r="C676" s="395"/>
      <c r="D676" s="395"/>
      <c r="E676" s="395"/>
      <c r="F676" s="395"/>
      <c r="H676" s="395"/>
      <c r="I676" s="395"/>
      <c r="J676" s="395"/>
      <c r="K676" s="395"/>
      <c r="L676" s="395"/>
      <c r="N676" s="395"/>
      <c r="O676" s="395"/>
      <c r="P676" s="395"/>
      <c r="Q676" s="395"/>
      <c r="R676" s="395"/>
    </row>
    <row r="677" spans="2:18" x14ac:dyDescent="0.25">
      <c r="B677" s="413"/>
      <c r="C677" s="395"/>
      <c r="D677" s="395"/>
      <c r="E677" s="395"/>
      <c r="F677" s="395"/>
      <c r="H677" s="395"/>
      <c r="I677" s="395"/>
      <c r="J677" s="395"/>
      <c r="K677" s="395"/>
      <c r="L677" s="395"/>
      <c r="N677" s="395"/>
      <c r="O677" s="395"/>
      <c r="P677" s="395"/>
      <c r="Q677" s="395"/>
      <c r="R677" s="395"/>
    </row>
    <row r="678" spans="2:18" x14ac:dyDescent="0.25">
      <c r="B678" s="413"/>
      <c r="C678" s="395"/>
      <c r="D678" s="395"/>
      <c r="E678" s="395"/>
      <c r="F678" s="395"/>
      <c r="H678" s="395"/>
      <c r="I678" s="395"/>
      <c r="J678" s="395"/>
      <c r="K678" s="395"/>
      <c r="L678" s="395"/>
      <c r="N678" s="395"/>
      <c r="O678" s="395"/>
      <c r="P678" s="395"/>
      <c r="Q678" s="395"/>
      <c r="R678" s="395"/>
    </row>
    <row r="679" spans="2:18" x14ac:dyDescent="0.25">
      <c r="B679" s="413"/>
      <c r="C679" s="395"/>
      <c r="D679" s="395"/>
      <c r="E679" s="395"/>
      <c r="F679" s="395"/>
      <c r="H679" s="395"/>
      <c r="I679" s="395"/>
      <c r="J679" s="395"/>
      <c r="K679" s="395"/>
      <c r="L679" s="395"/>
      <c r="N679" s="395"/>
      <c r="O679" s="395"/>
      <c r="P679" s="395"/>
      <c r="Q679" s="395"/>
      <c r="R679" s="395"/>
    </row>
    <row r="680" spans="2:18" x14ac:dyDescent="0.25">
      <c r="B680" s="413"/>
      <c r="C680" s="395"/>
      <c r="D680" s="395"/>
      <c r="E680" s="395"/>
      <c r="F680" s="395"/>
      <c r="H680" s="395"/>
      <c r="I680" s="395"/>
      <c r="J680" s="395"/>
      <c r="K680" s="395"/>
      <c r="L680" s="395"/>
      <c r="N680" s="395"/>
      <c r="O680" s="395"/>
      <c r="P680" s="395"/>
      <c r="Q680" s="395"/>
      <c r="R680" s="395"/>
    </row>
    <row r="681" spans="2:18" x14ac:dyDescent="0.25">
      <c r="B681" s="413"/>
      <c r="C681" s="395"/>
      <c r="D681" s="395"/>
      <c r="E681" s="395"/>
      <c r="F681" s="395"/>
      <c r="H681" s="395"/>
      <c r="I681" s="395"/>
      <c r="J681" s="395"/>
      <c r="K681" s="395"/>
      <c r="L681" s="395"/>
      <c r="N681" s="395"/>
      <c r="O681" s="395"/>
      <c r="P681" s="395"/>
      <c r="Q681" s="395"/>
      <c r="R681" s="395"/>
    </row>
    <row r="682" spans="2:18" x14ac:dyDescent="0.25">
      <c r="B682" s="413"/>
      <c r="C682" s="395"/>
      <c r="D682" s="395"/>
      <c r="E682" s="395"/>
      <c r="F682" s="395"/>
      <c r="H682" s="395"/>
      <c r="I682" s="395"/>
      <c r="J682" s="395"/>
      <c r="K682" s="395"/>
      <c r="L682" s="395"/>
      <c r="N682" s="395"/>
      <c r="O682" s="395"/>
      <c r="P682" s="395"/>
      <c r="Q682" s="395"/>
      <c r="R682" s="395"/>
    </row>
    <row r="683" spans="2:18" x14ac:dyDescent="0.25">
      <c r="B683" s="413"/>
      <c r="C683" s="395"/>
      <c r="D683" s="395"/>
      <c r="E683" s="395"/>
      <c r="F683" s="395"/>
      <c r="H683" s="395"/>
      <c r="I683" s="395"/>
      <c r="J683" s="395"/>
      <c r="K683" s="395"/>
      <c r="L683" s="395"/>
      <c r="N683" s="395"/>
      <c r="O683" s="395"/>
      <c r="P683" s="395"/>
      <c r="Q683" s="395"/>
      <c r="R683" s="395"/>
    </row>
    <row r="684" spans="2:18" x14ac:dyDescent="0.25">
      <c r="B684" s="413"/>
      <c r="C684" s="395"/>
      <c r="D684" s="395"/>
      <c r="E684" s="395"/>
      <c r="F684" s="395"/>
      <c r="H684" s="395"/>
      <c r="I684" s="395"/>
      <c r="J684" s="395"/>
      <c r="K684" s="395"/>
      <c r="L684" s="395"/>
      <c r="N684" s="395"/>
      <c r="O684" s="395"/>
      <c r="P684" s="395"/>
      <c r="Q684" s="395"/>
      <c r="R684" s="395"/>
    </row>
    <row r="685" spans="2:18" x14ac:dyDescent="0.25">
      <c r="B685" s="413"/>
      <c r="C685" s="395"/>
      <c r="D685" s="395"/>
      <c r="E685" s="395"/>
      <c r="F685" s="395"/>
      <c r="H685" s="395"/>
      <c r="I685" s="395"/>
      <c r="J685" s="395"/>
      <c r="K685" s="395"/>
      <c r="L685" s="395"/>
      <c r="N685" s="395"/>
      <c r="O685" s="395"/>
      <c r="P685" s="395"/>
      <c r="Q685" s="395"/>
      <c r="R685" s="395"/>
    </row>
    <row r="686" spans="2:18" x14ac:dyDescent="0.25">
      <c r="B686" s="413"/>
      <c r="C686" s="395"/>
      <c r="D686" s="395"/>
      <c r="E686" s="395"/>
      <c r="F686" s="395"/>
      <c r="H686" s="395"/>
      <c r="I686" s="395"/>
      <c r="J686" s="395"/>
      <c r="K686" s="395"/>
      <c r="L686" s="395"/>
      <c r="N686" s="395"/>
      <c r="O686" s="395"/>
      <c r="P686" s="395"/>
      <c r="Q686" s="395"/>
      <c r="R686" s="395"/>
    </row>
    <row r="687" spans="2:18" x14ac:dyDescent="0.25">
      <c r="B687" s="413"/>
      <c r="C687" s="395"/>
      <c r="D687" s="395"/>
      <c r="E687" s="395"/>
      <c r="F687" s="395"/>
      <c r="H687" s="395"/>
      <c r="I687" s="395"/>
      <c r="J687" s="395"/>
      <c r="K687" s="395"/>
      <c r="L687" s="395"/>
      <c r="N687" s="395"/>
      <c r="O687" s="395"/>
      <c r="P687" s="395"/>
      <c r="Q687" s="395"/>
      <c r="R687" s="395"/>
    </row>
    <row r="688" spans="2:18" x14ac:dyDescent="0.25">
      <c r="B688" s="413"/>
      <c r="C688" s="395"/>
      <c r="D688" s="395"/>
      <c r="E688" s="395"/>
      <c r="F688" s="395"/>
      <c r="H688" s="395"/>
      <c r="I688" s="395"/>
      <c r="J688" s="395"/>
      <c r="K688" s="395"/>
      <c r="L688" s="395"/>
      <c r="N688" s="395"/>
      <c r="O688" s="395"/>
      <c r="P688" s="395"/>
      <c r="Q688" s="395"/>
      <c r="R688" s="395"/>
    </row>
    <row r="689" spans="2:18" x14ac:dyDescent="0.25">
      <c r="B689" s="413"/>
      <c r="C689" s="395"/>
      <c r="D689" s="395"/>
      <c r="E689" s="395"/>
      <c r="F689" s="395"/>
      <c r="H689" s="395"/>
      <c r="I689" s="395"/>
      <c r="J689" s="395"/>
      <c r="K689" s="395"/>
      <c r="L689" s="395"/>
      <c r="N689" s="395"/>
      <c r="O689" s="395"/>
      <c r="P689" s="395"/>
      <c r="Q689" s="395"/>
      <c r="R689" s="395"/>
    </row>
    <row r="690" spans="2:18" x14ac:dyDescent="0.25">
      <c r="B690" s="413"/>
      <c r="C690" s="395"/>
      <c r="D690" s="395"/>
      <c r="E690" s="395"/>
      <c r="F690" s="395"/>
      <c r="H690" s="395"/>
      <c r="I690" s="395"/>
      <c r="J690" s="395"/>
      <c r="K690" s="395"/>
      <c r="L690" s="395"/>
      <c r="N690" s="395"/>
      <c r="O690" s="395"/>
      <c r="P690" s="395"/>
      <c r="Q690" s="395"/>
      <c r="R690" s="395"/>
    </row>
    <row r="691" spans="2:18" x14ac:dyDescent="0.25">
      <c r="B691" s="413"/>
      <c r="C691" s="395"/>
      <c r="D691" s="395"/>
      <c r="E691" s="395"/>
      <c r="F691" s="395"/>
      <c r="H691" s="395"/>
      <c r="I691" s="395"/>
      <c r="J691" s="395"/>
      <c r="K691" s="395"/>
      <c r="L691" s="395"/>
      <c r="N691" s="395"/>
      <c r="O691" s="395"/>
      <c r="P691" s="395"/>
      <c r="Q691" s="395"/>
      <c r="R691" s="395"/>
    </row>
    <row r="692" spans="2:18" x14ac:dyDescent="0.25">
      <c r="B692" s="413"/>
      <c r="C692" s="395"/>
      <c r="D692" s="395"/>
      <c r="E692" s="395"/>
      <c r="F692" s="395"/>
      <c r="H692" s="395"/>
      <c r="I692" s="395"/>
      <c r="J692" s="395"/>
      <c r="K692" s="395"/>
      <c r="L692" s="395"/>
      <c r="N692" s="395"/>
      <c r="O692" s="395"/>
      <c r="P692" s="395"/>
      <c r="Q692" s="395"/>
      <c r="R692" s="395"/>
    </row>
    <row r="693" spans="2:18" x14ac:dyDescent="0.25">
      <c r="B693" s="413"/>
      <c r="C693" s="395"/>
      <c r="D693" s="395"/>
      <c r="E693" s="395"/>
      <c r="F693" s="395"/>
      <c r="H693" s="395"/>
      <c r="I693" s="395"/>
      <c r="J693" s="395"/>
      <c r="K693" s="395"/>
      <c r="L693" s="395"/>
      <c r="N693" s="395"/>
      <c r="O693" s="395"/>
      <c r="P693" s="395"/>
      <c r="Q693" s="395"/>
      <c r="R693" s="395"/>
    </row>
    <row r="694" spans="2:18" x14ac:dyDescent="0.25">
      <c r="B694" s="413"/>
      <c r="C694" s="395"/>
      <c r="D694" s="395"/>
      <c r="E694" s="395"/>
      <c r="F694" s="395"/>
      <c r="H694" s="395"/>
      <c r="I694" s="395"/>
      <c r="J694" s="395"/>
      <c r="K694" s="395"/>
      <c r="L694" s="395"/>
      <c r="N694" s="395"/>
      <c r="O694" s="395"/>
      <c r="P694" s="395"/>
      <c r="Q694" s="395"/>
      <c r="R694" s="395"/>
    </row>
    <row r="695" spans="2:18" x14ac:dyDescent="0.25">
      <c r="B695" s="413"/>
      <c r="C695" s="395"/>
      <c r="D695" s="395"/>
      <c r="E695" s="395"/>
      <c r="F695" s="395"/>
      <c r="H695" s="395"/>
      <c r="I695" s="395"/>
      <c r="J695" s="395"/>
      <c r="K695" s="395"/>
      <c r="L695" s="395"/>
      <c r="N695" s="395"/>
      <c r="O695" s="395"/>
      <c r="P695" s="395"/>
      <c r="Q695" s="395"/>
      <c r="R695" s="395"/>
    </row>
    <row r="696" spans="2:18" x14ac:dyDescent="0.25">
      <c r="B696" s="413"/>
      <c r="C696" s="395"/>
      <c r="D696" s="395"/>
      <c r="E696" s="395"/>
      <c r="F696" s="395"/>
      <c r="H696" s="395"/>
      <c r="I696" s="395"/>
      <c r="J696" s="395"/>
      <c r="K696" s="395"/>
      <c r="L696" s="395"/>
      <c r="N696" s="395"/>
      <c r="O696" s="395"/>
      <c r="P696" s="395"/>
      <c r="Q696" s="395"/>
      <c r="R696" s="395"/>
    </row>
    <row r="697" spans="2:18" x14ac:dyDescent="0.25">
      <c r="B697" s="413"/>
      <c r="C697" s="395"/>
      <c r="D697" s="395"/>
      <c r="E697" s="395"/>
      <c r="F697" s="395"/>
      <c r="H697" s="395"/>
      <c r="I697" s="395"/>
      <c r="J697" s="395"/>
      <c r="K697" s="395"/>
      <c r="L697" s="395"/>
      <c r="N697" s="395"/>
      <c r="O697" s="395"/>
      <c r="P697" s="395"/>
      <c r="Q697" s="395"/>
      <c r="R697" s="395"/>
    </row>
    <row r="698" spans="2:18" x14ac:dyDescent="0.25">
      <c r="B698" s="413"/>
      <c r="C698" s="395"/>
      <c r="D698" s="395"/>
      <c r="E698" s="395"/>
      <c r="F698" s="395"/>
      <c r="H698" s="395"/>
      <c r="I698" s="395"/>
      <c r="J698" s="395"/>
      <c r="K698" s="395"/>
      <c r="L698" s="395"/>
      <c r="N698" s="395"/>
      <c r="O698" s="395"/>
      <c r="P698" s="395"/>
      <c r="Q698" s="395"/>
      <c r="R698" s="395"/>
    </row>
    <row r="699" spans="2:18" x14ac:dyDescent="0.25">
      <c r="B699" s="413"/>
      <c r="C699" s="395"/>
      <c r="D699" s="395"/>
      <c r="E699" s="395"/>
      <c r="F699" s="395"/>
      <c r="H699" s="395"/>
      <c r="I699" s="395"/>
      <c r="J699" s="395"/>
      <c r="K699" s="395"/>
      <c r="L699" s="395"/>
      <c r="N699" s="395"/>
      <c r="O699" s="395"/>
      <c r="P699" s="395"/>
      <c r="Q699" s="395"/>
      <c r="R699" s="395"/>
    </row>
    <row r="700" spans="2:18" x14ac:dyDescent="0.25">
      <c r="B700" s="413"/>
      <c r="C700" s="395"/>
      <c r="D700" s="395"/>
      <c r="E700" s="395"/>
      <c r="F700" s="395"/>
      <c r="H700" s="395"/>
      <c r="I700" s="395"/>
      <c r="J700" s="395"/>
      <c r="K700" s="395"/>
      <c r="L700" s="395"/>
      <c r="N700" s="395"/>
      <c r="O700" s="395"/>
      <c r="P700" s="395"/>
      <c r="Q700" s="395"/>
      <c r="R700" s="395"/>
    </row>
    <row r="701" spans="2:18" x14ac:dyDescent="0.25">
      <c r="B701" s="413"/>
      <c r="C701" s="395"/>
      <c r="D701" s="395"/>
      <c r="E701" s="395"/>
      <c r="F701" s="395"/>
      <c r="H701" s="395"/>
      <c r="I701" s="395"/>
      <c r="J701" s="395"/>
      <c r="K701" s="395"/>
      <c r="L701" s="395"/>
      <c r="N701" s="395"/>
      <c r="O701" s="395"/>
      <c r="P701" s="395"/>
      <c r="Q701" s="395"/>
      <c r="R701" s="395"/>
    </row>
    <row r="702" spans="2:18" x14ac:dyDescent="0.25">
      <c r="B702" s="413"/>
      <c r="C702" s="395"/>
      <c r="D702" s="395"/>
      <c r="E702" s="395"/>
      <c r="F702" s="395"/>
      <c r="H702" s="395"/>
      <c r="I702" s="395"/>
      <c r="J702" s="395"/>
      <c r="K702" s="395"/>
      <c r="L702" s="395"/>
      <c r="N702" s="395"/>
      <c r="O702" s="395"/>
      <c r="P702" s="395"/>
      <c r="Q702" s="395"/>
      <c r="R702" s="395"/>
    </row>
    <row r="703" spans="2:18" x14ac:dyDescent="0.25">
      <c r="B703" s="413"/>
      <c r="C703" s="395"/>
      <c r="D703" s="395"/>
      <c r="E703" s="395"/>
      <c r="F703" s="395"/>
      <c r="H703" s="395"/>
      <c r="I703" s="395"/>
      <c r="J703" s="395"/>
      <c r="K703" s="395"/>
      <c r="L703" s="395"/>
      <c r="N703" s="395"/>
      <c r="O703" s="395"/>
      <c r="P703" s="395"/>
      <c r="Q703" s="395"/>
      <c r="R703" s="395"/>
    </row>
    <row r="704" spans="2:18" x14ac:dyDescent="0.25">
      <c r="B704" s="413"/>
      <c r="C704" s="395"/>
      <c r="D704" s="395"/>
      <c r="E704" s="395"/>
      <c r="F704" s="395"/>
      <c r="H704" s="395"/>
      <c r="I704" s="395"/>
      <c r="J704" s="395"/>
      <c r="K704" s="395"/>
      <c r="L704" s="395"/>
      <c r="N704" s="395"/>
      <c r="O704" s="395"/>
      <c r="P704" s="395"/>
      <c r="Q704" s="395"/>
      <c r="R704" s="395"/>
    </row>
    <row r="705" spans="2:18" x14ac:dyDescent="0.25">
      <c r="B705" s="413"/>
      <c r="C705" s="395"/>
      <c r="D705" s="395"/>
      <c r="E705" s="395"/>
      <c r="F705" s="395"/>
      <c r="H705" s="395"/>
      <c r="I705" s="395"/>
      <c r="J705" s="395"/>
      <c r="K705" s="395"/>
      <c r="L705" s="395"/>
      <c r="N705" s="395"/>
      <c r="O705" s="395"/>
      <c r="P705" s="395"/>
      <c r="Q705" s="395"/>
      <c r="R705" s="395"/>
    </row>
    <row r="706" spans="2:18" x14ac:dyDescent="0.25">
      <c r="B706" s="413"/>
      <c r="C706" s="395"/>
      <c r="D706" s="395"/>
      <c r="E706" s="395"/>
      <c r="F706" s="395"/>
      <c r="H706" s="395"/>
      <c r="I706" s="395"/>
      <c r="J706" s="395"/>
      <c r="K706" s="395"/>
      <c r="L706" s="395"/>
      <c r="N706" s="395"/>
      <c r="O706" s="395"/>
      <c r="P706" s="395"/>
      <c r="Q706" s="395"/>
      <c r="R706" s="395"/>
    </row>
    <row r="707" spans="2:18" x14ac:dyDescent="0.25">
      <c r="B707" s="413"/>
      <c r="C707" s="395"/>
      <c r="D707" s="395"/>
      <c r="E707" s="395"/>
      <c r="F707" s="395"/>
      <c r="H707" s="395"/>
      <c r="I707" s="395"/>
      <c r="J707" s="395"/>
      <c r="K707" s="395"/>
      <c r="L707" s="395"/>
      <c r="N707" s="395"/>
      <c r="O707" s="395"/>
      <c r="P707" s="395"/>
      <c r="Q707" s="395"/>
      <c r="R707" s="395"/>
    </row>
    <row r="708" spans="2:18" x14ac:dyDescent="0.25">
      <c r="B708" s="413"/>
      <c r="C708" s="395"/>
      <c r="D708" s="395"/>
      <c r="E708" s="395"/>
      <c r="F708" s="395"/>
      <c r="H708" s="395"/>
      <c r="I708" s="395"/>
      <c r="J708" s="395"/>
      <c r="K708" s="395"/>
      <c r="L708" s="395"/>
      <c r="N708" s="395"/>
      <c r="O708" s="395"/>
      <c r="P708" s="395"/>
      <c r="Q708" s="395"/>
      <c r="R708" s="395"/>
    </row>
    <row r="709" spans="2:18" x14ac:dyDescent="0.25">
      <c r="B709" s="413"/>
      <c r="C709" s="395"/>
      <c r="D709" s="395"/>
      <c r="E709" s="395"/>
      <c r="F709" s="395"/>
      <c r="H709" s="395"/>
      <c r="I709" s="395"/>
      <c r="J709" s="395"/>
      <c r="K709" s="395"/>
      <c r="L709" s="395"/>
      <c r="N709" s="395"/>
      <c r="O709" s="395"/>
      <c r="P709" s="395"/>
      <c r="Q709" s="395"/>
      <c r="R709" s="395"/>
    </row>
    <row r="710" spans="2:18" x14ac:dyDescent="0.25">
      <c r="B710" s="413"/>
      <c r="C710" s="395"/>
      <c r="D710" s="395"/>
      <c r="E710" s="395"/>
      <c r="F710" s="395"/>
      <c r="H710" s="395"/>
      <c r="I710" s="395"/>
      <c r="J710" s="395"/>
      <c r="K710" s="395"/>
      <c r="L710" s="395"/>
      <c r="N710" s="395"/>
      <c r="O710" s="395"/>
      <c r="P710" s="395"/>
      <c r="Q710" s="395"/>
      <c r="R710" s="395"/>
    </row>
    <row r="711" spans="2:18" x14ac:dyDescent="0.25">
      <c r="B711" s="413"/>
      <c r="C711" s="395"/>
      <c r="D711" s="395"/>
      <c r="E711" s="395"/>
      <c r="F711" s="395"/>
      <c r="H711" s="395"/>
      <c r="I711" s="395"/>
      <c r="J711" s="395"/>
      <c r="K711" s="395"/>
      <c r="L711" s="395"/>
      <c r="N711" s="395"/>
      <c r="O711" s="395"/>
      <c r="P711" s="395"/>
      <c r="Q711" s="395"/>
      <c r="R711" s="395"/>
    </row>
    <row r="712" spans="2:18" x14ac:dyDescent="0.25">
      <c r="B712" s="413"/>
      <c r="C712" s="395"/>
      <c r="D712" s="395"/>
      <c r="E712" s="395"/>
      <c r="F712" s="395"/>
      <c r="H712" s="395"/>
      <c r="I712" s="395"/>
      <c r="J712" s="395"/>
      <c r="K712" s="395"/>
      <c r="L712" s="395"/>
      <c r="N712" s="395"/>
      <c r="O712" s="395"/>
      <c r="P712" s="395"/>
      <c r="Q712" s="395"/>
      <c r="R712" s="395"/>
    </row>
    <row r="713" spans="2:18" x14ac:dyDescent="0.25">
      <c r="B713" s="413"/>
      <c r="C713" s="395"/>
      <c r="D713" s="395"/>
      <c r="E713" s="395"/>
      <c r="F713" s="395"/>
      <c r="H713" s="395"/>
      <c r="I713" s="395"/>
      <c r="J713" s="395"/>
      <c r="K713" s="395"/>
      <c r="L713" s="395"/>
      <c r="N713" s="395"/>
      <c r="O713" s="395"/>
      <c r="P713" s="395"/>
      <c r="Q713" s="395"/>
      <c r="R713" s="395"/>
    </row>
    <row r="714" spans="2:18" x14ac:dyDescent="0.25">
      <c r="B714" s="413"/>
      <c r="C714" s="395"/>
      <c r="D714" s="395"/>
      <c r="E714" s="395"/>
      <c r="F714" s="395"/>
      <c r="H714" s="395"/>
      <c r="I714" s="395"/>
      <c r="J714" s="395"/>
      <c r="K714" s="395"/>
      <c r="L714" s="395"/>
      <c r="N714" s="395"/>
      <c r="O714" s="395"/>
      <c r="P714" s="395"/>
      <c r="Q714" s="395"/>
      <c r="R714" s="395"/>
    </row>
    <row r="715" spans="2:18" x14ac:dyDescent="0.25">
      <c r="B715" s="413"/>
      <c r="C715" s="395"/>
      <c r="D715" s="395"/>
      <c r="E715" s="395"/>
      <c r="F715" s="395"/>
      <c r="H715" s="395"/>
      <c r="I715" s="395"/>
      <c r="J715" s="395"/>
      <c r="K715" s="395"/>
      <c r="L715" s="395"/>
      <c r="N715" s="395"/>
      <c r="O715" s="395"/>
      <c r="P715" s="395"/>
      <c r="Q715" s="395"/>
      <c r="R715" s="395"/>
    </row>
    <row r="716" spans="2:18" x14ac:dyDescent="0.25">
      <c r="B716" s="413"/>
      <c r="C716" s="395"/>
      <c r="D716" s="395"/>
      <c r="E716" s="395"/>
      <c r="F716" s="395"/>
      <c r="H716" s="395"/>
      <c r="I716" s="395"/>
      <c r="J716" s="395"/>
      <c r="K716" s="395"/>
      <c r="L716" s="395"/>
      <c r="N716" s="395"/>
      <c r="O716" s="395"/>
      <c r="P716" s="395"/>
      <c r="Q716" s="395"/>
      <c r="R716" s="395"/>
    </row>
    <row r="717" spans="2:18" x14ac:dyDescent="0.25">
      <c r="B717" s="413"/>
      <c r="C717" s="395"/>
      <c r="D717" s="395"/>
      <c r="E717" s="395"/>
      <c r="F717" s="395"/>
      <c r="H717" s="395"/>
      <c r="I717" s="395"/>
      <c r="J717" s="395"/>
      <c r="K717" s="395"/>
      <c r="L717" s="395"/>
      <c r="N717" s="395"/>
      <c r="O717" s="395"/>
      <c r="P717" s="395"/>
      <c r="Q717" s="395"/>
      <c r="R717" s="395"/>
    </row>
    <row r="718" spans="2:18" x14ac:dyDescent="0.25">
      <c r="B718" s="413"/>
      <c r="C718" s="395"/>
      <c r="D718" s="395"/>
      <c r="E718" s="395"/>
      <c r="F718" s="395"/>
      <c r="H718" s="395"/>
      <c r="I718" s="395"/>
      <c r="J718" s="395"/>
      <c r="K718" s="395"/>
      <c r="L718" s="395"/>
      <c r="N718" s="395"/>
      <c r="O718" s="395"/>
      <c r="P718" s="395"/>
      <c r="Q718" s="395"/>
      <c r="R718" s="395"/>
    </row>
    <row r="719" spans="2:18" x14ac:dyDescent="0.25">
      <c r="B719" s="413"/>
      <c r="C719" s="395"/>
      <c r="D719" s="395"/>
      <c r="E719" s="395"/>
      <c r="F719" s="395"/>
      <c r="H719" s="395"/>
      <c r="I719" s="395"/>
      <c r="J719" s="395"/>
      <c r="K719" s="395"/>
      <c r="L719" s="395"/>
      <c r="N719" s="395"/>
      <c r="O719" s="395"/>
      <c r="P719" s="395"/>
      <c r="Q719" s="395"/>
      <c r="R719" s="395"/>
    </row>
    <row r="720" spans="2:18" x14ac:dyDescent="0.25">
      <c r="B720" s="413"/>
      <c r="C720" s="395"/>
      <c r="D720" s="395"/>
      <c r="E720" s="395"/>
      <c r="F720" s="395"/>
      <c r="H720" s="395"/>
      <c r="I720" s="395"/>
      <c r="J720" s="395"/>
      <c r="K720" s="395"/>
      <c r="L720" s="395"/>
      <c r="N720" s="395"/>
      <c r="O720" s="395"/>
      <c r="P720" s="395"/>
      <c r="Q720" s="395"/>
      <c r="R720" s="395"/>
    </row>
    <row r="721" spans="2:18" x14ac:dyDescent="0.25">
      <c r="B721" s="413"/>
      <c r="C721" s="395"/>
      <c r="D721" s="395"/>
      <c r="E721" s="395"/>
      <c r="F721" s="395"/>
      <c r="H721" s="395"/>
      <c r="I721" s="395"/>
      <c r="J721" s="395"/>
      <c r="K721" s="395"/>
      <c r="L721" s="395"/>
      <c r="N721" s="395"/>
      <c r="O721" s="395"/>
      <c r="P721" s="395"/>
      <c r="Q721" s="395"/>
      <c r="R721" s="395"/>
    </row>
    <row r="722" spans="2:18" x14ac:dyDescent="0.25">
      <c r="B722" s="413"/>
      <c r="C722" s="395"/>
      <c r="D722" s="395"/>
      <c r="E722" s="395"/>
      <c r="F722" s="395"/>
      <c r="H722" s="395"/>
      <c r="I722" s="395"/>
      <c r="J722" s="395"/>
      <c r="K722" s="395"/>
      <c r="L722" s="395"/>
      <c r="N722" s="395"/>
      <c r="O722" s="395"/>
      <c r="P722" s="395"/>
      <c r="Q722" s="395"/>
      <c r="R722" s="395"/>
    </row>
    <row r="723" spans="2:18" x14ac:dyDescent="0.25">
      <c r="B723" s="413"/>
      <c r="C723" s="395"/>
      <c r="D723" s="395"/>
      <c r="E723" s="395"/>
      <c r="F723" s="395"/>
      <c r="H723" s="395"/>
      <c r="I723" s="395"/>
      <c r="J723" s="395"/>
      <c r="K723" s="395"/>
      <c r="L723" s="395"/>
      <c r="N723" s="395"/>
      <c r="O723" s="395"/>
      <c r="P723" s="395"/>
      <c r="Q723" s="395"/>
      <c r="R723" s="395"/>
    </row>
    <row r="724" spans="2:18" x14ac:dyDescent="0.25">
      <c r="B724" s="413"/>
      <c r="C724" s="395"/>
      <c r="D724" s="395"/>
      <c r="E724" s="395"/>
      <c r="F724" s="395"/>
      <c r="H724" s="395"/>
      <c r="I724" s="395"/>
      <c r="J724" s="395"/>
      <c r="K724" s="395"/>
      <c r="L724" s="395"/>
      <c r="N724" s="395"/>
      <c r="O724" s="395"/>
      <c r="P724" s="395"/>
      <c r="Q724" s="395"/>
      <c r="R724" s="395"/>
    </row>
    <row r="725" spans="2:18" x14ac:dyDescent="0.25">
      <c r="B725" s="413"/>
      <c r="C725" s="395"/>
      <c r="D725" s="395"/>
      <c r="E725" s="395"/>
      <c r="F725" s="395"/>
      <c r="H725" s="395"/>
      <c r="I725" s="395"/>
      <c r="J725" s="395"/>
      <c r="K725" s="395"/>
      <c r="L725" s="395"/>
      <c r="N725" s="395"/>
      <c r="O725" s="395"/>
      <c r="P725" s="395"/>
      <c r="Q725" s="395"/>
      <c r="R725" s="395"/>
    </row>
    <row r="726" spans="2:18" x14ac:dyDescent="0.25">
      <c r="B726" s="413"/>
      <c r="C726" s="395"/>
      <c r="D726" s="395"/>
      <c r="E726" s="395"/>
      <c r="F726" s="395"/>
      <c r="H726" s="395"/>
      <c r="I726" s="395"/>
      <c r="J726" s="395"/>
      <c r="K726" s="395"/>
      <c r="L726" s="395"/>
      <c r="N726" s="395"/>
      <c r="O726" s="395"/>
      <c r="P726" s="395"/>
      <c r="Q726" s="395"/>
      <c r="R726" s="395"/>
    </row>
    <row r="727" spans="2:18" x14ac:dyDescent="0.25">
      <c r="B727" s="413"/>
      <c r="C727" s="395"/>
      <c r="D727" s="395"/>
      <c r="E727" s="395"/>
      <c r="F727" s="395"/>
      <c r="H727" s="395"/>
      <c r="I727" s="395"/>
      <c r="J727" s="395"/>
      <c r="K727" s="395"/>
      <c r="L727" s="395"/>
      <c r="N727" s="395"/>
      <c r="O727" s="395"/>
      <c r="P727" s="395"/>
      <c r="Q727" s="395"/>
      <c r="R727" s="395"/>
    </row>
    <row r="728" spans="2:18" x14ac:dyDescent="0.25">
      <c r="B728" s="413"/>
      <c r="C728" s="395"/>
      <c r="D728" s="395"/>
      <c r="E728" s="395"/>
      <c r="F728" s="395"/>
      <c r="H728" s="395"/>
      <c r="I728" s="395"/>
      <c r="J728" s="395"/>
      <c r="K728" s="395"/>
      <c r="L728" s="395"/>
      <c r="N728" s="395"/>
      <c r="O728" s="395"/>
      <c r="P728" s="395"/>
      <c r="Q728" s="395"/>
      <c r="R728" s="395"/>
    </row>
    <row r="729" spans="2:18" x14ac:dyDescent="0.25">
      <c r="B729" s="413"/>
      <c r="C729" s="395"/>
      <c r="D729" s="395"/>
      <c r="E729" s="395"/>
      <c r="F729" s="395"/>
      <c r="H729" s="395"/>
      <c r="I729" s="395"/>
      <c r="J729" s="395"/>
      <c r="K729" s="395"/>
      <c r="L729" s="395"/>
      <c r="N729" s="395"/>
      <c r="O729" s="395"/>
      <c r="P729" s="395"/>
      <c r="Q729" s="395"/>
      <c r="R729" s="395"/>
    </row>
    <row r="730" spans="2:18" x14ac:dyDescent="0.25">
      <c r="B730" s="413"/>
      <c r="C730" s="395"/>
      <c r="D730" s="395"/>
      <c r="E730" s="395"/>
      <c r="F730" s="395"/>
      <c r="H730" s="395"/>
      <c r="I730" s="395"/>
      <c r="J730" s="395"/>
      <c r="K730" s="395"/>
      <c r="L730" s="395"/>
      <c r="N730" s="395"/>
      <c r="O730" s="395"/>
      <c r="P730" s="395"/>
      <c r="Q730" s="395"/>
      <c r="R730" s="395"/>
    </row>
    <row r="731" spans="2:18" x14ac:dyDescent="0.25">
      <c r="B731" s="413"/>
      <c r="C731" s="395"/>
      <c r="D731" s="395"/>
      <c r="E731" s="395"/>
      <c r="F731" s="395"/>
      <c r="H731" s="395"/>
      <c r="I731" s="395"/>
      <c r="J731" s="395"/>
      <c r="K731" s="395"/>
      <c r="L731" s="395"/>
      <c r="N731" s="395"/>
      <c r="O731" s="395"/>
      <c r="P731" s="395"/>
      <c r="Q731" s="395"/>
      <c r="R731" s="395"/>
    </row>
    <row r="732" spans="2:18" x14ac:dyDescent="0.25">
      <c r="B732" s="413"/>
      <c r="C732" s="395"/>
      <c r="D732" s="395"/>
      <c r="E732" s="395"/>
      <c r="F732" s="395"/>
      <c r="H732" s="395"/>
      <c r="I732" s="395"/>
      <c r="J732" s="395"/>
      <c r="K732" s="395"/>
      <c r="L732" s="395"/>
      <c r="N732" s="395"/>
      <c r="O732" s="395"/>
      <c r="P732" s="395"/>
      <c r="Q732" s="395"/>
      <c r="R732" s="395"/>
    </row>
    <row r="733" spans="2:18" x14ac:dyDescent="0.25">
      <c r="B733" s="413"/>
      <c r="C733" s="395"/>
      <c r="D733" s="395"/>
      <c r="E733" s="395"/>
      <c r="F733" s="395"/>
      <c r="H733" s="395"/>
      <c r="I733" s="395"/>
      <c r="J733" s="395"/>
      <c r="K733" s="395"/>
      <c r="L733" s="395"/>
      <c r="N733" s="395"/>
      <c r="O733" s="395"/>
      <c r="P733" s="395"/>
      <c r="Q733" s="395"/>
      <c r="R733" s="395"/>
    </row>
    <row r="734" spans="2:18" x14ac:dyDescent="0.25">
      <c r="B734" s="413"/>
      <c r="C734" s="395"/>
      <c r="D734" s="395"/>
      <c r="E734" s="395"/>
      <c r="F734" s="395"/>
      <c r="H734" s="395"/>
      <c r="I734" s="395"/>
      <c r="J734" s="395"/>
      <c r="K734" s="395"/>
      <c r="L734" s="395"/>
      <c r="N734" s="395"/>
      <c r="O734" s="395"/>
      <c r="P734" s="395"/>
      <c r="Q734" s="395"/>
      <c r="R734" s="395"/>
    </row>
    <row r="735" spans="2:18" x14ac:dyDescent="0.25">
      <c r="B735" s="413"/>
      <c r="C735" s="395"/>
      <c r="D735" s="395"/>
      <c r="E735" s="395"/>
      <c r="F735" s="395"/>
      <c r="H735" s="395"/>
      <c r="I735" s="395"/>
      <c r="J735" s="395"/>
      <c r="K735" s="395"/>
      <c r="L735" s="395"/>
      <c r="N735" s="395"/>
      <c r="O735" s="395"/>
      <c r="P735" s="395"/>
      <c r="Q735" s="395"/>
      <c r="R735" s="395"/>
    </row>
    <row r="736" spans="2:18" x14ac:dyDescent="0.25">
      <c r="B736" s="413"/>
      <c r="C736" s="395"/>
      <c r="D736" s="395"/>
      <c r="E736" s="395"/>
      <c r="F736" s="395"/>
      <c r="H736" s="395"/>
      <c r="I736" s="395"/>
      <c r="J736" s="395"/>
      <c r="K736" s="395"/>
      <c r="L736" s="395"/>
      <c r="N736" s="395"/>
      <c r="O736" s="395"/>
      <c r="P736" s="395"/>
      <c r="Q736" s="395"/>
      <c r="R736" s="395"/>
    </row>
    <row r="737" spans="2:18" x14ac:dyDescent="0.25">
      <c r="B737" s="413"/>
      <c r="C737" s="395"/>
      <c r="D737" s="395"/>
      <c r="E737" s="395"/>
      <c r="F737" s="395"/>
      <c r="H737" s="395"/>
      <c r="I737" s="395"/>
      <c r="J737" s="395"/>
      <c r="K737" s="395"/>
      <c r="L737" s="395"/>
      <c r="N737" s="395"/>
      <c r="O737" s="395"/>
      <c r="P737" s="395"/>
      <c r="Q737" s="395"/>
      <c r="R737" s="395"/>
    </row>
    <row r="738" spans="2:18" x14ac:dyDescent="0.25">
      <c r="B738" s="413"/>
      <c r="C738" s="395"/>
      <c r="D738" s="395"/>
      <c r="E738" s="395"/>
      <c r="F738" s="395"/>
      <c r="H738" s="395"/>
      <c r="I738" s="395"/>
      <c r="J738" s="395"/>
      <c r="K738" s="395"/>
      <c r="L738" s="395"/>
      <c r="N738" s="395"/>
      <c r="O738" s="395"/>
      <c r="P738" s="395"/>
      <c r="Q738" s="395"/>
      <c r="R738" s="395"/>
    </row>
    <row r="739" spans="2:18" x14ac:dyDescent="0.25">
      <c r="B739" s="413"/>
      <c r="C739" s="395"/>
      <c r="D739" s="395"/>
      <c r="E739" s="395"/>
      <c r="F739" s="395"/>
      <c r="H739" s="395"/>
      <c r="I739" s="395"/>
      <c r="J739" s="395"/>
      <c r="K739" s="395"/>
      <c r="L739" s="395"/>
      <c r="N739" s="395"/>
      <c r="O739" s="395"/>
      <c r="P739" s="395"/>
      <c r="Q739" s="395"/>
      <c r="R739" s="395"/>
    </row>
    <row r="740" spans="2:18" x14ac:dyDescent="0.25">
      <c r="B740" s="413"/>
      <c r="C740" s="395"/>
      <c r="D740" s="395"/>
      <c r="E740" s="395"/>
      <c r="F740" s="395"/>
      <c r="H740" s="395"/>
      <c r="I740" s="395"/>
      <c r="J740" s="395"/>
      <c r="K740" s="395"/>
      <c r="L740" s="395"/>
      <c r="N740" s="395"/>
      <c r="O740" s="395"/>
      <c r="P740" s="395"/>
      <c r="Q740" s="395"/>
      <c r="R740" s="395"/>
    </row>
    <row r="741" spans="2:18" x14ac:dyDescent="0.25">
      <c r="B741" s="413"/>
      <c r="C741" s="395"/>
      <c r="D741" s="395"/>
      <c r="E741" s="395"/>
      <c r="F741" s="395"/>
      <c r="H741" s="395"/>
      <c r="I741" s="395"/>
      <c r="J741" s="395"/>
      <c r="K741" s="395"/>
      <c r="L741" s="395"/>
      <c r="N741" s="395"/>
      <c r="O741" s="395"/>
      <c r="P741" s="395"/>
      <c r="Q741" s="395"/>
      <c r="R741" s="395"/>
    </row>
    <row r="742" spans="2:18" x14ac:dyDescent="0.25">
      <c r="B742" s="413"/>
      <c r="C742" s="395"/>
      <c r="D742" s="395"/>
      <c r="E742" s="395"/>
      <c r="F742" s="395"/>
      <c r="H742" s="395"/>
      <c r="I742" s="395"/>
      <c r="J742" s="395"/>
      <c r="K742" s="395"/>
      <c r="L742" s="395"/>
      <c r="N742" s="395"/>
      <c r="O742" s="395"/>
      <c r="P742" s="395"/>
      <c r="Q742" s="395"/>
      <c r="R742" s="395"/>
    </row>
    <row r="743" spans="2:18" x14ac:dyDescent="0.25">
      <c r="B743" s="413"/>
      <c r="C743" s="395"/>
      <c r="D743" s="395"/>
      <c r="E743" s="395"/>
      <c r="F743" s="395"/>
      <c r="H743" s="395"/>
      <c r="I743" s="395"/>
      <c r="J743" s="395"/>
      <c r="K743" s="395"/>
      <c r="L743" s="395"/>
      <c r="N743" s="395"/>
      <c r="O743" s="395"/>
      <c r="P743" s="395"/>
      <c r="Q743" s="395"/>
      <c r="R743" s="395"/>
    </row>
    <row r="744" spans="2:18" x14ac:dyDescent="0.25">
      <c r="B744" s="413"/>
      <c r="C744" s="395"/>
      <c r="D744" s="395"/>
      <c r="E744" s="395"/>
      <c r="F744" s="395"/>
      <c r="H744" s="395"/>
      <c r="I744" s="395"/>
      <c r="J744" s="395"/>
      <c r="K744" s="395"/>
      <c r="L744" s="395"/>
      <c r="N744" s="395"/>
      <c r="O744" s="395"/>
      <c r="P744" s="395"/>
      <c r="Q744" s="395"/>
      <c r="R744" s="395"/>
    </row>
    <row r="745" spans="2:18" x14ac:dyDescent="0.25">
      <c r="B745" s="413"/>
      <c r="C745" s="395"/>
      <c r="D745" s="395"/>
      <c r="E745" s="395"/>
      <c r="F745" s="395"/>
      <c r="H745" s="395"/>
      <c r="I745" s="395"/>
      <c r="J745" s="395"/>
      <c r="K745" s="395"/>
      <c r="L745" s="395"/>
      <c r="N745" s="395"/>
      <c r="O745" s="395"/>
      <c r="P745" s="395"/>
      <c r="Q745" s="395"/>
      <c r="R745" s="395"/>
    </row>
    <row r="746" spans="2:18" x14ac:dyDescent="0.25">
      <c r="B746" s="413"/>
      <c r="C746" s="395"/>
      <c r="D746" s="395"/>
      <c r="E746" s="395"/>
      <c r="F746" s="395"/>
      <c r="H746" s="395"/>
      <c r="I746" s="395"/>
      <c r="J746" s="395"/>
      <c r="K746" s="395"/>
      <c r="L746" s="395"/>
      <c r="N746" s="395"/>
      <c r="O746" s="395"/>
      <c r="P746" s="395"/>
      <c r="Q746" s="395"/>
      <c r="R746" s="395"/>
    </row>
    <row r="747" spans="2:18" x14ac:dyDescent="0.25">
      <c r="B747" s="413"/>
      <c r="C747" s="395"/>
      <c r="D747" s="395"/>
      <c r="E747" s="395"/>
      <c r="F747" s="395"/>
      <c r="H747" s="395"/>
      <c r="I747" s="395"/>
      <c r="J747" s="395"/>
      <c r="K747" s="395"/>
      <c r="L747" s="395"/>
      <c r="N747" s="395"/>
      <c r="O747" s="395"/>
      <c r="P747" s="395"/>
      <c r="Q747" s="395"/>
      <c r="R747" s="395"/>
    </row>
    <row r="748" spans="2:18" x14ac:dyDescent="0.25">
      <c r="B748" s="413"/>
      <c r="C748" s="395"/>
      <c r="D748" s="395"/>
      <c r="E748" s="395"/>
      <c r="F748" s="395"/>
      <c r="H748" s="395"/>
      <c r="I748" s="395"/>
      <c r="J748" s="395"/>
      <c r="K748" s="395"/>
      <c r="L748" s="395"/>
      <c r="N748" s="395"/>
      <c r="O748" s="395"/>
      <c r="P748" s="395"/>
      <c r="Q748" s="395"/>
      <c r="R748" s="395"/>
    </row>
    <row r="749" spans="2:18" x14ac:dyDescent="0.25">
      <c r="B749" s="413"/>
      <c r="C749" s="395"/>
      <c r="D749" s="395"/>
      <c r="E749" s="395"/>
      <c r="F749" s="395"/>
      <c r="H749" s="395"/>
      <c r="I749" s="395"/>
      <c r="J749" s="395"/>
      <c r="K749" s="395"/>
      <c r="L749" s="395"/>
      <c r="N749" s="395"/>
      <c r="O749" s="395"/>
      <c r="P749" s="395"/>
      <c r="Q749" s="395"/>
      <c r="R749" s="395"/>
    </row>
    <row r="750" spans="2:18" x14ac:dyDescent="0.25">
      <c r="B750" s="413"/>
      <c r="C750" s="395"/>
      <c r="D750" s="395"/>
      <c r="E750" s="395"/>
      <c r="F750" s="395"/>
      <c r="H750" s="395"/>
      <c r="I750" s="395"/>
      <c r="J750" s="395"/>
      <c r="K750" s="395"/>
      <c r="L750" s="395"/>
      <c r="N750" s="395"/>
      <c r="O750" s="395"/>
      <c r="P750" s="395"/>
      <c r="Q750" s="395"/>
      <c r="R750" s="395"/>
    </row>
    <row r="751" spans="2:18" x14ac:dyDescent="0.25">
      <c r="B751" s="413"/>
      <c r="C751" s="395"/>
      <c r="D751" s="395"/>
      <c r="E751" s="395"/>
      <c r="F751" s="395"/>
      <c r="H751" s="395"/>
      <c r="I751" s="395"/>
      <c r="J751" s="395"/>
      <c r="K751" s="395"/>
      <c r="L751" s="395"/>
      <c r="N751" s="395"/>
      <c r="O751" s="395"/>
      <c r="P751" s="395"/>
      <c r="Q751" s="395"/>
      <c r="R751" s="395"/>
    </row>
    <row r="752" spans="2:18" x14ac:dyDescent="0.25">
      <c r="B752" s="413"/>
      <c r="C752" s="395"/>
      <c r="D752" s="395"/>
      <c r="E752" s="395"/>
      <c r="F752" s="395"/>
      <c r="H752" s="395"/>
      <c r="I752" s="395"/>
      <c r="J752" s="395"/>
      <c r="K752" s="395"/>
      <c r="L752" s="395"/>
      <c r="N752" s="395"/>
      <c r="O752" s="395"/>
      <c r="P752" s="395"/>
      <c r="Q752" s="395"/>
      <c r="R752" s="395"/>
    </row>
    <row r="753" spans="2:18" x14ac:dyDescent="0.25">
      <c r="B753" s="413"/>
      <c r="C753" s="395"/>
      <c r="D753" s="395"/>
      <c r="E753" s="395"/>
      <c r="F753" s="395"/>
      <c r="H753" s="395"/>
      <c r="I753" s="395"/>
      <c r="J753" s="395"/>
      <c r="K753" s="395"/>
      <c r="L753" s="395"/>
      <c r="N753" s="395"/>
      <c r="O753" s="395"/>
      <c r="P753" s="395"/>
      <c r="Q753" s="395"/>
      <c r="R753" s="395"/>
    </row>
    <row r="754" spans="2:18" x14ac:dyDescent="0.25">
      <c r="B754" s="413"/>
      <c r="C754" s="395"/>
      <c r="D754" s="395"/>
      <c r="E754" s="395"/>
      <c r="F754" s="395"/>
      <c r="H754" s="395"/>
      <c r="I754" s="395"/>
      <c r="J754" s="395"/>
      <c r="K754" s="395"/>
      <c r="L754" s="395"/>
      <c r="N754" s="395"/>
      <c r="O754" s="395"/>
      <c r="P754" s="395"/>
      <c r="Q754" s="395"/>
      <c r="R754" s="395"/>
    </row>
    <row r="755" spans="2:18" x14ac:dyDescent="0.25">
      <c r="B755" s="413"/>
      <c r="C755" s="395"/>
      <c r="D755" s="395"/>
      <c r="E755" s="395"/>
      <c r="F755" s="395"/>
      <c r="H755" s="395"/>
      <c r="I755" s="395"/>
      <c r="J755" s="395"/>
      <c r="K755" s="395"/>
      <c r="L755" s="395"/>
      <c r="N755" s="395"/>
      <c r="O755" s="395"/>
      <c r="P755" s="395"/>
      <c r="Q755" s="395"/>
      <c r="R755" s="395"/>
    </row>
    <row r="756" spans="2:18" x14ac:dyDescent="0.25">
      <c r="B756" s="413"/>
      <c r="C756" s="395"/>
      <c r="D756" s="395"/>
      <c r="E756" s="395"/>
      <c r="F756" s="395"/>
      <c r="H756" s="395"/>
      <c r="I756" s="395"/>
      <c r="J756" s="395"/>
      <c r="K756" s="395"/>
      <c r="L756" s="395"/>
      <c r="N756" s="395"/>
      <c r="O756" s="395"/>
      <c r="P756" s="395"/>
      <c r="Q756" s="395"/>
      <c r="R756" s="395"/>
    </row>
    <row r="757" spans="2:18" x14ac:dyDescent="0.25">
      <c r="B757" s="413"/>
      <c r="C757" s="395"/>
      <c r="D757" s="395"/>
      <c r="E757" s="395"/>
      <c r="F757" s="395"/>
      <c r="H757" s="395"/>
      <c r="I757" s="395"/>
      <c r="J757" s="395"/>
      <c r="K757" s="395"/>
      <c r="L757" s="395"/>
      <c r="N757" s="395"/>
      <c r="O757" s="395"/>
      <c r="P757" s="395"/>
      <c r="Q757" s="395"/>
      <c r="R757" s="395"/>
    </row>
    <row r="758" spans="2:18" x14ac:dyDescent="0.25">
      <c r="B758" s="413"/>
      <c r="C758" s="395"/>
      <c r="D758" s="395"/>
      <c r="E758" s="395"/>
      <c r="F758" s="395"/>
      <c r="H758" s="395"/>
      <c r="I758" s="395"/>
      <c r="J758" s="395"/>
      <c r="K758" s="395"/>
      <c r="L758" s="395"/>
      <c r="N758" s="395"/>
      <c r="O758" s="395"/>
      <c r="P758" s="395"/>
      <c r="Q758" s="395"/>
      <c r="R758" s="395"/>
    </row>
    <row r="759" spans="2:18" x14ac:dyDescent="0.25">
      <c r="B759" s="413"/>
      <c r="C759" s="395"/>
      <c r="D759" s="395"/>
      <c r="E759" s="395"/>
      <c r="F759" s="395"/>
      <c r="H759" s="395"/>
      <c r="I759" s="395"/>
      <c r="J759" s="395"/>
      <c r="K759" s="395"/>
      <c r="L759" s="395"/>
      <c r="N759" s="395"/>
      <c r="O759" s="395"/>
      <c r="P759" s="395"/>
      <c r="Q759" s="395"/>
      <c r="R759" s="395"/>
    </row>
    <row r="760" spans="2:18" x14ac:dyDescent="0.25">
      <c r="B760" s="413"/>
      <c r="C760" s="395"/>
      <c r="D760" s="395"/>
      <c r="E760" s="395"/>
      <c r="F760" s="395"/>
      <c r="H760" s="395"/>
      <c r="I760" s="395"/>
      <c r="J760" s="395"/>
      <c r="K760" s="395"/>
      <c r="L760" s="395"/>
      <c r="N760" s="395"/>
      <c r="O760" s="395"/>
      <c r="P760" s="395"/>
      <c r="Q760" s="395"/>
      <c r="R760" s="395"/>
    </row>
    <row r="761" spans="2:18" x14ac:dyDescent="0.25">
      <c r="B761" s="413"/>
      <c r="C761" s="395"/>
      <c r="D761" s="395"/>
      <c r="E761" s="395"/>
      <c r="F761" s="395"/>
      <c r="H761" s="395"/>
      <c r="I761" s="395"/>
      <c r="J761" s="395"/>
      <c r="K761" s="395"/>
      <c r="L761" s="395"/>
      <c r="N761" s="395"/>
      <c r="O761" s="395"/>
      <c r="P761" s="395"/>
      <c r="Q761" s="395"/>
      <c r="R761" s="395"/>
    </row>
    <row r="762" spans="2:18" x14ac:dyDescent="0.25">
      <c r="B762" s="413"/>
      <c r="C762" s="395"/>
      <c r="D762" s="395"/>
      <c r="E762" s="395"/>
      <c r="F762" s="395"/>
      <c r="H762" s="395"/>
      <c r="I762" s="395"/>
      <c r="J762" s="395"/>
      <c r="K762" s="395"/>
      <c r="L762" s="395"/>
      <c r="N762" s="395"/>
      <c r="O762" s="395"/>
      <c r="P762" s="395"/>
      <c r="Q762" s="395"/>
      <c r="R762" s="395"/>
    </row>
    <row r="763" spans="2:18" x14ac:dyDescent="0.25">
      <c r="B763" s="413"/>
      <c r="C763" s="395"/>
      <c r="D763" s="395"/>
      <c r="E763" s="395"/>
      <c r="F763" s="395"/>
      <c r="H763" s="395"/>
      <c r="I763" s="395"/>
      <c r="J763" s="395"/>
      <c r="K763" s="395"/>
      <c r="L763" s="395"/>
      <c r="N763" s="395"/>
      <c r="O763" s="395"/>
      <c r="P763" s="395"/>
      <c r="Q763" s="395"/>
      <c r="R763" s="395"/>
    </row>
    <row r="764" spans="2:18" x14ac:dyDescent="0.25">
      <c r="B764" s="413"/>
      <c r="C764" s="395"/>
      <c r="D764" s="395"/>
      <c r="E764" s="395"/>
      <c r="F764" s="395"/>
      <c r="H764" s="395"/>
      <c r="I764" s="395"/>
      <c r="J764" s="395"/>
      <c r="K764" s="395"/>
      <c r="L764" s="395"/>
      <c r="N764" s="395"/>
      <c r="O764" s="395"/>
      <c r="P764" s="395"/>
      <c r="Q764" s="395"/>
      <c r="R764" s="395"/>
    </row>
    <row r="765" spans="2:18" x14ac:dyDescent="0.25">
      <c r="B765" s="413"/>
      <c r="C765" s="395"/>
      <c r="D765" s="395"/>
      <c r="E765" s="395"/>
      <c r="F765" s="395"/>
      <c r="H765" s="395"/>
      <c r="I765" s="395"/>
      <c r="J765" s="395"/>
      <c r="K765" s="395"/>
      <c r="L765" s="395"/>
      <c r="N765" s="395"/>
      <c r="O765" s="395"/>
      <c r="P765" s="395"/>
      <c r="Q765" s="395"/>
      <c r="R765" s="395"/>
    </row>
    <row r="766" spans="2:18" x14ac:dyDescent="0.25">
      <c r="B766" s="413"/>
      <c r="C766" s="395"/>
      <c r="D766" s="395"/>
      <c r="E766" s="395"/>
      <c r="F766" s="395"/>
      <c r="H766" s="395"/>
      <c r="I766" s="395"/>
      <c r="J766" s="395"/>
      <c r="K766" s="395"/>
      <c r="L766" s="395"/>
      <c r="N766" s="395"/>
      <c r="O766" s="395"/>
      <c r="P766" s="395"/>
      <c r="Q766" s="395"/>
      <c r="R766" s="395"/>
    </row>
    <row r="767" spans="2:18" x14ac:dyDescent="0.25">
      <c r="B767" s="413"/>
      <c r="C767" s="395"/>
      <c r="D767" s="395"/>
      <c r="E767" s="395"/>
      <c r="F767" s="395"/>
      <c r="H767" s="395"/>
      <c r="I767" s="395"/>
      <c r="J767" s="395"/>
      <c r="K767" s="395"/>
      <c r="L767" s="395"/>
      <c r="N767" s="395"/>
      <c r="O767" s="395"/>
      <c r="P767" s="395"/>
      <c r="Q767" s="395"/>
      <c r="R767" s="395"/>
    </row>
    <row r="768" spans="2:18" x14ac:dyDescent="0.25">
      <c r="B768" s="413"/>
      <c r="C768" s="395"/>
      <c r="D768" s="395"/>
      <c r="E768" s="395"/>
      <c r="F768" s="395"/>
      <c r="H768" s="395"/>
      <c r="I768" s="395"/>
      <c r="J768" s="395"/>
      <c r="K768" s="395"/>
      <c r="L768" s="395"/>
      <c r="N768" s="395"/>
      <c r="O768" s="395"/>
      <c r="P768" s="395"/>
      <c r="Q768" s="395"/>
      <c r="R768" s="395"/>
    </row>
    <row r="769" spans="2:18" x14ac:dyDescent="0.25">
      <c r="B769" s="413"/>
      <c r="C769" s="395"/>
      <c r="D769" s="395"/>
      <c r="E769" s="395"/>
      <c r="F769" s="395"/>
      <c r="H769" s="395"/>
      <c r="I769" s="395"/>
      <c r="J769" s="395"/>
      <c r="K769" s="395"/>
      <c r="L769" s="395"/>
      <c r="N769" s="395"/>
      <c r="O769" s="395"/>
      <c r="P769" s="395"/>
      <c r="Q769" s="395"/>
      <c r="R769" s="395"/>
    </row>
    <row r="770" spans="2:18" x14ac:dyDescent="0.25">
      <c r="B770" s="413"/>
      <c r="C770" s="395"/>
      <c r="D770" s="395"/>
      <c r="E770" s="395"/>
      <c r="F770" s="395"/>
      <c r="H770" s="395"/>
      <c r="I770" s="395"/>
      <c r="J770" s="395"/>
      <c r="K770" s="395"/>
      <c r="L770" s="395"/>
      <c r="N770" s="395"/>
      <c r="O770" s="395"/>
      <c r="P770" s="395"/>
      <c r="Q770" s="395"/>
      <c r="R770" s="395"/>
    </row>
    <row r="771" spans="2:18" x14ac:dyDescent="0.25">
      <c r="B771" s="413"/>
      <c r="C771" s="395"/>
      <c r="D771" s="395"/>
      <c r="E771" s="395"/>
      <c r="F771" s="395"/>
      <c r="H771" s="395"/>
      <c r="I771" s="395"/>
      <c r="J771" s="395"/>
      <c r="K771" s="395"/>
      <c r="L771" s="395"/>
      <c r="N771" s="395"/>
      <c r="O771" s="395"/>
      <c r="P771" s="395"/>
      <c r="Q771" s="395"/>
      <c r="R771" s="395"/>
    </row>
    <row r="772" spans="2:18" x14ac:dyDescent="0.25">
      <c r="B772" s="413"/>
      <c r="C772" s="395"/>
      <c r="D772" s="395"/>
      <c r="E772" s="395"/>
      <c r="F772" s="395"/>
      <c r="H772" s="395"/>
      <c r="I772" s="395"/>
      <c r="J772" s="395"/>
      <c r="K772" s="395"/>
      <c r="L772" s="395"/>
      <c r="N772" s="395"/>
      <c r="O772" s="395"/>
      <c r="P772" s="395"/>
      <c r="Q772" s="395"/>
      <c r="R772" s="395"/>
    </row>
    <row r="773" spans="2:18" x14ac:dyDescent="0.25">
      <c r="B773" s="413"/>
      <c r="C773" s="395"/>
      <c r="D773" s="395"/>
      <c r="E773" s="395"/>
      <c r="F773" s="395"/>
      <c r="H773" s="395"/>
      <c r="I773" s="395"/>
      <c r="J773" s="395"/>
      <c r="K773" s="395"/>
      <c r="L773" s="395"/>
      <c r="N773" s="395"/>
      <c r="O773" s="395"/>
      <c r="P773" s="395"/>
      <c r="Q773" s="395"/>
      <c r="R773" s="395"/>
    </row>
    <row r="774" spans="2:18" x14ac:dyDescent="0.25">
      <c r="B774" s="413"/>
      <c r="C774" s="395"/>
      <c r="D774" s="395"/>
      <c r="E774" s="395"/>
      <c r="F774" s="395"/>
      <c r="H774" s="395"/>
      <c r="I774" s="395"/>
      <c r="J774" s="395"/>
      <c r="K774" s="395"/>
      <c r="L774" s="395"/>
      <c r="N774" s="395"/>
      <c r="O774" s="395"/>
      <c r="P774" s="395"/>
      <c r="Q774" s="395"/>
      <c r="R774" s="395"/>
    </row>
    <row r="775" spans="2:18" x14ac:dyDescent="0.25">
      <c r="B775" s="413"/>
      <c r="C775" s="395"/>
      <c r="D775" s="395"/>
      <c r="E775" s="395"/>
      <c r="F775" s="395"/>
      <c r="H775" s="395"/>
      <c r="I775" s="395"/>
      <c r="J775" s="395"/>
      <c r="K775" s="395"/>
      <c r="L775" s="395"/>
      <c r="N775" s="395"/>
      <c r="O775" s="395"/>
      <c r="P775" s="395"/>
      <c r="Q775" s="395"/>
      <c r="R775" s="395"/>
    </row>
    <row r="776" spans="2:18" x14ac:dyDescent="0.25">
      <c r="B776" s="413"/>
      <c r="C776" s="395"/>
      <c r="D776" s="395"/>
      <c r="E776" s="395"/>
      <c r="F776" s="395"/>
      <c r="H776" s="395"/>
      <c r="I776" s="395"/>
      <c r="J776" s="395"/>
      <c r="K776" s="395"/>
      <c r="L776" s="395"/>
      <c r="N776" s="395"/>
      <c r="O776" s="395"/>
      <c r="P776" s="395"/>
      <c r="Q776" s="395"/>
      <c r="R776" s="395"/>
    </row>
    <row r="777" spans="2:18" x14ac:dyDescent="0.25">
      <c r="B777" s="413"/>
      <c r="C777" s="395"/>
      <c r="D777" s="395"/>
      <c r="E777" s="395"/>
      <c r="F777" s="395"/>
      <c r="H777" s="395"/>
      <c r="I777" s="395"/>
      <c r="J777" s="395"/>
      <c r="K777" s="395"/>
      <c r="L777" s="395"/>
      <c r="N777" s="395"/>
      <c r="O777" s="395"/>
      <c r="P777" s="395"/>
      <c r="Q777" s="395"/>
      <c r="R777" s="395"/>
    </row>
    <row r="778" spans="2:18" x14ac:dyDescent="0.25">
      <c r="B778" s="413"/>
      <c r="C778" s="395"/>
      <c r="D778" s="395"/>
      <c r="E778" s="395"/>
      <c r="F778" s="395"/>
      <c r="H778" s="395"/>
      <c r="I778" s="395"/>
      <c r="J778" s="395"/>
      <c r="K778" s="395"/>
      <c r="L778" s="395"/>
      <c r="N778" s="395"/>
      <c r="O778" s="395"/>
      <c r="P778" s="395"/>
      <c r="Q778" s="395"/>
      <c r="R778" s="395"/>
    </row>
    <row r="779" spans="2:18" x14ac:dyDescent="0.25">
      <c r="B779" s="413"/>
      <c r="C779" s="395"/>
      <c r="D779" s="395"/>
      <c r="E779" s="395"/>
      <c r="F779" s="395"/>
      <c r="H779" s="395"/>
      <c r="I779" s="395"/>
      <c r="J779" s="395"/>
      <c r="K779" s="395"/>
      <c r="L779" s="395"/>
      <c r="N779" s="395"/>
      <c r="O779" s="395"/>
      <c r="P779" s="395"/>
      <c r="Q779" s="395"/>
      <c r="R779" s="395"/>
    </row>
  </sheetData>
  <sheetProtection sort="0" autoFilter="0" pivotTables="0"/>
  <mergeCells count="26">
    <mergeCell ref="I79:L79"/>
    <mergeCell ref="I80:L80"/>
    <mergeCell ref="I62:L62"/>
    <mergeCell ref="I63:L63"/>
    <mergeCell ref="I76:L76"/>
    <mergeCell ref="I77:L77"/>
    <mergeCell ref="I74:L74"/>
    <mergeCell ref="I75:L75"/>
    <mergeCell ref="I64:L64"/>
    <mergeCell ref="I65:L65"/>
    <mergeCell ref="I66:L66"/>
    <mergeCell ref="I67:L67"/>
    <mergeCell ref="I68:L68"/>
    <mergeCell ref="I69:L69"/>
    <mergeCell ref="I70:L70"/>
    <mergeCell ref="O12:P12"/>
    <mergeCell ref="I78:L78"/>
    <mergeCell ref="I71:L71"/>
    <mergeCell ref="I72:L72"/>
    <mergeCell ref="I73:L73"/>
    <mergeCell ref="B7:J7"/>
    <mergeCell ref="B8:J8"/>
    <mergeCell ref="B9:J9"/>
    <mergeCell ref="B10:J10"/>
    <mergeCell ref="C12:D12"/>
    <mergeCell ref="I12:J12"/>
  </mergeCells>
  <conditionalFormatting sqref="D72:D81">
    <cfRule type="beginsWith" dxfId="6" priority="23" operator="beginsWith" text="[">
      <formula>LEFT(D72,LEN("["))="["</formula>
    </cfRule>
  </conditionalFormatting>
  <conditionalFormatting sqref="E72:G81">
    <cfRule type="expression" dxfId="5" priority="22">
      <formula>$H72="%"</formula>
    </cfRule>
  </conditionalFormatting>
  <pageMargins left="0.7" right="0.7" top="0.75" bottom="0.75" header="0.3" footer="0.3"/>
  <pageSetup orientation="portrait" r:id="rId4"/>
  <headerFooter>
    <oddFooter>&amp;C_x000D_&amp;1#&amp;"Calibri"&amp;10&amp;K000000 Confidential - Not for Public Consumption or Distribution</oddFooter>
  </headerFooter>
  <legacyDrawing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285C0-A04B-3244-9A47-836F338E972F}">
  <sheetPr codeName="Sheet8">
    <tabColor theme="3"/>
  </sheetPr>
  <dimension ref="A1"/>
  <sheetViews>
    <sheetView workbookViewId="0">
      <selection activeCell="D21" sqref="D21"/>
    </sheetView>
  </sheetViews>
  <sheetFormatPr defaultColWidth="11.44140625" defaultRowHeight="14.4" x14ac:dyDescent="0.3"/>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B1721-33FA-6542-8B8A-FBFDD0F8F3CC}">
  <sheetPr codeName="Sheet12">
    <tabColor theme="3" tint="0.249977111117893"/>
    <pageSetUpPr autoPageBreaks="0"/>
  </sheetPr>
  <dimension ref="B1:I40"/>
  <sheetViews>
    <sheetView showGridLines="0" topLeftCell="D1" zoomScale="83" zoomScaleNormal="110" workbookViewId="0">
      <pane ySplit="4" topLeftCell="A17" activePane="bottomLeft" state="frozen"/>
      <selection pane="bottomLeft" activeCell="B7" sqref="B7:G7"/>
    </sheetView>
  </sheetViews>
  <sheetFormatPr defaultColWidth="10.77734375" defaultRowHeight="13.8" x14ac:dyDescent="0.25"/>
  <cols>
    <col min="1" max="1" width="3.44140625" style="395" customWidth="1"/>
    <col min="2" max="2" width="56.44140625" style="395" customWidth="1"/>
    <col min="3" max="3" width="23.44140625" style="395" customWidth="1"/>
    <col min="4" max="5" width="20.21875" style="395" bestFit="1" customWidth="1"/>
    <col min="6" max="6" width="15.44140625" style="395" customWidth="1"/>
    <col min="7" max="7" width="24" style="395" bestFit="1" customWidth="1"/>
    <col min="8" max="8" width="19.21875" style="395" customWidth="1"/>
    <col min="9" max="10" width="18.21875" style="395" customWidth="1"/>
    <col min="11" max="16384" width="10.77734375" style="395"/>
  </cols>
  <sheetData>
    <row r="1" spans="2:9" s="469" customFormat="1" ht="10.5" customHeight="1" x14ac:dyDescent="0.25"/>
    <row r="2" spans="2:9" s="469" customFormat="1" ht="25.8" x14ac:dyDescent="0.25">
      <c r="B2" s="706" t="s">
        <v>182</v>
      </c>
      <c r="C2" s="697"/>
    </row>
    <row r="3" spans="2:9" s="469" customFormat="1" x14ac:dyDescent="0.25">
      <c r="B3" s="469" t="s">
        <v>2308</v>
      </c>
    </row>
    <row r="4" spans="2:9" s="469" customFormat="1" ht="10.5" customHeight="1" x14ac:dyDescent="0.25"/>
    <row r="5" spans="2:9" s="526" customFormat="1" x14ac:dyDescent="0.25"/>
    <row r="6" spans="2:9" s="526" customFormat="1" ht="17.399999999999999" x14ac:dyDescent="0.25">
      <c r="B6" s="740" t="s">
        <v>2</v>
      </c>
      <c r="C6" s="806"/>
      <c r="D6" s="806"/>
      <c r="E6" s="806"/>
      <c r="F6" s="806"/>
      <c r="G6" s="806"/>
      <c r="H6" s="806"/>
      <c r="I6" s="806"/>
    </row>
    <row r="7" spans="2:9" s="526" customFormat="1" ht="82.05" customHeight="1" x14ac:dyDescent="0.25">
      <c r="B7" s="2039" t="s">
        <v>3288</v>
      </c>
      <c r="C7" s="2039"/>
      <c r="D7" s="2039"/>
      <c r="E7" s="2039"/>
      <c r="F7" s="2039"/>
      <c r="G7" s="2039"/>
    </row>
    <row r="8" spans="2:9" s="526" customFormat="1" x14ac:dyDescent="0.25"/>
    <row r="9" spans="2:9" ht="17.399999999999999" x14ac:dyDescent="0.3">
      <c r="B9" s="830" t="s">
        <v>2294</v>
      </c>
      <c r="C9" s="475"/>
      <c r="D9" s="475"/>
      <c r="E9" s="475"/>
      <c r="F9" s="475"/>
      <c r="G9" s="475"/>
      <c r="H9" s="475"/>
      <c r="I9" s="475"/>
    </row>
    <row r="10" spans="2:9" ht="67.95" customHeight="1" x14ac:dyDescent="0.25">
      <c r="B10" s="1696" t="s">
        <v>3287</v>
      </c>
      <c r="C10" s="1696"/>
      <c r="D10" s="1696"/>
      <c r="E10" s="1696"/>
      <c r="F10" s="1696"/>
      <c r="G10" s="1696"/>
    </row>
    <row r="11" spans="2:9" x14ac:dyDescent="0.25">
      <c r="B11" s="720" t="s">
        <v>183</v>
      </c>
      <c r="C11" s="720" t="s">
        <v>184</v>
      </c>
      <c r="D11" s="720" t="s">
        <v>185</v>
      </c>
      <c r="E11" s="720" t="s">
        <v>186</v>
      </c>
      <c r="G11" s="556"/>
    </row>
    <row r="12" spans="2:9" x14ac:dyDescent="0.25">
      <c r="B12" s="1103" t="s">
        <v>187</v>
      </c>
      <c r="C12" s="1104">
        <f>'2. Roles &amp; Pricing'!AD28</f>
        <v>732400</v>
      </c>
      <c r="D12" s="1104">
        <f>'2. Roles &amp; Pricing'!AE28</f>
        <v>252400</v>
      </c>
      <c r="E12" s="1105">
        <f>'2. Roles &amp; Pricing'!AF28</f>
        <v>306400</v>
      </c>
    </row>
    <row r="13" spans="2:9" x14ac:dyDescent="0.25">
      <c r="B13" s="1106" t="s">
        <v>1675</v>
      </c>
      <c r="C13" s="1095">
        <f>'2. Roles &amp; Pricing'!AD29</f>
        <v>331440</v>
      </c>
      <c r="D13" s="1095">
        <f>'2. Roles &amp; Pricing'!AE29</f>
        <v>99840</v>
      </c>
      <c r="E13" s="1107">
        <f>'2. Roles &amp; Pricing'!AF29</f>
        <v>139440</v>
      </c>
    </row>
    <row r="14" spans="2:9" x14ac:dyDescent="0.25">
      <c r="B14" s="1108" t="s">
        <v>193</v>
      </c>
      <c r="C14" s="1096" t="s">
        <v>4</v>
      </c>
      <c r="D14" s="1097" t="s">
        <v>4</v>
      </c>
      <c r="E14" s="1109" t="s">
        <v>4</v>
      </c>
    </row>
    <row r="15" spans="2:9" x14ac:dyDescent="0.25">
      <c r="B15" s="1110" t="s">
        <v>3207</v>
      </c>
      <c r="C15" s="1111">
        <f>IF('3. Financial Inputs'!$C$17="Enter Contingency",0,'3. Financial Inputs'!$C$17)</f>
        <v>0.05</v>
      </c>
      <c r="D15" s="1111">
        <f>IF('3. Financial Inputs'!$C$17="Enter Contingency",0,'3. Financial Inputs'!$C$17)</f>
        <v>0.05</v>
      </c>
      <c r="E15" s="1112">
        <f>IF('3. Financial Inputs'!$C$17="Enter Contingency",0,'3. Financial Inputs'!$C$17)</f>
        <v>0.05</v>
      </c>
    </row>
    <row r="16" spans="2:9" x14ac:dyDescent="0.25">
      <c r="B16" s="1113" t="s">
        <v>1676</v>
      </c>
      <c r="C16" s="1114">
        <f>IFERROR(IF(C14="Manual Entry",(C12+(C12*C15)),(C12+C14+(C12*C15))),"")</f>
        <v>769020</v>
      </c>
      <c r="D16" s="1114">
        <f>IFERROR(IF(D14="Manual Entry",(D12+(D12*D15)),(D12+D14+(D12*D15))),"")</f>
        <v>265020</v>
      </c>
      <c r="E16" s="1115">
        <f>IFERROR(IF(E14="Manual Entry",(E12+(E12*E15)),(E12+E14+(E12*E15))),"")</f>
        <v>321720</v>
      </c>
    </row>
    <row r="17" spans="2:8" x14ac:dyDescent="0.25">
      <c r="B17" s="584"/>
      <c r="C17" s="704"/>
      <c r="D17" s="705"/>
      <c r="E17" s="705"/>
    </row>
    <row r="18" spans="2:8" x14ac:dyDescent="0.25">
      <c r="B18" s="718" t="s">
        <v>188</v>
      </c>
      <c r="C18" s="720" t="s">
        <v>184</v>
      </c>
      <c r="D18" s="720" t="s">
        <v>185</v>
      </c>
      <c r="E18" s="720" t="s">
        <v>186</v>
      </c>
    </row>
    <row r="19" spans="2:8" x14ac:dyDescent="0.25">
      <c r="B19" s="931" t="s">
        <v>189</v>
      </c>
      <c r="C19" s="1116">
        <f>IFERROR((SUMIFS('2. Roles &amp; Pricing'!$D291:$D$390,'2. Roles &amp; Pricing'!AC$48:AC$147,"Yes")-SUMIFS('2. Roles &amp; Pricing'!$F$291:$F$390,'2. Roles &amp; Pricing'!AC$48:AC$147,"Yes"))/SUMIFS('2. Roles &amp; Pricing'!$D$291:$D$390,'2. Roles &amp; Pricing'!AC$48:AC$147,"Yes"),"")</f>
        <v>0.54746040415073727</v>
      </c>
      <c r="D19" s="1116">
        <f>IFERROR((SUMIFS('2. Roles &amp; Pricing'!$D291:$D$390,'2. Roles &amp; Pricing'!AE$48:AE$147,"Yes")-SUMIFS('2. Roles &amp; Pricing'!$F$291:$F$390,'2. Roles &amp; Pricing'!AE$48:AE$147,"Yes"))/SUMIFS('2. Roles &amp; Pricing'!$D$291:$D$390,'2. Roles &amp; Pricing'!AE$48:AE$147,"Yes"),"")</f>
        <v>0.60443740095087162</v>
      </c>
      <c r="E19" s="1117">
        <f>IFERROR((SUMIFS('2. Roles &amp; Pricing'!$D291:$D$390,'2. Roles &amp; Pricing'!AF$48:AF$147,"Yes")-SUMIFS('2. Roles &amp; Pricing'!$F$291:$F$390,'2. Roles &amp; Pricing'!AF$48:AF$147,"Yes"))/SUMIFS('2. Roles &amp; Pricing'!$D$291:$D$390,'2. Roles &amp; Pricing'!AF$48:AF$147,"Yes"),"")</f>
        <v>0.54490861618798958</v>
      </c>
    </row>
    <row r="20" spans="2:8" x14ac:dyDescent="0.25">
      <c r="B20" s="896" t="s">
        <v>190</v>
      </c>
      <c r="C20" s="1099">
        <f>IFERROR((SUMIFS('2. Roles &amp; Pricing'!$D$291:$D$390,'2. Roles &amp; Pricing'!$W48:$W147,"Offshore",'2. Roles &amp; Pricing'!AC$48:AC$147,"Yes"))/SUMIFS('2. Roles &amp; Pricing'!$M$291:$M$390,'2. Roles &amp; Pricing'!$W$48:$W$147,"Offshore",'2. Roles &amp; Pricing'!AC$48:AC$147,"Yes"),"")</f>
        <v>55</v>
      </c>
      <c r="D20" s="1099" t="str">
        <f>IFERROR((SUMIFS('2. Roles &amp; Pricing'!$D$291:$D$390,'2. Roles &amp; Pricing'!$W48:$W147,"Offshore",'2. Roles &amp; Pricing'!AD$48:AD$147,"Yes"))/SUMIFS('2. Roles &amp; Pricing'!$M$291:$M$390,'2. Roles &amp; Pricing'!$W$48:$W$147,"Offshore",'2. Roles &amp; Pricing'!AD$48:AD$147,"Yes"),"")</f>
        <v/>
      </c>
      <c r="E20" s="1118">
        <f>IFERROR((SUMIFS('2. Roles &amp; Pricing'!$D$291:$D$390,'2. Roles &amp; Pricing'!$W48:$W147,"Offshore",'2. Roles &amp; Pricing'!AE$48:AE$147,"Yes"))/SUMIFS('2. Roles &amp; Pricing'!$M$291:$M$390,'2. Roles &amp; Pricing'!$W$48:$W$147,"Offshore",'2. Roles &amp; Pricing'!AE$48:AE$147,"Yes"),"")</f>
        <v>55</v>
      </c>
    </row>
    <row r="21" spans="2:8" x14ac:dyDescent="0.25">
      <c r="B21" s="896" t="s">
        <v>191</v>
      </c>
      <c r="C21" s="1100">
        <f>IFERROR((SUMIFS('2. Roles &amp; Pricing'!$D$291:$D$390,'2. Roles &amp; Pricing'!$W49:$W148,"Onshore",'2. Roles &amp; Pricing'!AC$48:AC$147,"Yes"))/SUMIFS('2. Roles &amp; Pricing'!$M$291:$M$390,'2. Roles &amp; Pricing'!$W$48:$W$147,"Onshore",'2. Roles &amp; Pricing'!AC$48:AC$147,"Yes"),"")</f>
        <v>31.777777777777779</v>
      </c>
      <c r="D21" s="1099">
        <f>IFERROR((SUMIFS('2. Roles &amp; Pricing'!$D$291:$D$390,'2. Roles &amp; Pricing'!$W49:$W148,"Onshore",'2. Roles &amp; Pricing'!AE$48:AE$147,"Yes"))/SUMIFS('2. Roles &amp; Pricing'!$M$291:$M$390,'2. Roles &amp; Pricing'!$W$48:$W$147,"Onshore",'2. Roles &amp; Pricing'!AE$48:AE$147,"Yes"),"")</f>
        <v>40.333333333333336</v>
      </c>
      <c r="E21" s="1118">
        <f>IFERROR((SUMIFS('2. Roles &amp; Pricing'!$D$291:$D$390,'2. Roles &amp; Pricing'!$W49:$W148,"Onshore",'2. Roles &amp; Pricing'!AF$48:AF$147,"Yes"))/SUMIFS('2. Roles &amp; Pricing'!$M$291:$M$390,'2. Roles &amp; Pricing'!$W$48:$W$147,"Onshore",'2. Roles &amp; Pricing'!AF$48:AF$147,"Yes"),"")</f>
        <v>95.333333333333329</v>
      </c>
    </row>
    <row r="22" spans="2:8" x14ac:dyDescent="0.25">
      <c r="B22" s="896" t="s">
        <v>192</v>
      </c>
      <c r="C22" s="1098">
        <f>IFERROR((COUNTIFS('2. Roles &amp; Pricing'!$W$48:$W$147,"Offshore",'2. Roles &amp; Pricing'!AC$48:AC$147,"Yes")/SUM(COUNTIFS('2. Roles &amp; Pricing'!$W$48:$W$147,"Onshore",'2. Roles &amp; Pricing'!AC$48:AC$147,"Yes"),COUNTIFS('2. Roles &amp; Pricing'!$W$48:$W$147,"Offshore",'2. Roles &amp; Pricing'!AC$48:AC$147,"Yes"))),"")</f>
        <v>0.4</v>
      </c>
      <c r="D22" s="1098">
        <f>IFERROR((COUNTIFS('2. Roles &amp; Pricing'!$W$48:$W$147,"Offshore",'2. Roles &amp; Pricing'!AE$48:AE$147,"Yes")/SUM(COUNTIFS('2. Roles &amp; Pricing'!$W$48:$W$147,"Onshore",'2. Roles &amp; Pricing'!AE$48:AE$147,"Yes"),COUNTIFS('2. Roles &amp; Pricing'!$W$48:$W$147,"Offshore",'2. Roles &amp; Pricing'!AE$48:AE$147,"Yes"))),"")</f>
        <v>0.5</v>
      </c>
      <c r="E22" s="970">
        <f>IFERROR((COUNTIFS('2. Roles &amp; Pricing'!$W$48:$W$147,"Offshore",'2. Roles &amp; Pricing'!AF$48:AF$147,"Yes")/SUM(COUNTIFS('2. Roles &amp; Pricing'!$W$48:$W$147,"Onshore",'2. Roles &amp; Pricing'!AF$48:AF$147,"Yes"),COUNTIFS('2. Roles &amp; Pricing'!$W$48:$W$147,"Offshore",'2. Roles &amp; Pricing'!AF$48:AF$147,"Yes"))),"")</f>
        <v>0.66666666666666663</v>
      </c>
    </row>
    <row r="23" spans="2:8" x14ac:dyDescent="0.25">
      <c r="B23" s="896" t="s">
        <v>111</v>
      </c>
      <c r="C23" s="1099">
        <f>'2. Roles &amp; Pricing'!AD30</f>
        <v>58.352112676056336</v>
      </c>
      <c r="D23" s="1099">
        <f>'2. Roles &amp; Pricing'!AE30</f>
        <v>48</v>
      </c>
      <c r="E23" s="1118">
        <f>'2. Roles &amp; Pricing'!AF30</f>
        <v>42.512195121951223</v>
      </c>
    </row>
    <row r="24" spans="2:8" x14ac:dyDescent="0.25">
      <c r="B24" s="896" t="s">
        <v>194</v>
      </c>
      <c r="C24" s="1081">
        <f>COUNTIFS('2. Roles &amp; Pricing'!$Y$48:$Y$147,"&gt;=21",'2. Roles &amp; Pricing'!AC$48:AC$147,"Yes")</f>
        <v>5</v>
      </c>
      <c r="D24" s="1081">
        <f>COUNTIFS('2. Roles &amp; Pricing'!$Y$48:$Y$147,"&gt;=21",'2. Roles &amp; Pricing'!AE$48:AE$147,"Yes")</f>
        <v>2</v>
      </c>
      <c r="E24" s="971">
        <f>COUNTIFS('2. Roles &amp; Pricing'!$Y$48:$Y$147,"&gt;=21",'2. Roles &amp; Pricing'!AF$48:AF$147,"Yes")</f>
        <v>3</v>
      </c>
    </row>
    <row r="25" spans="2:8" x14ac:dyDescent="0.25">
      <c r="B25" s="896" t="s">
        <v>195</v>
      </c>
      <c r="C25" s="1081">
        <f>COUNTIFS('2. Roles &amp; Pricing'!$Y$48:$Y$147,"&gt;=20",'2. Roles &amp; Pricing'!AC$48:AC$147,"Yes")</f>
        <v>5</v>
      </c>
      <c r="D25" s="1081">
        <f>COUNTIFS('2. Roles &amp; Pricing'!$Y$48:$Y$147,"&gt;=20",'2. Roles &amp; Pricing'!AE$48:AE$147,"Yes")</f>
        <v>2</v>
      </c>
      <c r="E25" s="971">
        <f>COUNTIFS('2. Roles &amp; Pricing'!$Y$48:$Y$147,"&gt;=20",'2. Roles &amp; Pricing'!AF$48:AF$147,"Yes")</f>
        <v>3</v>
      </c>
    </row>
    <row r="26" spans="2:8" x14ac:dyDescent="0.25">
      <c r="B26" s="896" t="s">
        <v>196</v>
      </c>
      <c r="C26" s="1101">
        <f>SUMIFS('2. Roles &amp; Pricing'!$M$291:$M$390,'2. Roles &amp; Pricing'!AC$48:$AC$147,"yes")</f>
        <v>5680</v>
      </c>
      <c r="D26" s="1101">
        <f>SUMIFS('2. Roles &amp; Pricing'!$M$291:$M$390,'2. Roles &amp; Pricing'!$AE$48:AE$147,"yes")</f>
        <v>2080</v>
      </c>
      <c r="E26" s="972">
        <f>SUMIFS('2. Roles &amp; Pricing'!$M$291:$M$390,'2. Roles &amp; Pricing'!$AE$48:AE$147,"yes")</f>
        <v>2080</v>
      </c>
    </row>
    <row r="27" spans="2:8" x14ac:dyDescent="0.25">
      <c r="B27" s="933" t="s">
        <v>197</v>
      </c>
      <c r="C27" s="1119">
        <f>IFERROR(SUM(SUMIFS('2. Roles &amp; Pricing'!$M$291:$M$390,'2. Roles &amp; Pricing'!$V$48:$V$147,"7",'2. Roles &amp; Pricing'!AC$48:AC$147,"Yes"),SUMIFS('2. Roles &amp; Pricing'!$M$291:$M$390,'2. Roles &amp; Pricing'!$V$48:$V$147,"6",'2. Roles &amp; Pricing'!AC$48:AC$147,"Yes"))/(SUMIFS('2. Roles &amp; Pricing'!$M$291:$M$390,'2. Roles &amp; Pricing'!AC$48:AC$147,"Yes")),"")</f>
        <v>0</v>
      </c>
      <c r="D27" s="1119">
        <f>IFERROR(SUM(SUMIFS('2. Roles &amp; Pricing'!$M$291:$M$390,'2. Roles &amp; Pricing'!$V$48:$V$147,"7",'2. Roles &amp; Pricing'!AE$48:AE$147,"Yes"),SUMIFS('2. Roles &amp; Pricing'!$M$291:$M$390,'2. Roles &amp; Pricing'!$V$48:$V$147,"6",'2. Roles &amp; Pricing'!AE$48:AE$147,"Yes"))/(SUMIFS('2. Roles &amp; Pricing'!$M$291:$M$390,'2. Roles &amp; Pricing'!AE$48:AE$147,"Yes")),"")</f>
        <v>0</v>
      </c>
      <c r="E27" s="1120">
        <f>IFERROR(SUM(SUMIFS('2. Roles &amp; Pricing'!$M$291:$M$390,'2. Roles &amp; Pricing'!$V$48:$V$147,"7",'2. Roles &amp; Pricing'!AF$48:AF$147,"Yes"),SUMIFS('2. Roles &amp; Pricing'!$M$291:$M$390,'2. Roles &amp; Pricing'!$V$48:$V$147,"6",'2. Roles &amp; Pricing'!AF$48:AF$147,"Yes"))/(SUMIFS('2. Roles &amp; Pricing'!$M$291:$M$390,'2. Roles &amp; Pricing'!AF$48:AF$147,"Yes")),"")</f>
        <v>0</v>
      </c>
    </row>
    <row r="28" spans="2:8" x14ac:dyDescent="0.25">
      <c r="B28" s="1121" t="s">
        <v>198</v>
      </c>
      <c r="C28" s="1122">
        <f>COUNTIF('2. Roles &amp; Pricing'!AC$48:AC$147,"Yes")</f>
        <v>5</v>
      </c>
      <c r="D28" s="1122">
        <f>COUNTIF('2. Roles &amp; Pricing'!AE$48:AE$147,"Yes")</f>
        <v>2</v>
      </c>
      <c r="E28" s="1123">
        <f>COUNTIF('2. Roles &amp; Pricing'!AF$48:AF$147,"Yes")</f>
        <v>3</v>
      </c>
    </row>
    <row r="30" spans="2:8" x14ac:dyDescent="0.25">
      <c r="B30" s="2041" t="s">
        <v>199</v>
      </c>
      <c r="C30" s="2042"/>
      <c r="D30" s="2042"/>
      <c r="E30" s="2042"/>
      <c r="F30" s="2042"/>
      <c r="G30" s="2042"/>
      <c r="H30" s="2043"/>
    </row>
    <row r="31" spans="2:8" x14ac:dyDescent="0.25">
      <c r="B31" s="2040" t="s">
        <v>200</v>
      </c>
      <c r="C31" s="2040" t="s">
        <v>43</v>
      </c>
      <c r="D31" s="2040"/>
      <c r="E31" s="2040" t="s">
        <v>44</v>
      </c>
      <c r="F31" s="2040"/>
      <c r="G31" s="2040" t="s">
        <v>45</v>
      </c>
      <c r="H31" s="2040"/>
    </row>
    <row r="32" spans="2:8" x14ac:dyDescent="0.25">
      <c r="B32" s="2040"/>
      <c r="C32" s="1131" t="s">
        <v>201</v>
      </c>
      <c r="D32" s="1132" t="s">
        <v>202</v>
      </c>
      <c r="E32" s="1131" t="s">
        <v>201</v>
      </c>
      <c r="F32" s="1132" t="s">
        <v>202</v>
      </c>
      <c r="G32" s="1131" t="s">
        <v>201</v>
      </c>
      <c r="H32" s="1132" t="s">
        <v>202</v>
      </c>
    </row>
    <row r="33" spans="2:8" x14ac:dyDescent="0.25">
      <c r="B33" s="1124" t="s">
        <v>203</v>
      </c>
      <c r="C33" s="1125">
        <f>IFERROR(COUNTIFS('2. Roles &amp; Pricing'!$C$48:$C$147,"CrederaUS",'2. Roles &amp; Pricing'!AC$48:AC$147,"Yes")/'Optional Pricing Scenarios Eval'!C$28,"")</f>
        <v>0</v>
      </c>
      <c r="D33" s="1126">
        <f>IFERROR(SUMIFS('2. Roles &amp; Pricing'!$D$291:$D$390,'2. Roles &amp; Pricing'!$C$48:$C$147,"CrederaUS",'2. Roles &amp; Pricing'!$AC$48:$AC$147,"Yes"),"")</f>
        <v>0</v>
      </c>
      <c r="E33" s="1125">
        <f>IFERROR(COUNTIFS('2. Roles &amp; Pricing'!$C$48:$C$147,"CrederaUS",'2. Roles &amp; Pricing'!AD$48:AD$147,"Yes")/'Optional Pricing Scenarios Eval'!D$28,"")</f>
        <v>0</v>
      </c>
      <c r="F33" s="1126">
        <f>IFERROR(SUMIFS('2. Roles &amp; Pricing'!$D$291:$D$390,'2. Roles &amp; Pricing'!$C$48:$C$147,"CrederaUS",'2. Roles &amp; Pricing'!AD$48:AD$147,"Yes"),"")</f>
        <v>0</v>
      </c>
      <c r="G33" s="1125">
        <f>IFERROR(COUNTIFS('2. Roles &amp; Pricing'!$C$48:$C$147,"CrederaUS",'2. Roles &amp; Pricing'!AF$48:AF$147,"Yes")/'Optional Pricing Scenarios Eval'!E$28,"")</f>
        <v>0</v>
      </c>
      <c r="H33" s="1127">
        <f>IFERROR(SUMIFS('2. Roles &amp; Pricing'!$D$291:$D$390,'2. Roles &amp; Pricing'!$C$48:$C$147,"CrederaUS",'2. Roles &amp; Pricing'!$AF$48:$AF$147,"Yes"),"")</f>
        <v>0</v>
      </c>
    </row>
    <row r="34" spans="2:8" x14ac:dyDescent="0.25">
      <c r="B34" s="973" t="s">
        <v>204</v>
      </c>
      <c r="C34" s="928">
        <f>IFERROR(SUM(COUNTIFS('2. Roles &amp; Pricing'!$C$48:$C$147,"TADNorthAmerica",'2. Roles &amp; Pricing'!AC$48:AC$147,"Yes"),COUNTIFS('2. Roles &amp; Pricing'!$C$48:$C$147,"TADIndia",'2. Roles &amp; Pricing'!AC$48:AC$147,"Yes"))/'Optional Pricing Scenarios Eval'!C$28,"")</f>
        <v>1</v>
      </c>
      <c r="D34" s="1102">
        <f>IFERROR(SUMIFS('2. Roles &amp; Pricing'!$D$291:$D$390,'2. Roles &amp; Pricing'!$C$48:$C$147,"TADIndia",'2. Roles &amp; Pricing'!$AC$48:$AC$147,"Yes")+SUMIFS('2. Roles &amp; Pricing'!$D$291:$D$390,'2. Roles &amp; Pricing'!$C$48:$C$147,"TADNorthAmerica",'2. Roles &amp; Pricing'!$AC$48:$AC$147,"Yes"),"")</f>
        <v>732400</v>
      </c>
      <c r="E34" s="928">
        <f>IFERROR(SUM(COUNTIFS('2. Roles &amp; Pricing'!$C$48:$C$147,"TADNorthAmerica",'2. Roles &amp; Pricing'!AD$48:AD$147,"Yes"),COUNTIFS('2. Roles &amp; Pricing'!$C$48:$C$147,"TADIndia",'2. Roles &amp; Pricing'!AD$48:AD$147,"Yes"))/'Optional Pricing Scenarios Eval'!D$28,"")</f>
        <v>0</v>
      </c>
      <c r="F34" s="1102">
        <f>IFERROR(SUMIFS('2. Roles &amp; Pricing'!$D$291:$D$390,'2. Roles &amp; Pricing'!$C$48:$C$147,"TADIndia",'2. Roles &amp; Pricing'!$AD$48:$AD$147,"Yes")+SUMIFS('2. Roles &amp; Pricing'!$D$291:$D$390,'2. Roles &amp; Pricing'!$C$48:$C$147,"TADNorthAmerica",'2. Roles &amp; Pricing'!$AD$48:$AD$147,"Yes"),"")</f>
        <v>0</v>
      </c>
      <c r="G34" s="928">
        <f>IFERROR(SUM(COUNTIFS('2. Roles &amp; Pricing'!$C$48:$C$147,"TADNorthAmerica",'2. Roles &amp; Pricing'!AF$48:AF$147,"Yes"),COUNTIFS('2. Roles &amp; Pricing'!$C$48:$C$147,"TADIndia",'2. Roles &amp; Pricing'!AF$48:AF$147,"Yes"))/'Optional Pricing Scenarios Eval'!E$28,"")</f>
        <v>1</v>
      </c>
      <c r="H34" s="1128">
        <f>IFERROR(SUMIFS('2. Roles &amp; Pricing'!$D$291:$D$390,'2. Roles &amp; Pricing'!$C$48:$C$147,"TADIndia",'2. Roles &amp; Pricing'!$AF$48:$AF$147,"Yes")+SUMIFS('2. Roles &amp; Pricing'!$D$291:$D$390,'2. Roles &amp; Pricing'!$C$48:$C$147,"TADNorthAmerica",'2. Roles &amp; Pricing'!$AF$48:$AF$147,"Yes"),"")</f>
        <v>306400</v>
      </c>
    </row>
    <row r="35" spans="2:8" x14ac:dyDescent="0.25">
      <c r="B35" s="973" t="s">
        <v>205</v>
      </c>
      <c r="C35" s="928">
        <f>IFERROR(COUNTIFS('2. Roles &amp; Pricing'!$C$48:$C$147,"BrightGen",'2. Roles &amp; Pricing'!AC$48:AC$147,"Yes")/'Optional Pricing Scenarios Eval'!C$28,"")</f>
        <v>0</v>
      </c>
      <c r="D35" s="1102">
        <f>IFERROR(SUMIFS('2. Roles &amp; Pricing'!$D$291:$D$390,'2. Roles &amp; Pricing'!$C$48:$C$147,"BrightGen",'2. Roles &amp; Pricing'!AC$48:AC$147,"Yes"),"")</f>
        <v>0</v>
      </c>
      <c r="E35" s="928">
        <f>IFERROR(COUNTIFS('2. Roles &amp; Pricing'!$C$48:$C$147,"BrightGen",'2. Roles &amp; Pricing'!AD$48:AD$147,"Yes")/'Optional Pricing Scenarios Eval'!D$28,"")</f>
        <v>0</v>
      </c>
      <c r="F35" s="1102">
        <f>IFERROR(SUMIFS('2. Roles &amp; Pricing'!$D$291:$D$390,'2. Roles &amp; Pricing'!$C$48:$C$147,"BrightGen",'2. Roles &amp; Pricing'!AD$48:AD$147,"Yes"),"")</f>
        <v>0</v>
      </c>
      <c r="G35" s="928">
        <f>IFERROR(COUNTIFS('2. Roles &amp; Pricing'!$C$48:$C$147,"BrightGen",'2. Roles &amp; Pricing'!AF$48:AF$147,"Yes")/'Optional Pricing Scenarios Eval'!E$28,"")</f>
        <v>0</v>
      </c>
      <c r="H35" s="1128">
        <f>IFERROR(SUMIFS('2. Roles &amp; Pricing'!$D$291:$D$390,'2. Roles &amp; Pricing'!$C$48:$C$147,"BrightGen",'2. Roles &amp; Pricing'!AF$48:AF$147,"Yes"),"")</f>
        <v>0</v>
      </c>
    </row>
    <row r="36" spans="2:8" x14ac:dyDescent="0.25">
      <c r="B36" s="974" t="s">
        <v>206</v>
      </c>
      <c r="C36" s="928">
        <f>IFERROR(COUNTIFS('2. Roles &amp; Pricing'!$C$48:$C$147,"CrederaUK",'2. Roles &amp; Pricing'!AC$48:AC$147,"Yes")/'Optional Pricing Scenarios Eval'!C$28,"")</f>
        <v>0</v>
      </c>
      <c r="D36" s="1102">
        <f>IFERROR(SUMIFS('2. Roles &amp; Pricing'!$D$291:$D$390,'2. Roles &amp; Pricing'!$C$48:$C$147,"CrederaUK",'2. Roles &amp; Pricing'!$AC$48:$AC$147,"Yes"),"")</f>
        <v>0</v>
      </c>
      <c r="E36" s="928">
        <f>IFERROR(COUNTIFS('2. Roles &amp; Pricing'!$C$48:$C$147,"CrederaUK",'2. Roles &amp; Pricing'!AD$48:AD$147,"Yes")/'Optional Pricing Scenarios Eval'!D$28,"")</f>
        <v>0</v>
      </c>
      <c r="F36" s="1102">
        <f>IFERROR(SUMIFS('2. Roles &amp; Pricing'!$D$291:$D$390,'2. Roles &amp; Pricing'!$C$48:$C$147,"CrederaUK",'2. Roles &amp; Pricing'!AD$48:AD$147,"Yes"),"")</f>
        <v>0</v>
      </c>
      <c r="G36" s="928">
        <f>IFERROR(COUNTIFS('2. Roles &amp; Pricing'!$C$48:$C$147,"CrederaUK",'2. Roles &amp; Pricing'!AF$48:AF$147,"Yes")/'Optional Pricing Scenarios Eval'!E$28,"")</f>
        <v>0</v>
      </c>
      <c r="H36" s="1128">
        <f>IFERROR(SUMIFS('2. Roles &amp; Pricing'!$D$291:$D$390,'2. Roles &amp; Pricing'!$C$48:$C$147,"CrederaUK",'2. Roles &amp; Pricing'!AF$48:AF$147,"Yes"),"")</f>
        <v>0</v>
      </c>
    </row>
    <row r="37" spans="2:8" x14ac:dyDescent="0.25">
      <c r="B37" s="974" t="s">
        <v>207</v>
      </c>
      <c r="C37" s="928">
        <f>IFERROR(COUNTIFS('2. Roles &amp; Pricing'!$C$48:$C$147,"SmartDigital",'2. Roles &amp; Pricing'!AC$48:AC$147,"Yes")/'Optional Pricing Scenarios Eval'!C$28,"")</f>
        <v>0</v>
      </c>
      <c r="D37" s="1102">
        <f>IFERROR(SUMIFS('2. Roles &amp; Pricing'!$D$291:$D$390,'2. Roles &amp; Pricing'!$C$48:$C$147,"SmartDigital",'2. Roles &amp; Pricing'!AC$48:AC$147,"Yes"),"")</f>
        <v>0</v>
      </c>
      <c r="E37" s="928">
        <f>IFERROR(COUNTIFS('2. Roles &amp; Pricing'!$C$48:$C$147,"SmartDigital",'2. Roles &amp; Pricing'!AD$48:AD$147,"Yes")/'Optional Pricing Scenarios Eval'!D$28,"")</f>
        <v>0</v>
      </c>
      <c r="F37" s="1102">
        <f>IFERROR(SUMIFS('2. Roles &amp; Pricing'!$D$291:$D$390,'2. Roles &amp; Pricing'!$C$48:$C$147,"SmartDigital",'2. Roles &amp; Pricing'!AD$48:AD$147,"Yes"),"")</f>
        <v>0</v>
      </c>
      <c r="G37" s="928">
        <f>IFERROR(COUNTIFS('2. Roles &amp; Pricing'!$C$48:$C$147,"SmartDigital",'2. Roles &amp; Pricing'!AF$48:AF$147,"Yes")/'Optional Pricing Scenarios Eval'!E$28,"")</f>
        <v>0</v>
      </c>
      <c r="H37" s="1128">
        <f>IFERROR(SUMIFS('2. Roles &amp; Pricing'!$D$291:$D$390,'2. Roles &amp; Pricing'!$C$48:$C$147,"SmartDigital",'2. Roles &amp; Pricing'!AF$48:AF$147,"Yes"),"")</f>
        <v>0</v>
      </c>
    </row>
    <row r="38" spans="2:8" x14ac:dyDescent="0.25">
      <c r="B38" s="975" t="s">
        <v>208</v>
      </c>
      <c r="C38" s="928">
        <f>IFERROR(SUMIFS('2. Roles &amp; Pricing'!$AG$48:$AG$147,'2. Roles &amp; Pricing'!$C$48:$C$147,"CrederaIndia",'2. Roles &amp; Pricing'!AC$48:AC$147,"Yes")+SUMIFS('2. Roles &amp; Pricing'!$AG$48:$AG$147,'2. Roles &amp; Pricing'!$C$48:$C$147,"CrederaLATAM",'2. Roles &amp; Pricing'!AC$48:AC$147,"Yes")/C$28,"")</f>
        <v>0</v>
      </c>
      <c r="D38" s="958" t="str">
        <f>IFERROR(SUMIFS('2. Roles &amp; Pricing'!$D$291:$D$390,'2. Roles &amp; Pricing'!$C$48:$C$147,"CrederaIndia",'2. Roles &amp; Pricing'!$AC$48:$AC$147,"Yes")+SUMIFS('2. Roles &amp; Pricing'!$C$48:$CN$147,'2. Roles &amp; Pricing'!$C$48:$C$147,"CrederaLATAM",'2. Roles &amp; Pricing'!$AC$48:$AC$147,"Yes"),"")</f>
        <v/>
      </c>
      <c r="E38" s="928">
        <f>IFERROR(COUNTIFS('2. Roles &amp; Pricing'!$C$48:$C$147,"CrederaUS",'2. Roles &amp; Pricing'!AD$48:AD$147,"Yes")/'Optional Pricing Scenarios Eval'!D$28,"")</f>
        <v>0</v>
      </c>
      <c r="F38" s="1102">
        <f>IFERROR(SUMIFS('2. Roles &amp; Pricing'!$D$291:$D$390,'2. Roles &amp; Pricing'!$C$48:$C$147,"CrederaIndia",'2. Roles &amp; Pricing'!$AD$48:$AD$147,"Yes")+SUMIFS('2. Roles &amp; Pricing'!$D$291:$D$390,'2. Roles &amp; Pricing'!$C$48:$C$147,"CrederaLATAM",'2. Roles &amp; Pricing'!$AD$48:$AD$147,"Yes"),"")</f>
        <v>0</v>
      </c>
      <c r="G38" s="928">
        <f>IFERROR(SUM(COUNTIFS('2. Roles &amp; Pricing'!$C$48:$C$147,"CrederaLATAM",'2. Roles &amp; Pricing'!AF$48:AF$147,"Yes"),COUNTIFS('2. Roles &amp; Pricing'!$C$48:$C$147,"CrederaIndia",'2. Roles &amp; Pricing'!AF$48:AF$147,"Yes"))/'Optional Pricing Scenarios Eval'!E$28,"")</f>
        <v>0</v>
      </c>
      <c r="H38" s="1128">
        <f>IFERROR(SUMIFS('2. Roles &amp; Pricing'!$D$291:$D$390,'2. Roles &amp; Pricing'!$C$48:$C$147,"CrederaIndia",'2. Roles &amp; Pricing'!$AF$48:$AF$147,"Yes")+SUMIFS('2. Roles &amp; Pricing'!$D$291:$D$390,'2. Roles &amp; Pricing'!$C$48:$C$147,"CrederaLATAM",'2. Roles &amp; Pricing'!$AF$48:$AF$147,"Yes"),"")</f>
        <v>0</v>
      </c>
    </row>
    <row r="39" spans="2:8" x14ac:dyDescent="0.25">
      <c r="B39" s="974" t="s">
        <v>209</v>
      </c>
      <c r="C39" s="959" t="s">
        <v>210</v>
      </c>
      <c r="D39" s="959" t="s">
        <v>210</v>
      </c>
      <c r="E39" s="959" t="s">
        <v>210</v>
      </c>
      <c r="F39" s="960" t="s">
        <v>210</v>
      </c>
      <c r="G39" s="959" t="s">
        <v>210</v>
      </c>
      <c r="H39" s="976" t="s">
        <v>210</v>
      </c>
    </row>
    <row r="40" spans="2:8" x14ac:dyDescent="0.25">
      <c r="B40" s="977" t="s">
        <v>211</v>
      </c>
      <c r="C40" s="939">
        <f>IFERROR(COUNTIFS('2. Roles &amp; Pricing'!$C$48:$C$147,"Areteans",'2. Roles &amp; Pricing'!AC$48:AC$147,"Yes")/'Optional Pricing Scenarios Eval'!C$28,"")</f>
        <v>0</v>
      </c>
      <c r="D40" s="1129">
        <f>IFERROR(SUMIFS('2. Roles &amp; Pricing'!$D$291:$D$390,'2. Roles &amp; Pricing'!$C$48:$C$147,"Areteans",'2. Roles &amp; Pricing'!$AC$48:$AC$147,"Yes"),"")</f>
        <v>0</v>
      </c>
      <c r="E40" s="939">
        <f>IFERROR(COUNTIFS('2. Roles &amp; Pricing'!$C$48:$C$147,"Areteans",'2. Roles &amp; Pricing'!AD$48:AD$147,"Yes")/'Optional Pricing Scenarios Eval'!D$28,"")</f>
        <v>0</v>
      </c>
      <c r="F40" s="1129">
        <f>IFERROR(SUMIFS('2. Roles &amp; Pricing'!$D$291:$D$390,'2. Roles &amp; Pricing'!$C$48:$C$147,"Areteans",'2. Roles &amp; Pricing'!AD$48:AD$147,"Yes"),"")</f>
        <v>0</v>
      </c>
      <c r="G40" s="939">
        <f>IFERROR(COUNTIFS('2. Roles &amp; Pricing'!$C$48:$C$147,"Areteans",'2. Roles &amp; Pricing'!AF$48:AF$147,"Yes")/'Optional Pricing Scenarios Eval'!E$28,"")</f>
        <v>0</v>
      </c>
      <c r="H40" s="1130">
        <f>IFERROR(SUMIFS('2. Roles &amp; Pricing'!$D$291:$D$390,'2. Roles &amp; Pricing'!$C$48:$C$147,"Areteans",'2. Roles &amp; Pricing'!AF$48:AF$147,"Yes"),"")</f>
        <v>0</v>
      </c>
    </row>
  </sheetData>
  <mergeCells count="7">
    <mergeCell ref="B7:G7"/>
    <mergeCell ref="B10:G10"/>
    <mergeCell ref="C31:D31"/>
    <mergeCell ref="E31:F31"/>
    <mergeCell ref="G31:H31"/>
    <mergeCell ref="B30:H30"/>
    <mergeCell ref="B31:B32"/>
  </mergeCells>
  <conditionalFormatting sqref="B16:B17">
    <cfRule type="cellIs" dxfId="4" priority="1" operator="equal">
      <formula>"Onshore"</formula>
    </cfRule>
    <cfRule type="cellIs" dxfId="3" priority="2" operator="equal">
      <formula>"Onsite"</formula>
    </cfRule>
    <cfRule type="cellIs" dxfId="2" priority="3" operator="equal">
      <formula>"Onsite"</formula>
    </cfRule>
    <cfRule type="cellIs" dxfId="1" priority="4" operator="equal">
      <formula>"Onshore"</formula>
    </cfRule>
  </conditionalFormatting>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D219D-823A-4D6C-B872-1B66CF693F51}">
  <sheetPr codeName="Sheet21">
    <tabColor theme="1"/>
    <pageSetUpPr autoPageBreaks="0"/>
  </sheetPr>
  <dimension ref="B1:J314"/>
  <sheetViews>
    <sheetView showGridLines="0" zoomScale="80" zoomScaleNormal="80" workbookViewId="0">
      <selection activeCell="D4" sqref="D4"/>
    </sheetView>
  </sheetViews>
  <sheetFormatPr defaultColWidth="8.77734375" defaultRowHeight="14.4" x14ac:dyDescent="0.3"/>
  <cols>
    <col min="1" max="1" width="6.109375" customWidth="1"/>
    <col min="2" max="2" width="26.44140625" customWidth="1"/>
    <col min="3" max="3" width="54.6640625" bestFit="1" customWidth="1"/>
    <col min="4" max="4" width="60.21875" style="1585" customWidth="1"/>
    <col min="5" max="5" width="85.21875" bestFit="1" customWidth="1"/>
    <col min="6" max="6" width="17.6640625" customWidth="1"/>
    <col min="7" max="7" width="16.21875" customWidth="1"/>
    <col min="8" max="8" width="13.33203125" customWidth="1"/>
    <col min="9" max="9" width="8.44140625" customWidth="1"/>
    <col min="10" max="10" width="0" hidden="1" customWidth="1"/>
  </cols>
  <sheetData>
    <row r="1" spans="2:10" x14ac:dyDescent="0.3">
      <c r="B1" s="1302" t="s">
        <v>236</v>
      </c>
      <c r="C1" s="1302" t="s">
        <v>237</v>
      </c>
      <c r="D1" s="1584" t="s">
        <v>3580</v>
      </c>
      <c r="E1" s="1302" t="s">
        <v>3581</v>
      </c>
      <c r="F1" s="1302" t="s">
        <v>239</v>
      </c>
      <c r="G1" s="1302" t="s">
        <v>240</v>
      </c>
      <c r="H1" s="1302" t="s">
        <v>241</v>
      </c>
      <c r="I1" s="1303" t="s">
        <v>173</v>
      </c>
      <c r="J1" s="1302" t="s">
        <v>3213</v>
      </c>
    </row>
    <row r="2" spans="2:10" ht="28.2" x14ac:dyDescent="0.3">
      <c r="B2" s="2" t="s">
        <v>176</v>
      </c>
      <c r="C2" s="2" t="s">
        <v>1420</v>
      </c>
      <c r="D2" s="5" t="str">
        <f>IFERROR(VLOOKUP(Table4[[#This Row],[Role Type]],'Role Descriptions'!$A$1:$E$97,2,FALSE), "Missing role description data; for now, please see equivalent CrederaUS role type")</f>
        <v>Missing role description data; for now, please see equivalent CrederaUS role type</v>
      </c>
      <c r="E2" s="2" t="s">
        <v>1878</v>
      </c>
      <c r="F2" s="357">
        <v>65</v>
      </c>
      <c r="G2" s="2" t="s">
        <v>119</v>
      </c>
      <c r="H2" s="1299">
        <v>90</v>
      </c>
      <c r="I2" s="1300">
        <v>0</v>
      </c>
      <c r="J2">
        <v>90</v>
      </c>
    </row>
    <row r="3" spans="2:10" x14ac:dyDescent="0.3">
      <c r="B3" s="2" t="s">
        <v>176</v>
      </c>
      <c r="C3" s="2" t="s">
        <v>252</v>
      </c>
      <c r="D3" s="5" t="str">
        <f>IFERROR(VLOOKUP(Table4[[#This Row],[Role Type]],'Role Descriptions'!$A$1:$E$97,2,FALSE), "Missing role description data; for now, please see equivalent CrederaUS role type")</f>
        <v>Select this for a general Analyst Level resource on a project.</v>
      </c>
      <c r="E3" s="2" t="s">
        <v>253</v>
      </c>
      <c r="F3" s="357">
        <v>72</v>
      </c>
      <c r="G3" s="2" t="s">
        <v>119</v>
      </c>
      <c r="H3" s="1299">
        <v>195</v>
      </c>
      <c r="I3" s="1301">
        <v>1</v>
      </c>
      <c r="J3">
        <f>_xlfn.XLOOKUP(Table4[[#This Row],[Default Resource Title]],'Updated Rate Card Import'!E:E,'Updated Rate Card Import'!C:C)</f>
        <v>72</v>
      </c>
    </row>
    <row r="4" spans="2:10" ht="28.2" x14ac:dyDescent="0.3">
      <c r="B4" s="2" t="s">
        <v>176</v>
      </c>
      <c r="C4" s="2" t="s">
        <v>258</v>
      </c>
      <c r="D4" s="5" t="str">
        <f>IFERROR(VLOOKUP(Table4[[#This Row],[Role Type]],'Role Descriptions'!$A$1:$E$97,2,FALSE), "Missing role description data; for now, please see equivalent CrederaUS role type")</f>
        <v>Engineering role for building analytics into applications (think Tealium or Google Analytics)</v>
      </c>
      <c r="E4" s="2" t="s">
        <v>259</v>
      </c>
      <c r="F4" s="357">
        <v>96</v>
      </c>
      <c r="G4" s="2" t="s">
        <v>119</v>
      </c>
      <c r="H4" s="1299">
        <v>240</v>
      </c>
      <c r="I4" s="1300">
        <v>3</v>
      </c>
      <c r="J4">
        <f>_xlfn.XLOOKUP(Table4[[#This Row],[Default Resource Title]],'Updated Rate Card Import'!E:E,'Updated Rate Card Import'!C:C)</f>
        <v>96</v>
      </c>
    </row>
    <row r="5" spans="2:10" ht="28.2" x14ac:dyDescent="0.3">
      <c r="B5" s="2" t="s">
        <v>176</v>
      </c>
      <c r="C5" s="2" t="s">
        <v>270</v>
      </c>
      <c r="D5" s="5" t="str">
        <f>IFERROR(VLOOKUP(Table4[[#This Row],[Role Type]],'Role Descriptions'!$A$1:$E$97,2,FALSE), "Missing role description data; for now, please see equivalent CrederaUS role type")</f>
        <v>Engineering role for developing back-end applications and integrations</v>
      </c>
      <c r="E5" s="2" t="s">
        <v>3222</v>
      </c>
      <c r="F5" s="357">
        <v>77</v>
      </c>
      <c r="G5" s="2" t="s">
        <v>119</v>
      </c>
      <c r="H5" s="1299">
        <v>200</v>
      </c>
      <c r="I5" s="1300">
        <v>2</v>
      </c>
      <c r="J5">
        <f>_xlfn.XLOOKUP(Table4[[#This Row],[Default Resource Title]],'Updated Rate Card Import'!E:E,'Updated Rate Card Import'!C:C)</f>
        <v>77</v>
      </c>
    </row>
    <row r="6" spans="2:10" ht="55.8" x14ac:dyDescent="0.3">
      <c r="B6" s="2" t="s">
        <v>176</v>
      </c>
      <c r="C6" s="2" t="s">
        <v>380</v>
      </c>
      <c r="D6"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6" s="2" t="s">
        <v>3222</v>
      </c>
      <c r="F6" s="357">
        <v>77</v>
      </c>
      <c r="G6" s="2" t="s">
        <v>119</v>
      </c>
      <c r="H6" s="1299">
        <v>200</v>
      </c>
      <c r="I6" s="1300">
        <v>2</v>
      </c>
      <c r="J6">
        <f>_xlfn.XLOOKUP(Table4[[#This Row],[Default Resource Title]],'Updated Rate Card Import'!E:E,'Updated Rate Card Import'!C:C)</f>
        <v>77</v>
      </c>
    </row>
    <row r="7" spans="2:10" ht="42" x14ac:dyDescent="0.3">
      <c r="B7" s="2" t="s">
        <v>176</v>
      </c>
      <c r="C7" s="2" t="s">
        <v>365</v>
      </c>
      <c r="D7" s="5" t="str">
        <f>IFERROR(VLOOKUP(Table4[[#This Row],[Role Type]],'Role Descriptions'!$A$1:$E$97,2,FALSE), "Missing role description data; for now, please see equivalent CrederaUS role type")</f>
        <v>Strategy role that requires someone well versed in cloud migrations, OCM related to cloud, and people, process, and technology impacts from leveraging cloud</v>
      </c>
      <c r="E7" s="2" t="s">
        <v>346</v>
      </c>
      <c r="F7" s="357">
        <v>172</v>
      </c>
      <c r="G7" s="2" t="s">
        <v>119</v>
      </c>
      <c r="H7" s="1299">
        <v>350</v>
      </c>
      <c r="I7" s="1300">
        <v>5</v>
      </c>
      <c r="J7">
        <f>_xlfn.XLOOKUP(Table4[[#This Row],[Default Resource Title]],'Updated Rate Card Import'!E:E,'Updated Rate Card Import'!C:C)</f>
        <v>172</v>
      </c>
    </row>
    <row r="8" spans="2:10" ht="28.2" x14ac:dyDescent="0.3">
      <c r="B8" s="2" t="s">
        <v>176</v>
      </c>
      <c r="C8" s="2" t="s">
        <v>284</v>
      </c>
      <c r="D8" s="5" t="str">
        <f>IFERROR(VLOOKUP(Table4[[#This Row],[Role Type]],'Role Descriptions'!$A$1:$E$97,2,FALSE), "Missing role description data; for now, please see equivalent CrederaUS role type")</f>
        <v>Engineering role that maximizes the value of cloud investments by developing financial monitors, guardrails, and alerts</v>
      </c>
      <c r="E8" s="2" t="s">
        <v>259</v>
      </c>
      <c r="F8" s="357">
        <v>96</v>
      </c>
      <c r="G8" s="2" t="s">
        <v>119</v>
      </c>
      <c r="H8" s="1299">
        <v>240</v>
      </c>
      <c r="I8" s="1300">
        <v>3</v>
      </c>
      <c r="J8">
        <f>_xlfn.XLOOKUP(Table4[[#This Row],[Default Resource Title]],'Updated Rate Card Import'!E:E,'Updated Rate Card Import'!C:C)</f>
        <v>96</v>
      </c>
    </row>
    <row r="9" spans="2:10" ht="28.2" x14ac:dyDescent="0.3">
      <c r="B9" s="2" t="s">
        <v>176</v>
      </c>
      <c r="C9" s="2" t="s">
        <v>177</v>
      </c>
      <c r="D9" s="5" t="str">
        <f>IFERROR(VLOOKUP(Table4[[#This Row],[Role Type]],'Role Descriptions'!$A$1:$E$97,2,FALSE), "Missing role description data; for now, please see equivalent CrederaUS role type")</f>
        <v>Engineering role that designs and builds migration scripts and tools to move the client from on-prem to the cloud</v>
      </c>
      <c r="E9" s="2" t="s">
        <v>259</v>
      </c>
      <c r="F9" s="357">
        <v>96</v>
      </c>
      <c r="G9" s="2" t="s">
        <v>119</v>
      </c>
      <c r="H9" s="1299">
        <v>240</v>
      </c>
      <c r="I9" s="1300">
        <v>3</v>
      </c>
      <c r="J9">
        <f>_xlfn.XLOOKUP(Table4[[#This Row],[Default Resource Title]],'Updated Rate Card Import'!E:E,'Updated Rate Card Import'!C:C)</f>
        <v>96</v>
      </c>
    </row>
    <row r="10" spans="2:10" ht="42" x14ac:dyDescent="0.3">
      <c r="B10" s="2" t="s">
        <v>176</v>
      </c>
      <c r="C10" s="2" t="s">
        <v>302</v>
      </c>
      <c r="D10" s="5" t="str">
        <f>IFERROR(VLOOKUP(Table4[[#This Row],[Role Type]],'Role Descriptions'!$A$1:$E$97,2,FALSE), "Missing role description data; for now, please see equivalent CrederaUS role type")</f>
        <v>Engineering role that builds differentiating capabilities on the cloud by leveraging cloud-native technologies and modern programming languages</v>
      </c>
      <c r="E10" s="2" t="s">
        <v>259</v>
      </c>
      <c r="F10" s="357">
        <v>96</v>
      </c>
      <c r="G10" s="2" t="s">
        <v>119</v>
      </c>
      <c r="H10" s="1299">
        <v>240</v>
      </c>
      <c r="I10" s="1300">
        <v>3</v>
      </c>
      <c r="J10">
        <f>_xlfn.XLOOKUP(Table4[[#This Row],[Default Resource Title]],'Updated Rate Card Import'!E:E,'Updated Rate Card Import'!C:C)</f>
        <v>96</v>
      </c>
    </row>
    <row r="11" spans="2:10" ht="42" x14ac:dyDescent="0.3">
      <c r="B11" s="2" t="s">
        <v>176</v>
      </c>
      <c r="C11" s="2" t="s">
        <v>309</v>
      </c>
      <c r="D11" s="5" t="str">
        <f>IFERROR(VLOOKUP(Table4[[#This Row],[Role Type]],'Role Descriptions'!$A$1:$E$97,2,FALSE), "Missing role description data; for now, please see equivalent CrederaUS role type")</f>
        <v>Engineering role that empowers the client to realize cloud value as rapidly as possible by developing the processes and technologies required to empower best CI/CD practices</v>
      </c>
      <c r="E11" s="2" t="s">
        <v>3222</v>
      </c>
      <c r="F11" s="357">
        <v>77</v>
      </c>
      <c r="G11" s="2" t="s">
        <v>119</v>
      </c>
      <c r="H11" s="1299">
        <v>200</v>
      </c>
      <c r="I11" s="1300">
        <v>2</v>
      </c>
      <c r="J11">
        <f>_xlfn.XLOOKUP(Table4[[#This Row],[Default Resource Title]],'Updated Rate Card Import'!E:E,'Updated Rate Card Import'!C:C)</f>
        <v>77</v>
      </c>
    </row>
    <row r="12" spans="2:10" ht="42" x14ac:dyDescent="0.3">
      <c r="B12" s="2" t="s">
        <v>176</v>
      </c>
      <c r="C12" s="2" t="s">
        <v>345</v>
      </c>
      <c r="D12" s="5" t="str">
        <f>IFERROR(VLOOKUP(Table4[[#This Row],[Role Type]],'Role Descriptions'!$A$1:$E$97,2,FALSE), "Missing role description data; for now, please see equivalent CrederaUS role type")</f>
        <v>Architecture role capable of taking multiple facets of the cloud into account (architecture, data, platform, and security) when designing solutions.</v>
      </c>
      <c r="E12" s="2" t="s">
        <v>346</v>
      </c>
      <c r="F12" s="357">
        <v>172</v>
      </c>
      <c r="G12" s="2" t="s">
        <v>119</v>
      </c>
      <c r="H12" s="1299">
        <v>350</v>
      </c>
      <c r="I12" s="1300">
        <v>5</v>
      </c>
      <c r="J12">
        <f>_xlfn.XLOOKUP(Table4[[#This Row],[Default Resource Title]],'Updated Rate Card Import'!E:E,'Updated Rate Card Import'!C:C)</f>
        <v>172</v>
      </c>
    </row>
    <row r="13" spans="2:10" ht="55.8" x14ac:dyDescent="0.3">
      <c r="B13" s="2" t="s">
        <v>176</v>
      </c>
      <c r="C13" s="2" t="s">
        <v>413</v>
      </c>
      <c r="D13" s="5" t="str">
        <f>IFERROR(VLOOKUP(Table4[[#This Row],[Role Type]],'Role Descriptions'!$A$1:$E$97,2,FALSE), "Missing role description data; for now, please see equivalent CrederaUS role type")</f>
        <v>Leverages expertise in Commerce (breadth) and solution architecture to identify how use cases impact a client’s overall Commerce architecture, and to design and scope technical solutions which leverage custom and 3rd party platform.</v>
      </c>
      <c r="E13" s="2" t="s">
        <v>1745</v>
      </c>
      <c r="F13" s="357">
        <v>128</v>
      </c>
      <c r="G13" s="2" t="s">
        <v>119</v>
      </c>
      <c r="H13" s="1299">
        <v>300</v>
      </c>
      <c r="I13" s="1300">
        <v>4</v>
      </c>
      <c r="J13">
        <f>_xlfn.XLOOKUP(Table4[[#This Row],[Default Resource Title]],'Updated Rate Card Import'!E:E,'Updated Rate Card Import'!C:C)</f>
        <v>128</v>
      </c>
    </row>
    <row r="14" spans="2:10" ht="55.8" x14ac:dyDescent="0.3">
      <c r="B14" s="2" t="s">
        <v>176</v>
      </c>
      <c r="C14" s="2" t="s">
        <v>393</v>
      </c>
      <c r="D14" s="5" t="str">
        <f>IFERROR(VLOOKUP(Table4[[#This Row],[Role Type]],'Role Descriptions'!$A$1:$E$97,2,FALSE), "Missing role description data; for now, please see equivalent CrederaUS role type")</f>
        <v>Takes synthesized research and strategy to build and deliver content solutions (content models, briefs, style guides and other artifacts) in partnership with visual design and engineers, using content audits, assessments, etc.</v>
      </c>
      <c r="E14" s="2" t="s">
        <v>379</v>
      </c>
      <c r="F14" s="357">
        <v>128</v>
      </c>
      <c r="G14" s="2" t="s">
        <v>119</v>
      </c>
      <c r="H14" s="1299">
        <v>300</v>
      </c>
      <c r="I14" s="1300">
        <v>4</v>
      </c>
      <c r="J14">
        <f>_xlfn.XLOOKUP(Table4[[#This Row],[Default Resource Title]],'Updated Rate Card Import'!E:E,'Updated Rate Card Import'!C:C)</f>
        <v>128</v>
      </c>
    </row>
    <row r="15" spans="2:10" ht="42" x14ac:dyDescent="0.3">
      <c r="B15" s="2" t="s">
        <v>176</v>
      </c>
      <c r="C15" s="2" t="s">
        <v>394</v>
      </c>
      <c r="D15" s="5" t="str">
        <f>IFERROR(VLOOKUP(Table4[[#This Row],[Role Type]],'Role Descriptions'!$A$1:$E$97,2,FALSE), "Missing role description data; for now, please see equivalent CrederaUS role type")</f>
        <v>Assesses client content and capabilities through research of the customer and competitive landscape in order to synthesize a strategic content and communications approach.</v>
      </c>
      <c r="E15" s="2" t="s">
        <v>3222</v>
      </c>
      <c r="F15" s="357">
        <v>77</v>
      </c>
      <c r="G15" s="2" t="s">
        <v>119</v>
      </c>
      <c r="H15" s="1299">
        <v>200</v>
      </c>
      <c r="I15" s="1300">
        <v>2</v>
      </c>
      <c r="J15">
        <f>_xlfn.XLOOKUP(Table4[[#This Row],[Default Resource Title]],'Updated Rate Card Import'!E:E,'Updated Rate Card Import'!C:C)</f>
        <v>77</v>
      </c>
    </row>
    <row r="16" spans="2:10" x14ac:dyDescent="0.3">
      <c r="B16" s="2" t="s">
        <v>176</v>
      </c>
      <c r="C16" s="2" t="s">
        <v>395</v>
      </c>
      <c r="D16" s="5" t="str">
        <f>IFERROR(VLOOKUP(Table4[[#This Row],[Role Type]],'Role Descriptions'!$A$1:$E$97,2,FALSE), "Missing role description data; for now, please see equivalent CrederaUS role type")</f>
        <v>Content Strategy Director</v>
      </c>
      <c r="E16" s="2" t="s">
        <v>385</v>
      </c>
      <c r="F16" s="357">
        <v>172</v>
      </c>
      <c r="G16" s="2" t="s">
        <v>119</v>
      </c>
      <c r="H16" s="1299">
        <v>350</v>
      </c>
      <c r="I16" s="1300">
        <v>5</v>
      </c>
      <c r="J16">
        <f>_xlfn.XLOOKUP(Table4[[#This Row],[Default Resource Title]],'Updated Rate Card Import'!E:E,'Updated Rate Card Import'!C:C)</f>
        <v>172</v>
      </c>
    </row>
    <row r="17" spans="2:10" ht="42" x14ac:dyDescent="0.3">
      <c r="B17" s="2" t="s">
        <v>176</v>
      </c>
      <c r="C17" s="2" t="s">
        <v>396</v>
      </c>
      <c r="D17" s="5" t="str">
        <f>IFERROR(VLOOKUP(Table4[[#This Row],[Role Type]],'Role Descriptions'!$A$1:$E$97,2,FALSE), "Missing role description data; for now, please see equivalent CrederaUS role type")</f>
        <v>Provides voice-of-the-customer insights, from foundational customer research to establish personas and customer journeys through user and usability product/site evaluation during design.</v>
      </c>
      <c r="E17" s="2" t="s">
        <v>3223</v>
      </c>
      <c r="F17" s="357">
        <v>77</v>
      </c>
      <c r="G17" s="2" t="s">
        <v>119</v>
      </c>
      <c r="H17" s="1299">
        <v>200</v>
      </c>
      <c r="I17" s="1300">
        <v>2</v>
      </c>
      <c r="J17">
        <f>_xlfn.XLOOKUP(Table4[[#This Row],[Default Resource Title]],'Updated Rate Card Import'!E:E,'Updated Rate Card Import'!C:C)</f>
        <v>77</v>
      </c>
    </row>
    <row r="18" spans="2:10" ht="42" x14ac:dyDescent="0.3">
      <c r="B18" s="2" t="s">
        <v>176</v>
      </c>
      <c r="C18" s="2" t="s">
        <v>367</v>
      </c>
      <c r="D18" s="5" t="str">
        <f>IFERROR(VLOOKUP(Table4[[#This Row],[Role Type]],'Role Descriptions'!$A$1:$E$97,2,FALSE), "Missing role description data; for now, please see equivalent CrederaUS role type")</f>
        <v>Insights role analyzing data structures, data values, data integrations, data integrity, data governance etc. to synthesize and share findings</v>
      </c>
      <c r="E18" s="2" t="s">
        <v>353</v>
      </c>
      <c r="F18" s="357">
        <v>128</v>
      </c>
      <c r="G18" s="2" t="s">
        <v>119</v>
      </c>
      <c r="H18" s="1299">
        <v>300</v>
      </c>
      <c r="I18" s="1300">
        <v>4</v>
      </c>
      <c r="J18">
        <f>_xlfn.XLOOKUP(Table4[[#This Row],[Default Resource Title]],'Updated Rate Card Import'!E:E,'Updated Rate Card Import'!C:C)</f>
        <v>128</v>
      </c>
    </row>
    <row r="19" spans="2:10" ht="28.2" x14ac:dyDescent="0.3">
      <c r="B19" s="2" t="s">
        <v>176</v>
      </c>
      <c r="C19" s="2" t="s">
        <v>348</v>
      </c>
      <c r="D19" s="5" t="str">
        <f>IFERROR(VLOOKUP(Table4[[#This Row],[Role Type]],'Role Descriptions'!$A$1:$E$97,2,FALSE), "Missing role description data; for now, please see equivalent CrederaUS role type")</f>
        <v>Architecture role that designs data solutions that tie to business and IT requirements</v>
      </c>
      <c r="E19" s="2" t="s">
        <v>346</v>
      </c>
      <c r="F19" s="357">
        <v>172</v>
      </c>
      <c r="G19" s="2" t="s">
        <v>119</v>
      </c>
      <c r="H19" s="1299">
        <v>350</v>
      </c>
      <c r="I19" s="1300">
        <v>5</v>
      </c>
      <c r="J19">
        <f>_xlfn.XLOOKUP(Table4[[#This Row],[Default Resource Title]],'Updated Rate Card Import'!E:E,'Updated Rate Card Import'!C:C)</f>
        <v>172</v>
      </c>
    </row>
    <row r="20" spans="2:10" x14ac:dyDescent="0.3">
      <c r="B20" s="2" t="s">
        <v>176</v>
      </c>
      <c r="C20" s="2" t="s">
        <v>315</v>
      </c>
      <c r="D20" s="5" t="str">
        <f>IFERROR(VLOOKUP(Table4[[#This Row],[Role Type]],'Role Descriptions'!$A$1:$E$97,2,FALSE), "Missing role description data; for now, please see equivalent CrederaUS role type")</f>
        <v>Engineering role for developing data storage and data applications</v>
      </c>
      <c r="E20" s="2" t="s">
        <v>259</v>
      </c>
      <c r="F20" s="357">
        <v>96</v>
      </c>
      <c r="G20" s="2" t="s">
        <v>119</v>
      </c>
      <c r="H20" s="1299">
        <v>240</v>
      </c>
      <c r="I20" s="1300">
        <v>3</v>
      </c>
      <c r="J20">
        <f>_xlfn.XLOOKUP(Table4[[#This Row],[Default Resource Title]],'Updated Rate Card Import'!E:E,'Updated Rate Card Import'!C:C)</f>
        <v>96</v>
      </c>
    </row>
    <row r="21" spans="2:10" ht="28.2" x14ac:dyDescent="0.3">
      <c r="B21" s="2" t="s">
        <v>176</v>
      </c>
      <c r="C21" s="2" t="s">
        <v>320</v>
      </c>
      <c r="D21" s="5" t="str">
        <f>IFERROR(VLOOKUP(Table4[[#This Row],[Role Type]],'Role Descriptions'!$A$1:$E$97,2,FALSE), "Missing role description data; for now, please see equivalent CrederaUS role type")</f>
        <v>Engineering role for developing data integrations (think ETL/ELT etc.)</v>
      </c>
      <c r="E21" s="2" t="s">
        <v>259</v>
      </c>
      <c r="F21" s="357">
        <v>96</v>
      </c>
      <c r="G21" s="2" t="s">
        <v>119</v>
      </c>
      <c r="H21" s="1299">
        <v>240</v>
      </c>
      <c r="I21" s="1300">
        <v>3</v>
      </c>
      <c r="J21">
        <f>_xlfn.XLOOKUP(Table4[[#This Row],[Default Resource Title]],'Updated Rate Card Import'!E:E,'Updated Rate Card Import'!C:C)</f>
        <v>96</v>
      </c>
    </row>
    <row r="22" spans="2:10" x14ac:dyDescent="0.3">
      <c r="B22" s="2" t="s">
        <v>176</v>
      </c>
      <c r="C22" s="2" t="s">
        <v>323</v>
      </c>
      <c r="D22" s="5" t="str">
        <f>IFERROR(VLOOKUP(Table4[[#This Row],[Role Type]],'Role Descriptions'!$A$1:$E$97,2,FALSE), "Missing role description data; for now, please see equivalent CrederaUS role type")</f>
        <v>Engineering role to prepare data for data science analysis</v>
      </c>
      <c r="E22" s="2" t="s">
        <v>259</v>
      </c>
      <c r="F22" s="357">
        <v>96</v>
      </c>
      <c r="G22" s="2" t="s">
        <v>119</v>
      </c>
      <c r="H22" s="1299">
        <v>240</v>
      </c>
      <c r="I22" s="1300">
        <v>3</v>
      </c>
      <c r="J22">
        <f>_xlfn.XLOOKUP(Table4[[#This Row],[Default Resource Title]],'Updated Rate Card Import'!E:E,'Updated Rate Card Import'!C:C)</f>
        <v>96</v>
      </c>
    </row>
    <row r="23" spans="2:10" ht="28.2" x14ac:dyDescent="0.3">
      <c r="B23" s="2" t="s">
        <v>176</v>
      </c>
      <c r="C23" s="2" t="s">
        <v>369</v>
      </c>
      <c r="D23" s="5" t="str">
        <f>IFERROR(VLOOKUP(Table4[[#This Row],[Role Type]],'Role Descriptions'!$A$1:$E$97,2,FALSE), "Missing role description data; for now, please see equivalent CrederaUS role type")</f>
        <v>Strategy role for analyzing and producing insights and recommendations from data</v>
      </c>
      <c r="E23" s="2" t="s">
        <v>346</v>
      </c>
      <c r="F23" s="357">
        <v>172</v>
      </c>
      <c r="G23" s="2" t="s">
        <v>119</v>
      </c>
      <c r="H23" s="1299">
        <v>350</v>
      </c>
      <c r="I23" s="1300">
        <v>5</v>
      </c>
      <c r="J23">
        <f>_xlfn.XLOOKUP(Table4[[#This Row],[Default Resource Title]],'Updated Rate Card Import'!E:E,'Updated Rate Card Import'!C:C)</f>
        <v>172</v>
      </c>
    </row>
    <row r="24" spans="2:10" ht="42" x14ac:dyDescent="0.3">
      <c r="B24" s="2" t="s">
        <v>176</v>
      </c>
      <c r="C24" s="2" t="s">
        <v>370</v>
      </c>
      <c r="D24" s="5" t="str">
        <f>IFERROR(VLOOKUP(Table4[[#This Row],[Role Type]],'Role Descriptions'!$A$1:$E$97,2,FALSE), "Missing role description data; for now, please see equivalent CrederaUS role type")</f>
        <v>Strategy role that requires someone well versed in data best practices, architecture, governance, integrity related to accomplishing business and technology goals</v>
      </c>
      <c r="E24" s="2" t="s">
        <v>346</v>
      </c>
      <c r="F24" s="357">
        <v>172</v>
      </c>
      <c r="G24" s="2" t="s">
        <v>119</v>
      </c>
      <c r="H24" s="1299">
        <v>350</v>
      </c>
      <c r="I24" s="1300">
        <v>5</v>
      </c>
      <c r="J24">
        <f>_xlfn.XLOOKUP(Table4[[#This Row],[Default Resource Title]],'Updated Rate Card Import'!E:E,'Updated Rate Card Import'!C:C)</f>
        <v>172</v>
      </c>
    </row>
    <row r="25" spans="2:10" ht="28.2" x14ac:dyDescent="0.3">
      <c r="B25" s="2" t="s">
        <v>176</v>
      </c>
      <c r="C25" s="2" t="s">
        <v>327</v>
      </c>
      <c r="D25" s="5" t="str">
        <f>IFERROR(VLOOKUP(Table4[[#This Row],[Role Type]],'Role Descriptions'!$A$1:$E$97,2,FALSE), "Missing role description data; for now, please see equivalent CrederaUS role type")</f>
        <v>Engineering role for developing report visualizations and dashboards (think PowerBI, Tableau)</v>
      </c>
      <c r="E25" s="2" t="s">
        <v>259</v>
      </c>
      <c r="F25" s="357">
        <v>96</v>
      </c>
      <c r="G25" s="2" t="s">
        <v>119</v>
      </c>
      <c r="H25" s="1299">
        <v>240</v>
      </c>
      <c r="I25" s="1300">
        <v>3</v>
      </c>
      <c r="J25">
        <f>_xlfn.XLOOKUP(Table4[[#This Row],[Default Resource Title]],'Updated Rate Card Import'!E:E,'Updated Rate Card Import'!C:C)</f>
        <v>96</v>
      </c>
    </row>
    <row r="26" spans="2:10" ht="42" x14ac:dyDescent="0.3">
      <c r="B26" s="2" t="s">
        <v>176</v>
      </c>
      <c r="C26" s="2" t="s">
        <v>388</v>
      </c>
      <c r="D26" s="5" t="str">
        <f>IFERROR(VLOOKUP(Table4[[#This Row],[Role Type]],'Role Descriptions'!$A$1:$E$97,2,FALSE), "Missing role description data; for now, please see equivalent CrederaUS role type")</f>
        <v>Provides design leadership and creative direction and define the design strategy and deliverables needed to ensure the project's goals and users' needs are met</v>
      </c>
      <c r="E26" s="2" t="s">
        <v>385</v>
      </c>
      <c r="F26" s="357">
        <v>172</v>
      </c>
      <c r="G26" s="2" t="s">
        <v>119</v>
      </c>
      <c r="H26" s="1299">
        <v>350</v>
      </c>
      <c r="I26" s="1300">
        <v>5</v>
      </c>
      <c r="J26">
        <f>_xlfn.XLOOKUP(Table4[[#This Row],[Default Resource Title]],'Updated Rate Card Import'!E:E,'Updated Rate Card Import'!C:C)</f>
        <v>172</v>
      </c>
    </row>
    <row r="27" spans="2:10" ht="42" x14ac:dyDescent="0.3">
      <c r="B27" s="2" t="s">
        <v>176</v>
      </c>
      <c r="C27" s="2" t="s">
        <v>389</v>
      </c>
      <c r="D27" s="5" t="str">
        <f>IFERROR(VLOOKUP(Table4[[#This Row],[Role Type]],'Role Descriptions'!$A$1:$E$97,2,FALSE), "Missing role description data; for now, please see equivalent CrederaUS role type")</f>
        <v>Using a full range of interaction, visual, and prototyping skillsets, they will create a consistent and predictable look &amp; feel for products by applying Atomic Design principles and methods.</v>
      </c>
      <c r="E27" s="2" t="s">
        <v>3222</v>
      </c>
      <c r="F27" s="357">
        <v>77</v>
      </c>
      <c r="G27" s="2" t="s">
        <v>119</v>
      </c>
      <c r="H27" s="1299">
        <v>200</v>
      </c>
      <c r="I27" s="1300">
        <v>2</v>
      </c>
      <c r="J27">
        <f>_xlfn.XLOOKUP(Table4[[#This Row],[Default Resource Title]],'Updated Rate Card Import'!E:E,'Updated Rate Card Import'!C:C)</f>
        <v>77</v>
      </c>
    </row>
    <row r="28" spans="2:10" x14ac:dyDescent="0.3">
      <c r="B28" s="2" t="s">
        <v>176</v>
      </c>
      <c r="C28" s="2" t="s">
        <v>387</v>
      </c>
      <c r="D28" s="5" t="str">
        <f>IFERROR(VLOOKUP(Table4[[#This Row],[Role Type]],'Role Descriptions'!$A$1:$E$97,2,FALSE), "Missing role description data; for now, please see equivalent CrederaUS role type")</f>
        <v>Designer</v>
      </c>
      <c r="E28" s="2" t="s">
        <v>3222</v>
      </c>
      <c r="F28" s="357">
        <v>77</v>
      </c>
      <c r="G28" s="2" t="s">
        <v>119</v>
      </c>
      <c r="H28" s="1299">
        <v>200</v>
      </c>
      <c r="I28" s="1300">
        <v>2</v>
      </c>
      <c r="J28">
        <f>_xlfn.XLOOKUP(Table4[[#This Row],[Default Resource Title]],'Updated Rate Card Import'!E:E,'Updated Rate Card Import'!C:C)</f>
        <v>77</v>
      </c>
    </row>
    <row r="29" spans="2:10" x14ac:dyDescent="0.3">
      <c r="B29" s="2" t="s">
        <v>176</v>
      </c>
      <c r="C29" s="2" t="s">
        <v>329</v>
      </c>
      <c r="D29" s="5" t="str">
        <f>IFERROR(VLOOKUP(Table4[[#This Row],[Role Type]],'Role Descriptions'!$A$1:$E$97,2,FALSE), "Missing role description data; for now, please see equivalent CrederaUS role type")</f>
        <v>Engineering role for developing DevOps pipelines and automation</v>
      </c>
      <c r="E29" s="2" t="s">
        <v>259</v>
      </c>
      <c r="F29" s="357">
        <v>96</v>
      </c>
      <c r="G29" s="2" t="s">
        <v>119</v>
      </c>
      <c r="H29" s="1299">
        <v>240</v>
      </c>
      <c r="I29" s="1300">
        <v>3</v>
      </c>
      <c r="J29">
        <f>_xlfn.XLOOKUP(Table4[[#This Row],[Default Resource Title]],'Updated Rate Card Import'!E:E,'Updated Rate Card Import'!C:C)</f>
        <v>96</v>
      </c>
    </row>
    <row r="30" spans="2:10" x14ac:dyDescent="0.3">
      <c r="B30" s="2" t="s">
        <v>176</v>
      </c>
      <c r="C30" s="2" t="s">
        <v>425</v>
      </c>
      <c r="D30" s="5" t="str">
        <f>IFERROR(VLOOKUP(Table4[[#This Row],[Role Type]],'Role Descriptions'!$A$1:$E$97,2,FALSE), "Missing role description data; for now, please see equivalent CrederaUS role type")</f>
        <v>Digital MC/Consulting skills aligned specialist at principal level</v>
      </c>
      <c r="E30" s="2" t="s">
        <v>420</v>
      </c>
      <c r="F30" s="357">
        <v>257</v>
      </c>
      <c r="G30" s="2" t="s">
        <v>119</v>
      </c>
      <c r="H30" s="357">
        <v>390</v>
      </c>
      <c r="I30" s="1300">
        <v>6</v>
      </c>
      <c r="J30">
        <f>_xlfn.XLOOKUP(Table4[[#This Row],[Default Resource Title]],'Updated Rate Card Import'!E:E,'Updated Rate Card Import'!C:C)</f>
        <v>257</v>
      </c>
    </row>
    <row r="31" spans="2:10" x14ac:dyDescent="0.3">
      <c r="B31" s="2" t="s">
        <v>176</v>
      </c>
      <c r="C31" s="2" t="s">
        <v>424</v>
      </c>
      <c r="D31" s="5" t="str">
        <f>IFERROR(VLOOKUP(Table4[[#This Row],[Role Type]],'Role Descriptions'!$A$1:$E$97,2,FALSE), "Missing role description data; for now, please see equivalent CrederaUS role type")</f>
        <v>Digital technical specialist at principal level</v>
      </c>
      <c r="E31" s="2" t="s">
        <v>423</v>
      </c>
      <c r="F31" s="357">
        <v>257</v>
      </c>
      <c r="G31" s="2" t="s">
        <v>119</v>
      </c>
      <c r="H31" s="357">
        <v>390</v>
      </c>
      <c r="I31" s="1300">
        <v>6</v>
      </c>
      <c r="J31">
        <f>_xlfn.XLOOKUP(Table4[[#This Row],[Default Resource Title]],'Updated Rate Card Import'!E:E,'Updated Rate Card Import'!C:C)</f>
        <v>257</v>
      </c>
    </row>
    <row r="32" spans="2:10" ht="55.8" x14ac:dyDescent="0.3">
      <c r="B32" s="2" t="s">
        <v>176</v>
      </c>
      <c r="C32" s="2" t="s">
        <v>404</v>
      </c>
      <c r="D32" s="5" t="str">
        <f>IFERROR(VLOOKUP(Table4[[#This Row],[Role Type]],'Role Descriptions'!$A$1:$E$97,2,FALSE), "Missing role description data; for now, please see equivalent CrederaUS role type")</f>
        <v>Team member understands and applies employee engagement and culture best practices, including strategic cultural assessments, cultural transformation planning and execution, and implementation of organizational health measures</v>
      </c>
      <c r="E32" s="2" t="s">
        <v>385</v>
      </c>
      <c r="F32" s="357">
        <v>172</v>
      </c>
      <c r="G32" s="2" t="s">
        <v>119</v>
      </c>
      <c r="H32" s="1299">
        <v>350</v>
      </c>
      <c r="I32" s="1300">
        <v>5</v>
      </c>
      <c r="J32">
        <f>_xlfn.XLOOKUP(Table4[[#This Row],[Default Resource Title]],'Updated Rate Card Import'!E:E,'Updated Rate Card Import'!C:C)</f>
        <v>172</v>
      </c>
    </row>
    <row r="33" spans="2:10" ht="28.2" x14ac:dyDescent="0.3">
      <c r="B33" s="2" t="s">
        <v>176</v>
      </c>
      <c r="C33" s="2" t="s">
        <v>350</v>
      </c>
      <c r="D33" s="5" t="str">
        <f>IFERROR(VLOOKUP(Table4[[#This Row],[Role Type]],'Role Descriptions'!$A$1:$E$97,2,FALSE), "Missing role description data; for now, please see equivalent CrederaUS role type")</f>
        <v>Architecture role that thinks about all systems and integrations inside an enterprise and provide wholistic architecture guidance</v>
      </c>
      <c r="E33" s="2" t="s">
        <v>346</v>
      </c>
      <c r="F33" s="357">
        <v>172</v>
      </c>
      <c r="G33" s="2" t="s">
        <v>119</v>
      </c>
      <c r="H33" s="1299">
        <v>350</v>
      </c>
      <c r="I33" s="1300">
        <v>5</v>
      </c>
      <c r="J33">
        <f>_xlfn.XLOOKUP(Table4[[#This Row],[Default Resource Title]],'Updated Rate Card Import'!E:E,'Updated Rate Card Import'!C:C)</f>
        <v>172</v>
      </c>
    </row>
    <row r="34" spans="2:10" ht="42" x14ac:dyDescent="0.3">
      <c r="B34" s="2" t="s">
        <v>176</v>
      </c>
      <c r="C34" s="2" t="s">
        <v>399</v>
      </c>
      <c r="D34" s="5" t="str">
        <f>IFERROR(VLOOKUP(Table4[[#This Row],[Role Type]],'Role Descriptions'!$A$1:$E$97,2,FALSE), "Missing role description data; for now, please see equivalent CrederaUS role type")</f>
        <v>Works with clients to define a customer strategy that includes their customer needs, wants, and desires by analyzing their business, analytics data, research, etc.</v>
      </c>
      <c r="E34" s="2" t="s">
        <v>3222</v>
      </c>
      <c r="F34" s="357">
        <v>77</v>
      </c>
      <c r="G34" s="2" t="s">
        <v>119</v>
      </c>
      <c r="H34" s="1299">
        <v>200</v>
      </c>
      <c r="I34" s="1300">
        <v>2</v>
      </c>
      <c r="J34">
        <f>_xlfn.XLOOKUP(Table4[[#This Row],[Default Resource Title]],'Updated Rate Card Import'!E:E,'Updated Rate Card Import'!C:C)</f>
        <v>77</v>
      </c>
    </row>
    <row r="35" spans="2:10" x14ac:dyDescent="0.3">
      <c r="B35" s="2" t="s">
        <v>176</v>
      </c>
      <c r="C35" s="2" t="s">
        <v>401</v>
      </c>
      <c r="D35" s="5" t="str">
        <f>IFERROR(VLOOKUP(Table4[[#This Row],[Role Type]],'Role Descriptions'!$A$1:$E$97,2,FALSE), "Missing role description data; for now, please see equivalent CrederaUS role type")</f>
        <v>Experience Strategy Director</v>
      </c>
      <c r="E35" s="2" t="s">
        <v>385</v>
      </c>
      <c r="F35" s="357">
        <v>172</v>
      </c>
      <c r="G35" s="2" t="s">
        <v>119</v>
      </c>
      <c r="H35" s="1299">
        <v>350</v>
      </c>
      <c r="I35" s="1300">
        <v>5</v>
      </c>
      <c r="J35">
        <f>_xlfn.XLOOKUP(Table4[[#This Row],[Default Resource Title]],'Updated Rate Card Import'!E:E,'Updated Rate Card Import'!C:C)</f>
        <v>172</v>
      </c>
    </row>
    <row r="36" spans="2:10" ht="55.8" x14ac:dyDescent="0.3">
      <c r="B36" s="2" t="s">
        <v>176</v>
      </c>
      <c r="C36" s="2" t="s">
        <v>352</v>
      </c>
      <c r="D36" s="5" t="str">
        <f>IFERROR(VLOOKUP(Table4[[#This Row],[Role Type]],'Role Descriptions'!$A$1:$E$97,2,FALSE), "Missing role description data; for now, please see equivalent CrederaUS role type")</f>
        <v>Provides lead oversight and support to front-end engineers in day-to-day activities, and is responsible for evaluating appropriate tools, development architecture, and industry standards necessary to build complex web applications</v>
      </c>
      <c r="E36" s="2" t="s">
        <v>353</v>
      </c>
      <c r="F36" s="357">
        <v>128</v>
      </c>
      <c r="G36" s="2" t="s">
        <v>119</v>
      </c>
      <c r="H36" s="1299">
        <v>300</v>
      </c>
      <c r="I36" s="1300">
        <v>4</v>
      </c>
      <c r="J36">
        <f>_xlfn.XLOOKUP(Table4[[#This Row],[Default Resource Title]],'Updated Rate Card Import'!E:E,'Updated Rate Card Import'!C:C)</f>
        <v>128</v>
      </c>
    </row>
    <row r="37" spans="2:10" ht="55.8" x14ac:dyDescent="0.3">
      <c r="B37" s="2" t="s">
        <v>176</v>
      </c>
      <c r="C37" s="2" t="s">
        <v>332</v>
      </c>
      <c r="D37" s="5" t="str">
        <f>IFERROR(VLOOKUP(Table4[[#This Row],[Role Type]],'Role Descriptions'!$A$1:$E$97,2,FALSE), "Missing role description data; for now, please see equivalent CrederaUS role type")</f>
        <v>Develops highly interactive, visually complex web applications using leading industry frameworks with a specialized emphasis on high touch, user-centered requirements such as web accessibility, performance, etc.</v>
      </c>
      <c r="E37" s="2" t="s">
        <v>3222</v>
      </c>
      <c r="F37" s="357">
        <v>77</v>
      </c>
      <c r="G37" s="2" t="s">
        <v>119</v>
      </c>
      <c r="H37" s="1299">
        <v>200</v>
      </c>
      <c r="I37" s="1300">
        <v>2</v>
      </c>
      <c r="J37">
        <f>_xlfn.XLOOKUP(Table4[[#This Row],[Default Resource Title]],'Updated Rate Card Import'!E:E,'Updated Rate Card Import'!C:C)</f>
        <v>77</v>
      </c>
    </row>
    <row r="38" spans="2:10" ht="28.2" x14ac:dyDescent="0.3">
      <c r="B38" s="2" t="s">
        <v>176</v>
      </c>
      <c r="C38" s="2" t="s">
        <v>333</v>
      </c>
      <c r="D38" s="5" t="str">
        <f>IFERROR(VLOOKUP(Table4[[#This Row],[Role Type]],'Role Descriptions'!$A$1:$E$97,2,FALSE), "Missing role description data; for now, please see equivalent CrederaUS role type")</f>
        <v>Engineering role for developing end-to-end applications (includes on platforms like Salesforce)</v>
      </c>
      <c r="E38" s="2" t="s">
        <v>3222</v>
      </c>
      <c r="F38" s="357">
        <v>77</v>
      </c>
      <c r="G38" s="2" t="s">
        <v>119</v>
      </c>
      <c r="H38" s="1299">
        <v>200</v>
      </c>
      <c r="I38" s="1300">
        <v>2</v>
      </c>
      <c r="J38">
        <f>_xlfn.XLOOKUP(Table4[[#This Row],[Default Resource Title]],'Updated Rate Card Import'!E:E,'Updated Rate Card Import'!C:C)</f>
        <v>77</v>
      </c>
    </row>
    <row r="39" spans="2:10" ht="28.2" x14ac:dyDescent="0.3">
      <c r="B39" s="2" t="s">
        <v>176</v>
      </c>
      <c r="C39" s="2" t="s">
        <v>335</v>
      </c>
      <c r="D39" s="5" t="str">
        <f>IFERROR(VLOOKUP(Table4[[#This Row],[Role Type]],'Role Descriptions'!$A$1:$E$97,2,FALSE), "Missing role description data; for now, please see equivalent CrederaUS role type")</f>
        <v>Engineering role for developing infrastructure as code and other infrastructure configurations or automation</v>
      </c>
      <c r="E39" s="2" t="s">
        <v>259</v>
      </c>
      <c r="F39" s="357">
        <v>96</v>
      </c>
      <c r="G39" s="2" t="s">
        <v>119</v>
      </c>
      <c r="H39" s="1299">
        <v>240</v>
      </c>
      <c r="I39" s="1300">
        <v>3</v>
      </c>
      <c r="J39">
        <f>_xlfn.XLOOKUP(Table4[[#This Row],[Default Resource Title]],'Updated Rate Card Import'!E:E,'Updated Rate Card Import'!C:C)</f>
        <v>96</v>
      </c>
    </row>
    <row r="40" spans="2:10" ht="42" x14ac:dyDescent="0.3">
      <c r="B40" s="2" t="s">
        <v>176</v>
      </c>
      <c r="C40" s="2" t="s">
        <v>408</v>
      </c>
      <c r="D40" s="5" t="str">
        <f>IFERROR(VLOOKUP(Table4[[#This Row],[Role Type]],'Role Descriptions'!$A$1:$E$97,2,FALSE), "Missing role description data; for now, please see equivalent CrederaUS role type")</f>
        <v>Team member provides leadership for innovation labs, prioritization workshops, disruption sprints, design sprints, and product growth</v>
      </c>
      <c r="E40" s="2" t="s">
        <v>385</v>
      </c>
      <c r="F40" s="357">
        <v>172</v>
      </c>
      <c r="G40" s="2" t="s">
        <v>119</v>
      </c>
      <c r="H40" s="1299">
        <v>350</v>
      </c>
      <c r="I40" s="1300">
        <v>5</v>
      </c>
      <c r="J40">
        <f>_xlfn.XLOOKUP(Table4[[#This Row],[Default Resource Title]],'Updated Rate Card Import'!E:E,'Updated Rate Card Import'!C:C)</f>
        <v>172</v>
      </c>
    </row>
    <row r="41" spans="2:10" ht="28.2" x14ac:dyDescent="0.3">
      <c r="B41" s="2" t="s">
        <v>176</v>
      </c>
      <c r="C41" s="2" t="s">
        <v>337</v>
      </c>
      <c r="D41" s="5" t="str">
        <f>IFERROR(VLOOKUP(Table4[[#This Row],[Role Type]],'Role Descriptions'!$A$1:$E$97,2,FALSE), "Missing role description data; for now, please see equivalent CrederaUS role type")</f>
        <v>Engineering role for developing models for artificial intelligence processes</v>
      </c>
      <c r="E41" s="2" t="s">
        <v>259</v>
      </c>
      <c r="F41" s="357">
        <v>96</v>
      </c>
      <c r="G41" s="2" t="s">
        <v>119</v>
      </c>
      <c r="H41" s="1299">
        <v>240</v>
      </c>
      <c r="I41" s="1300">
        <v>3</v>
      </c>
      <c r="J41">
        <f>_xlfn.XLOOKUP(Table4[[#This Row],[Default Resource Title]],'Updated Rate Card Import'!E:E,'Updated Rate Card Import'!C:C)</f>
        <v>96</v>
      </c>
    </row>
    <row r="42" spans="2:10" ht="42" x14ac:dyDescent="0.3">
      <c r="B42" s="2" t="s">
        <v>176</v>
      </c>
      <c r="C42" s="2" t="s">
        <v>397</v>
      </c>
      <c r="D42" s="5" t="str">
        <f>IFERROR(VLOOKUP(Table4[[#This Row],[Role Type]],'Role Descriptions'!$A$1:$E$97,2,FALSE), "Missing role description data; for now, please see equivalent CrederaUS role type")</f>
        <v>Gathers and analyzes data on consumers and competitors, as well as industry trends, to examine market demand and pricing strategies</v>
      </c>
      <c r="E42" s="2" t="s">
        <v>3222</v>
      </c>
      <c r="F42" s="357">
        <v>77</v>
      </c>
      <c r="G42" s="2" t="s">
        <v>119</v>
      </c>
      <c r="H42" s="1299">
        <v>200</v>
      </c>
      <c r="I42" s="1300">
        <v>2</v>
      </c>
      <c r="J42">
        <f>_xlfn.XLOOKUP(Table4[[#This Row],[Default Resource Title]],'Updated Rate Card Import'!E:E,'Updated Rate Card Import'!C:C)</f>
        <v>77</v>
      </c>
    </row>
    <row r="43" spans="2:10" ht="55.8" x14ac:dyDescent="0.3">
      <c r="B43" s="2" t="s">
        <v>176</v>
      </c>
      <c r="C43" s="2" t="s">
        <v>426</v>
      </c>
      <c r="D43" s="5" t="str">
        <f>IFERROR(VLOOKUP(Table4[[#This Row],[Role Type]],'Role Descriptions'!$A$1:$E$97,2,FALSE), "Missing role description data; for now, please see equivalent CrederaUS role type")</f>
        <v>Leverages expertise in MarTech (breadth) and solution architecture to identify how use cases impact a client’s overall MarTech architecture, and to design and scope technical solutions which leverage custom and 3rd party platforms.</v>
      </c>
      <c r="E43" s="2" t="s">
        <v>1745</v>
      </c>
      <c r="F43" s="357">
        <v>128</v>
      </c>
      <c r="G43" s="2" t="s">
        <v>119</v>
      </c>
      <c r="H43" s="1299">
        <v>300</v>
      </c>
      <c r="I43" s="1300">
        <v>4</v>
      </c>
      <c r="J43">
        <f>_xlfn.XLOOKUP(Table4[[#This Row],[Default Resource Title]],'Updated Rate Card Import'!E:E,'Updated Rate Card Import'!C:C)</f>
        <v>128</v>
      </c>
    </row>
    <row r="44" spans="2:10" x14ac:dyDescent="0.3">
      <c r="B44" s="2" t="s">
        <v>176</v>
      </c>
      <c r="C44" s="2" t="s">
        <v>419</v>
      </c>
      <c r="D44" s="5" t="str">
        <f>IFERROR(VLOOKUP(Table4[[#This Row],[Role Type]],'Role Descriptions'!$A$1:$E$97,2,FALSE), "Missing role description data; for now, please see equivalent CrederaUS role type")</f>
        <v>Principal level specialist</v>
      </c>
      <c r="E44" s="2" t="s">
        <v>420</v>
      </c>
      <c r="F44" s="357">
        <v>257</v>
      </c>
      <c r="G44" s="2" t="s">
        <v>119</v>
      </c>
      <c r="H44" s="357">
        <v>390</v>
      </c>
      <c r="I44" s="1300">
        <v>6</v>
      </c>
      <c r="J44">
        <f>_xlfn.XLOOKUP(Table4[[#This Row],[Default Resource Title]],'Updated Rate Card Import'!E:E,'Updated Rate Card Import'!C:C)</f>
        <v>257</v>
      </c>
    </row>
    <row r="45" spans="2:10" x14ac:dyDescent="0.3">
      <c r="B45" s="2" t="s">
        <v>176</v>
      </c>
      <c r="C45" s="2" t="s">
        <v>339</v>
      </c>
      <c r="D45" s="5" t="str">
        <f>IFERROR(VLOOKUP(Table4[[#This Row],[Role Type]],'Role Descriptions'!$A$1:$E$97,2,FALSE), "Missing role description data; for now, please see equivalent CrederaUS role type")</f>
        <v>ML Ops Engineer</v>
      </c>
      <c r="E45" s="2" t="s">
        <v>259</v>
      </c>
      <c r="F45" s="357">
        <v>96</v>
      </c>
      <c r="G45" s="2" t="s">
        <v>119</v>
      </c>
      <c r="H45" s="1299">
        <v>240</v>
      </c>
      <c r="I45" s="1300">
        <v>3</v>
      </c>
      <c r="J45">
        <f>_xlfn.XLOOKUP(Table4[[#This Row],[Default Resource Title]],'Updated Rate Card Import'!E:E,'Updated Rate Card Import'!C:C)</f>
        <v>96</v>
      </c>
    </row>
    <row r="46" spans="2:10" ht="42" x14ac:dyDescent="0.3">
      <c r="B46" s="2" t="s">
        <v>176</v>
      </c>
      <c r="C46" s="2" t="s">
        <v>355</v>
      </c>
      <c r="D46" s="5" t="str">
        <f>IFERROR(VLOOKUP(Table4[[#This Row],[Role Type]],'Role Descriptions'!$A$1:$E$97,2,FALSE), "Missing role description data; for now, please see equivalent CrederaUS role type")</f>
        <v>Architecture role for designing the overall mobile architecture, mobile native apps, data contracts, testing, and integration solutions that achieves business outcomes</v>
      </c>
      <c r="E46" s="2" t="s">
        <v>353</v>
      </c>
      <c r="F46" s="357">
        <v>128</v>
      </c>
      <c r="G46" s="2" t="s">
        <v>119</v>
      </c>
      <c r="H46" s="1299">
        <v>300</v>
      </c>
      <c r="I46" s="1300">
        <v>4</v>
      </c>
      <c r="J46">
        <f>_xlfn.XLOOKUP(Table4[[#This Row],[Default Resource Title]],'Updated Rate Card Import'!E:E,'Updated Rate Card Import'!C:C)</f>
        <v>128</v>
      </c>
    </row>
    <row r="47" spans="2:10" ht="28.2" x14ac:dyDescent="0.3">
      <c r="B47" s="2" t="s">
        <v>176</v>
      </c>
      <c r="C47" s="2" t="s">
        <v>341</v>
      </c>
      <c r="D47" s="5" t="str">
        <f>IFERROR(VLOOKUP(Table4[[#This Row],[Role Type]],'Role Descriptions'!$A$1:$E$97,2,FALSE), "Missing role description data; for now, please see equivalent CrederaUS role type")</f>
        <v>Engineering role for developing native mobile apps or hybrid web pages for use in mobile apps</v>
      </c>
      <c r="E47" s="2" t="s">
        <v>259</v>
      </c>
      <c r="F47" s="357">
        <v>96</v>
      </c>
      <c r="G47" s="2" t="s">
        <v>119</v>
      </c>
      <c r="H47" s="1299">
        <v>240</v>
      </c>
      <c r="I47" s="1300">
        <v>3</v>
      </c>
      <c r="J47">
        <f>_xlfn.XLOOKUP(Table4[[#This Row],[Default Resource Title]],'Updated Rate Card Import'!E:E,'Updated Rate Card Import'!C:C)</f>
        <v>96</v>
      </c>
    </row>
    <row r="48" spans="2:10" x14ac:dyDescent="0.3">
      <c r="B48" s="2" t="s">
        <v>176</v>
      </c>
      <c r="C48" s="2" t="s">
        <v>371</v>
      </c>
      <c r="D48" s="5" t="str">
        <f>IFERROR(VLOOKUP(Table4[[#This Row],[Role Type]],'Role Descriptions'!$A$1:$E$97,2,FALSE), "Missing role description data; for now, please see equivalent CrederaUS role type")</f>
        <v>Mobile Strategist</v>
      </c>
      <c r="E48" s="2" t="s">
        <v>346</v>
      </c>
      <c r="F48" s="357">
        <v>172</v>
      </c>
      <c r="G48" s="2" t="s">
        <v>119</v>
      </c>
      <c r="H48" s="1299">
        <v>350</v>
      </c>
      <c r="I48" s="1300">
        <v>5</v>
      </c>
      <c r="J48">
        <f>_xlfn.XLOOKUP(Table4[[#This Row],[Default Resource Title]],'Updated Rate Card Import'!E:E,'Updated Rate Card Import'!C:C)</f>
        <v>172</v>
      </c>
    </row>
    <row r="49" spans="2:10" ht="55.8" x14ac:dyDescent="0.3">
      <c r="B49" s="2" t="s">
        <v>176</v>
      </c>
      <c r="C49" s="2" t="s">
        <v>427</v>
      </c>
      <c r="D49" s="5" t="str">
        <f>IFERROR(VLOOKUP(Table4[[#This Row],[Role Type]],'Role Descriptions'!$A$1:$E$97,2,FALSE), "Missing role description data; for now, please see equivalent CrederaUS role type")</f>
        <v>Leverages expertise in Measurement &amp; Analytics and related tech (e.g., Google/Adobe Analytics, Optimizely), identifying how use cases impact a client’s MarTech architecture, and converting findings into recommended initiatives.</v>
      </c>
      <c r="E49" s="2" t="s">
        <v>1743</v>
      </c>
      <c r="F49" s="357">
        <v>128</v>
      </c>
      <c r="G49" s="2" t="s">
        <v>119</v>
      </c>
      <c r="H49" s="1299">
        <v>300</v>
      </c>
      <c r="I49" s="1300">
        <v>4</v>
      </c>
      <c r="J49">
        <f>_xlfn.XLOOKUP(Table4[[#This Row],[Default Resource Title]],'Updated Rate Card Import'!E:E,'Updated Rate Card Import'!C:C)</f>
        <v>128</v>
      </c>
    </row>
    <row r="50" spans="2:10" ht="55.8" x14ac:dyDescent="0.3">
      <c r="B50" s="2" t="s">
        <v>176</v>
      </c>
      <c r="C50" s="2" t="s">
        <v>414</v>
      </c>
      <c r="D50" s="5" t="str">
        <f>IFERROR(VLOOKUP(Table4[[#This Row],[Role Type]],'Role Descriptions'!$A$1:$E$97,2,FALSE), "Missing role description data; for now, please see equivalent CrederaUS role type")</f>
        <v>Leverages expertise in Marketing Automation and related tech (e.g., Salesforce Marketing Cloud, Braze, Pega), identifying how use cases impact a client’s MarTech architecture, and converting findings into recommended initiatives.</v>
      </c>
      <c r="E50" s="2" t="s">
        <v>1744</v>
      </c>
      <c r="F50" s="357">
        <v>172</v>
      </c>
      <c r="G50" s="2" t="s">
        <v>119</v>
      </c>
      <c r="H50" s="1299">
        <v>350</v>
      </c>
      <c r="I50" s="1300">
        <v>5</v>
      </c>
      <c r="J50">
        <f>_xlfn.XLOOKUP(Table4[[#This Row],[Default Resource Title]],'Updated Rate Card Import'!E:E,'Updated Rate Card Import'!C:C)</f>
        <v>172</v>
      </c>
    </row>
    <row r="51" spans="2:10" ht="55.8" x14ac:dyDescent="0.3">
      <c r="B51" s="2" t="s">
        <v>176</v>
      </c>
      <c r="C51" s="2" t="s">
        <v>412</v>
      </c>
      <c r="D51" s="5" t="str">
        <f>IFERROR(VLOOKUP(Table4[[#This Row],[Role Type]],'Role Descriptions'!$A$1:$E$97,2,FALSE), "Missing role description data; for now, please see equivalent CrederaUS role type")</f>
        <v>Leverages expertise in Intelligent Content and related tech (e.g., AEM, Contentsquare, Optimizely), identifying how use cases impact a client’s MarTech architecture, and converting findings into recommended initiatives.</v>
      </c>
      <c r="E51" s="2" t="s">
        <v>1744</v>
      </c>
      <c r="F51" s="357">
        <v>172</v>
      </c>
      <c r="G51" s="2" t="s">
        <v>119</v>
      </c>
      <c r="H51" s="1299">
        <v>350</v>
      </c>
      <c r="I51" s="1300">
        <v>5</v>
      </c>
      <c r="J51">
        <f>_xlfn.XLOOKUP(Table4[[#This Row],[Default Resource Title]],'Updated Rate Card Import'!E:E,'Updated Rate Card Import'!C:C)</f>
        <v>172</v>
      </c>
    </row>
    <row r="52" spans="2:10" ht="28.2" x14ac:dyDescent="0.3">
      <c r="B52" s="2" t="s">
        <v>176</v>
      </c>
      <c r="C52" s="2" t="s">
        <v>415</v>
      </c>
      <c r="D52" s="5" t="str">
        <f>IFERROR(VLOOKUP(Table4[[#This Row],[Role Type]],'Role Descriptions'!$A$1:$E$97,2,FALSE), "Missing role description data; for now, please see equivalent CrederaUS role type")</f>
        <v>Team member supports breadth of MarTech focus areas with basic understanding of core Marketing principles.</v>
      </c>
      <c r="E52" s="2" t="s">
        <v>3223</v>
      </c>
      <c r="F52" s="357">
        <v>77</v>
      </c>
      <c r="G52" s="2" t="s">
        <v>119</v>
      </c>
      <c r="H52" s="1299">
        <v>200</v>
      </c>
      <c r="I52" s="1300">
        <v>2</v>
      </c>
      <c r="J52">
        <f>_xlfn.XLOOKUP(Table4[[#This Row],[Default Resource Title]],'Updated Rate Card Import'!E:E,'Updated Rate Card Import'!C:C)</f>
        <v>77</v>
      </c>
    </row>
    <row r="53" spans="2:10" ht="55.8" x14ac:dyDescent="0.3">
      <c r="B53" s="2" t="s">
        <v>176</v>
      </c>
      <c r="C53" s="2" t="s">
        <v>416</v>
      </c>
      <c r="D53" s="5" t="str">
        <f>IFERROR(VLOOKUP(Table4[[#This Row],[Role Type]],'Role Descriptions'!$A$1:$E$97,2,FALSE), "Missing role description data; for now, please see equivalent CrederaUS role type")</f>
        <v>Leverages expertise in MarTech (breadth) and project leadership to drive clarity of the current state, identifying how use cases flow through the reference architecture, and converting assessment finding into recommended initiatives.</v>
      </c>
      <c r="E53" s="2" t="s">
        <v>1743</v>
      </c>
      <c r="F53" s="357">
        <v>128</v>
      </c>
      <c r="G53" s="2" t="s">
        <v>119</v>
      </c>
      <c r="H53" s="1299">
        <v>300</v>
      </c>
      <c r="I53" s="1300">
        <v>4</v>
      </c>
      <c r="J53">
        <f>_xlfn.XLOOKUP(Table4[[#This Row],[Default Resource Title]],'Updated Rate Card Import'!E:E,'Updated Rate Card Import'!C:C)</f>
        <v>128</v>
      </c>
    </row>
    <row r="54" spans="2:10" ht="55.8" x14ac:dyDescent="0.3">
      <c r="B54" s="2" t="s">
        <v>176</v>
      </c>
      <c r="C54" s="2" t="s">
        <v>418</v>
      </c>
      <c r="D54" s="5" t="str">
        <f>IFERROR(VLOOKUP(Table4[[#This Row],[Role Type]],'Role Descriptions'!$A$1:$E$97,2,FALSE), "Missing role description data; for now, please see equivalent CrederaUS role type")</f>
        <v>Leverages expertise in Single Customer View and related tech (e.g., Tealium, mParticle, Adobe Experience Platform), identifying how use cases impact a client’s MarTech architecture, and converting findings into recommended initiatives.[MarTech &amp; Commerce]</v>
      </c>
      <c r="E54" s="2" t="s">
        <v>1744</v>
      </c>
      <c r="F54" s="357">
        <v>172</v>
      </c>
      <c r="G54" s="2" t="s">
        <v>119</v>
      </c>
      <c r="H54" s="1299">
        <v>350</v>
      </c>
      <c r="I54" s="1300">
        <v>5</v>
      </c>
      <c r="J54">
        <f>_xlfn.XLOOKUP(Table4[[#This Row],[Default Resource Title]],'Updated Rate Card Import'!E:E,'Updated Rate Card Import'!C:C)</f>
        <v>172</v>
      </c>
    </row>
    <row r="55" spans="2:10" ht="55.8" x14ac:dyDescent="0.3">
      <c r="B55" s="2" t="s">
        <v>176</v>
      </c>
      <c r="C55" s="2" t="s">
        <v>417</v>
      </c>
      <c r="D55" s="5" t="str">
        <f>IFERROR(VLOOKUP(Table4[[#This Row],[Role Type]],'Role Descriptions'!$A$1:$E$97,2,FALSE), "Missing role description data; for now, please see equivalent CrederaUS role type")</f>
        <v>Leverages expertise in Organic Marketing and related tech (e.g., Google Search Console, Bing Webmaster, SEMRush), identifying how use cases impact a client’s MarTech architecture, and converting findings into recommended initiatives.</v>
      </c>
      <c r="E55" s="2" t="s">
        <v>1744</v>
      </c>
      <c r="F55" s="357">
        <v>172</v>
      </c>
      <c r="G55" s="2" t="s">
        <v>119</v>
      </c>
      <c r="H55" s="1299">
        <v>350</v>
      </c>
      <c r="I55" s="1300">
        <v>5</v>
      </c>
      <c r="J55">
        <f>_xlfn.XLOOKUP(Table4[[#This Row],[Default Resource Title]],'Updated Rate Card Import'!E:E,'Updated Rate Card Import'!C:C)</f>
        <v>172</v>
      </c>
    </row>
    <row r="56" spans="2:10" ht="55.8" x14ac:dyDescent="0.3">
      <c r="B56" s="2" t="s">
        <v>176</v>
      </c>
      <c r="C56" s="2" t="s">
        <v>428</v>
      </c>
      <c r="D56" s="5" t="str">
        <f>IFERROR(VLOOKUP(Table4[[#This Row],[Role Type]],'Role Descriptions'!$A$1:$E$97,2,FALSE), "Missing role description data; for now, please see equivalent CrederaUS role type")</f>
        <v>Leverages their expertise in specific MarTech technologies, identifying how use cases impact the relevant aspects of a client’s MarTech architecture, and converting assessment findings into recommended initiatives.</v>
      </c>
      <c r="E56" s="2" t="s">
        <v>1743</v>
      </c>
      <c r="F56" s="357">
        <v>128</v>
      </c>
      <c r="G56" s="2" t="s">
        <v>119</v>
      </c>
      <c r="H56" s="1299">
        <v>300</v>
      </c>
      <c r="I56" s="1300">
        <v>4</v>
      </c>
      <c r="J56">
        <f>_xlfn.XLOOKUP(Table4[[#This Row],[Default Resource Title]],'Updated Rate Card Import'!E:E,'Updated Rate Card Import'!C:C)</f>
        <v>128</v>
      </c>
    </row>
    <row r="57" spans="2:10" ht="28.2" x14ac:dyDescent="0.3">
      <c r="B57" s="2" t="s">
        <v>176</v>
      </c>
      <c r="C57" s="2" t="s">
        <v>381</v>
      </c>
      <c r="D57" s="5" t="str">
        <f>IFERROR(VLOOKUP(Table4[[#This Row],[Role Type]],'Role Descriptions'!$A$1:$E$97,2,FALSE), "Missing role description data; for now, please see equivalent CrederaUS role type")</f>
        <v>Officer in Charge of a project.  Must be a officer of the firm (a Partner).</v>
      </c>
      <c r="E57" s="2" t="s">
        <v>382</v>
      </c>
      <c r="F57" s="357">
        <v>289</v>
      </c>
      <c r="G57" s="2" t="s">
        <v>119</v>
      </c>
      <c r="H57" s="1299">
        <v>465</v>
      </c>
      <c r="I57" s="1300">
        <v>7</v>
      </c>
      <c r="J57">
        <f>_xlfn.XLOOKUP(Table4[[#This Row],[Default Resource Title]],'Updated Rate Card Import'!E:E,'Updated Rate Card Import'!C:C)</f>
        <v>289</v>
      </c>
    </row>
    <row r="58" spans="2:10" ht="55.8" x14ac:dyDescent="0.3">
      <c r="B58" s="2" t="s">
        <v>176</v>
      </c>
      <c r="C58" s="2" t="s">
        <v>409</v>
      </c>
      <c r="D58" s="5" t="str">
        <f>IFERROR(VLOOKUP(Table4[[#This Row],[Role Type]],'Role Descriptions'!$A$1:$E$97,2,FALSE), "Missing role description data; for now, please see equivalent CrederaUS role type")</f>
        <v>Team member with a strong understanding of the value chain, process optimization, and where/how to achieve cost savings/efficiencies; this resource can deconstruct and map complex processes</v>
      </c>
      <c r="E58" s="2" t="s">
        <v>385</v>
      </c>
      <c r="F58" s="357">
        <v>172</v>
      </c>
      <c r="G58" s="2" t="s">
        <v>119</v>
      </c>
      <c r="H58" s="1299">
        <v>350</v>
      </c>
      <c r="I58" s="1300">
        <v>5</v>
      </c>
      <c r="J58">
        <f>_xlfn.XLOOKUP(Table4[[#This Row],[Default Resource Title]],'Updated Rate Card Import'!E:E,'Updated Rate Card Import'!C:C)</f>
        <v>172</v>
      </c>
    </row>
    <row r="59" spans="2:10" ht="55.8" x14ac:dyDescent="0.3">
      <c r="B59" s="2" t="s">
        <v>176</v>
      </c>
      <c r="C59" s="2" t="s">
        <v>405</v>
      </c>
      <c r="D59" s="5" t="str">
        <f>IFERROR(VLOOKUP(Table4[[#This Row],[Role Type]],'Role Descriptions'!$A$1:$E$97,2,FALSE), "Missing role description data; for now, please see equivalent CrederaUS role type")</f>
        <v>Understands and applies change management best practices, including developing case for change, stakeholder analysis, change impact assessments, communications, training, sponsorship/coaching, and resistance management strategies</v>
      </c>
      <c r="E59" s="2" t="s">
        <v>3222</v>
      </c>
      <c r="F59" s="357">
        <v>77</v>
      </c>
      <c r="G59" s="2" t="s">
        <v>119</v>
      </c>
      <c r="H59" s="1299">
        <v>200</v>
      </c>
      <c r="I59" s="1300">
        <v>2</v>
      </c>
      <c r="J59">
        <f>_xlfn.XLOOKUP(Table4[[#This Row],[Default Resource Title]],'Updated Rate Card Import'!E:E,'Updated Rate Card Import'!C:C)</f>
        <v>77</v>
      </c>
    </row>
    <row r="60" spans="2:10" ht="42" x14ac:dyDescent="0.3">
      <c r="B60" s="2" t="s">
        <v>176</v>
      </c>
      <c r="C60" s="2" t="s">
        <v>406</v>
      </c>
      <c r="D60" s="5" t="str">
        <f>IFERROR(VLOOKUP(Table4[[#This Row],[Role Type]],'Role Descriptions'!$A$1:$E$97,2,FALSE), "Missing role description data; for now, please see equivalent CrederaUS role type")</f>
        <v>Team member brings expertise from two or more Org &amp; Change focus areas to bear on leading a project, providing subject matter expertise and oversight of Org &amp; Change project activities</v>
      </c>
      <c r="E60" s="2" t="s">
        <v>379</v>
      </c>
      <c r="F60" s="357">
        <v>128</v>
      </c>
      <c r="G60" s="2" t="s">
        <v>119</v>
      </c>
      <c r="H60" s="1299">
        <v>300</v>
      </c>
      <c r="I60" s="1300">
        <v>4</v>
      </c>
      <c r="J60">
        <f>_xlfn.XLOOKUP(Table4[[#This Row],[Default Resource Title]],'Updated Rate Card Import'!E:E,'Updated Rate Card Import'!C:C)</f>
        <v>128</v>
      </c>
    </row>
    <row r="61" spans="2:10" x14ac:dyDescent="0.3">
      <c r="B61" s="2" t="s">
        <v>176</v>
      </c>
      <c r="C61" s="2" t="s">
        <v>407</v>
      </c>
      <c r="D61" s="5" t="str">
        <f>IFERROR(VLOOKUP(Table4[[#This Row],[Role Type]],'Role Descriptions'!$A$1:$E$97,2,FALSE), "Missing role description data; for now, please see equivalent CrederaUS role type")</f>
        <v>Organizational Change Manager</v>
      </c>
      <c r="E61" s="2" t="s">
        <v>385</v>
      </c>
      <c r="F61" s="357">
        <v>172</v>
      </c>
      <c r="G61" s="2" t="s">
        <v>119</v>
      </c>
      <c r="H61" s="1299">
        <v>350</v>
      </c>
      <c r="I61" s="1300">
        <v>5</v>
      </c>
      <c r="J61">
        <f>_xlfn.XLOOKUP(Table4[[#This Row],[Default Resource Title]],'Updated Rate Card Import'!E:E,'Updated Rate Card Import'!C:C)</f>
        <v>172</v>
      </c>
    </row>
    <row r="62" spans="2:10" ht="28.2" x14ac:dyDescent="0.3">
      <c r="B62" s="2" t="s">
        <v>176</v>
      </c>
      <c r="C62" s="2" t="s">
        <v>372</v>
      </c>
      <c r="D62" s="5" t="str">
        <f>IFERROR(VLOOKUP(Table4[[#This Row],[Role Type]],'Role Descriptions'!$A$1:$E$97,2,FALSE), "Missing role description data; for now, please see equivalent CrederaUS role type")</f>
        <v>Insights role analyzing privacy compliance, gaps, etc. to synthesize share findings</v>
      </c>
      <c r="E62" s="2" t="s">
        <v>353</v>
      </c>
      <c r="F62" s="357">
        <v>128</v>
      </c>
      <c r="G62" s="2" t="s">
        <v>119</v>
      </c>
      <c r="H62" s="1299">
        <v>300</v>
      </c>
      <c r="I62" s="1300">
        <v>4</v>
      </c>
      <c r="J62">
        <f>_xlfn.XLOOKUP(Table4[[#This Row],[Default Resource Title]],'Updated Rate Card Import'!E:E,'Updated Rate Card Import'!C:C)</f>
        <v>128</v>
      </c>
    </row>
    <row r="63" spans="2:10" ht="55.8" x14ac:dyDescent="0.3">
      <c r="B63" s="2" t="s">
        <v>176</v>
      </c>
      <c r="C63" s="2" t="s">
        <v>373</v>
      </c>
      <c r="D63" s="5" t="str">
        <f>IFERROR(VLOOKUP(Table4[[#This Row],[Role Type]],'Role Descriptions'!$A$1:$E$97,2,FALSE), "Missing role description data; for now, please see equivalent CrederaUS role type")</f>
        <v>Strategy role that requires someone well-versed in privacy practices and compliance requirements to make wholistic recommendations based on gap analysis and business/technology goals</v>
      </c>
      <c r="E63" s="2" t="s">
        <v>346</v>
      </c>
      <c r="F63" s="357">
        <v>172</v>
      </c>
      <c r="G63" s="2" t="s">
        <v>119</v>
      </c>
      <c r="H63" s="1299">
        <v>350</v>
      </c>
      <c r="I63" s="1300">
        <v>5</v>
      </c>
      <c r="J63">
        <f>_xlfn.XLOOKUP(Table4[[#This Row],[Default Resource Title]],'Updated Rate Card Import'!E:E,'Updated Rate Card Import'!C:C)</f>
        <v>172</v>
      </c>
    </row>
    <row r="64" spans="2:10" ht="42" x14ac:dyDescent="0.3">
      <c r="B64" s="2" t="s">
        <v>176</v>
      </c>
      <c r="C64" s="2" t="s">
        <v>383</v>
      </c>
      <c r="D64" s="5" t="str">
        <f>IFERROR(VLOOKUP(Table4[[#This Row],[Role Type]],'Role Descriptions'!$A$1:$E$97,2,FALSE), "Missing role description data; for now, please see equivalent CrederaUS role type")</f>
        <v xml:space="preserve">Team member is responsible for a product; leads efforts across business, technology, design, and data to solve customer problems and drive measurable business outcomes </v>
      </c>
      <c r="E64" s="2" t="s">
        <v>259</v>
      </c>
      <c r="F64" s="357">
        <v>96</v>
      </c>
      <c r="G64" s="2" t="s">
        <v>119</v>
      </c>
      <c r="H64" s="1299">
        <v>240</v>
      </c>
      <c r="I64" s="1300">
        <v>3</v>
      </c>
      <c r="J64">
        <f>_xlfn.XLOOKUP(Table4[[#This Row],[Default Resource Title]],'Updated Rate Card Import'!E:E,'Updated Rate Card Import'!C:C)</f>
        <v>96</v>
      </c>
    </row>
    <row r="65" spans="2:10" ht="55.8" x14ac:dyDescent="0.3">
      <c r="B65" s="2" t="s">
        <v>176</v>
      </c>
      <c r="C65" s="2" t="s">
        <v>390</v>
      </c>
      <c r="D65" s="5" t="str">
        <f>IFERROR(VLOOKUP(Table4[[#This Row],[Role Type]],'Role Descriptions'!$A$1:$E$97,2,FALSE), "Missing role description data; for now, please see equivalent CrederaUS role type")</f>
        <v>Delivers designs at scale from existing brand guidelines, assets, and templates ensuring deliverables are consistent across platforms. Supports design delivery by prepping files for production and development delivery.</v>
      </c>
      <c r="E65" s="2" t="s">
        <v>3222</v>
      </c>
      <c r="F65" s="357">
        <v>77</v>
      </c>
      <c r="G65" s="2" t="s">
        <v>119</v>
      </c>
      <c r="H65" s="1299">
        <v>200</v>
      </c>
      <c r="I65" s="1300">
        <v>2</v>
      </c>
      <c r="J65">
        <f>_xlfn.XLOOKUP(Table4[[#This Row],[Default Resource Title]],'Updated Rate Card Import'!E:E,'Updated Rate Card Import'!C:C)</f>
        <v>77</v>
      </c>
    </row>
    <row r="66" spans="2:10" ht="55.8" x14ac:dyDescent="0.3">
      <c r="B66" s="2" t="s">
        <v>176</v>
      </c>
      <c r="C66" s="2" t="s">
        <v>384</v>
      </c>
      <c r="D66" s="5" t="str">
        <f>IFERROR(VLOOKUP(Table4[[#This Row],[Role Type]],'Role Descriptions'!$A$1:$E$97,2,FALSE), "Missing role description data; for now, please see equivalent CrederaUS role type")</f>
        <v>Team member equipped to lead and deliver large programs with multiple workstreams, providing direction, alignment to strategy, scope management, budget monitoring, resource allocation, and a relentless pursuit of delivering value.</v>
      </c>
      <c r="E66" s="2" t="s">
        <v>385</v>
      </c>
      <c r="F66" s="357">
        <v>172</v>
      </c>
      <c r="G66" s="2" t="s">
        <v>119</v>
      </c>
      <c r="H66" s="1299">
        <v>350</v>
      </c>
      <c r="I66" s="1300">
        <v>5</v>
      </c>
      <c r="J66">
        <f>_xlfn.XLOOKUP(Table4[[#This Row],[Default Resource Title]],'Updated Rate Card Import'!E:E,'Updated Rate Card Import'!C:C)</f>
        <v>172</v>
      </c>
    </row>
    <row r="67" spans="2:10" ht="42" x14ac:dyDescent="0.3">
      <c r="B67" s="2" t="s">
        <v>176</v>
      </c>
      <c r="C67" s="2" t="s">
        <v>363</v>
      </c>
      <c r="D67" s="5" t="str">
        <f>IFERROR(VLOOKUP(Table4[[#This Row],[Role Type]],'Role Descriptions'!$A$1:$E$97,2,FALSE), "Missing role description data; for now, please see equivalent CrederaUS role type")</f>
        <v>Operations role leading multiple teams (with their own team structures) and doing activities like architecture reviews, large scale estimation and roadmapping, and more</v>
      </c>
      <c r="E67" s="2" t="s">
        <v>353</v>
      </c>
      <c r="F67" s="357">
        <v>128</v>
      </c>
      <c r="G67" s="2" t="s">
        <v>119</v>
      </c>
      <c r="H67" s="1299">
        <v>300</v>
      </c>
      <c r="I67" s="1300">
        <v>4</v>
      </c>
      <c r="J67">
        <f>_xlfn.XLOOKUP(Table4[[#This Row],[Default Resource Title]],'Updated Rate Card Import'!E:E,'Updated Rate Card Import'!C:C)</f>
        <v>128</v>
      </c>
    </row>
    <row r="68" spans="2:10" x14ac:dyDescent="0.3">
      <c r="B68" s="2" t="s">
        <v>176</v>
      </c>
      <c r="C68" s="2" t="s">
        <v>377</v>
      </c>
      <c r="D68" s="5" t="str">
        <f>IFERROR(VLOOKUP(Table4[[#This Row],[Role Type]],'Role Descriptions'!$A$1:$E$97,2,FALSE), "Missing role description data; for now, please see equivalent CrederaUS role type")</f>
        <v>Program XD Lead</v>
      </c>
      <c r="E68" s="2" t="s">
        <v>346</v>
      </c>
      <c r="F68" s="357">
        <v>172</v>
      </c>
      <c r="G68" s="2" t="s">
        <v>119</v>
      </c>
      <c r="H68" s="1299">
        <v>350</v>
      </c>
      <c r="I68" s="1300">
        <v>5</v>
      </c>
      <c r="J68">
        <f>_xlfn.XLOOKUP(Table4[[#This Row],[Default Resource Title]],'Updated Rate Card Import'!E:E,'Updated Rate Card Import'!C:C)</f>
        <v>172</v>
      </c>
    </row>
    <row r="69" spans="2:10" ht="55.8" x14ac:dyDescent="0.3">
      <c r="B69" s="2" t="s">
        <v>176</v>
      </c>
      <c r="C69" s="2" t="s">
        <v>386</v>
      </c>
      <c r="D69" s="5" t="str">
        <f>IFERROR(VLOOKUP(Table4[[#This Row],[Role Type]],'Role Descriptions'!$A$1:$E$97,2,FALSE), "Missing role description data; for now, please see equivalent CrederaUS role type")</f>
        <v>Team member playing a leading role in program or project leadership, PMO setup and implementation, assessment leadership, agile coaching &amp; leadership, product strategy and development, or vendor selection.</v>
      </c>
      <c r="E69" s="2" t="s">
        <v>385</v>
      </c>
      <c r="F69" s="357">
        <v>172</v>
      </c>
      <c r="G69" s="2" t="s">
        <v>119</v>
      </c>
      <c r="H69" s="1299">
        <v>350</v>
      </c>
      <c r="I69" s="1300">
        <v>5</v>
      </c>
      <c r="J69">
        <f>_xlfn.XLOOKUP(Table4[[#This Row],[Default Resource Title]],'Updated Rate Card Import'!E:E,'Updated Rate Card Import'!C:C)</f>
        <v>172</v>
      </c>
    </row>
    <row r="70" spans="2:10" ht="28.2" x14ac:dyDescent="0.3">
      <c r="B70" s="2" t="s">
        <v>176</v>
      </c>
      <c r="C70" s="2" t="s">
        <v>361</v>
      </c>
      <c r="D70" s="5" t="str">
        <f>IFERROR(VLOOKUP(Table4[[#This Row],[Role Type]],'Role Descriptions'!$A$1:$E$97,2,FALSE), "Missing role description data; for now, please see equivalent CrederaUS role type")</f>
        <v>Operations role leading a team of engineers and doing activities like code reviews, backlog grooming, estimation, and more</v>
      </c>
      <c r="E70" s="2" t="s">
        <v>259</v>
      </c>
      <c r="F70" s="357">
        <v>96</v>
      </c>
      <c r="G70" s="2" t="s">
        <v>119</v>
      </c>
      <c r="H70" s="1299">
        <v>240</v>
      </c>
      <c r="I70" s="1300">
        <v>3</v>
      </c>
      <c r="J70">
        <f>_xlfn.XLOOKUP(Table4[[#This Row],[Default Resource Title]],'Updated Rate Card Import'!E:E,'Updated Rate Card Import'!C:C)</f>
        <v>96</v>
      </c>
    </row>
    <row r="71" spans="2:10" ht="55.8" x14ac:dyDescent="0.3">
      <c r="B71" s="2" t="s">
        <v>176</v>
      </c>
      <c r="C71" s="2" t="s">
        <v>378</v>
      </c>
      <c r="D71" s="5" t="str">
        <f>IFERROR(VLOOKUP(Table4[[#This Row],[Role Type]],'Role Descriptions'!$A$1:$E$97,2,FALSE), "Missing role description data; for now, please see equivalent CrederaUS role type")</f>
        <v>Provides strategic oversight and direction to XD resources and project leads to ensures XD best practices are being followed to reduce the risk of inefficiency and increase productivity. Acts as a conduit between XD and other craft areas.</v>
      </c>
      <c r="E71" s="2" t="s">
        <v>379</v>
      </c>
      <c r="F71" s="357">
        <v>128</v>
      </c>
      <c r="G71" s="2" t="s">
        <v>119</v>
      </c>
      <c r="H71" s="1299">
        <v>300</v>
      </c>
      <c r="I71" s="1300">
        <v>4</v>
      </c>
      <c r="J71">
        <f>_xlfn.XLOOKUP(Table4[[#This Row],[Default Resource Title]],'Updated Rate Card Import'!E:E,'Updated Rate Card Import'!C:C)</f>
        <v>128</v>
      </c>
    </row>
    <row r="72" spans="2:10" x14ac:dyDescent="0.3">
      <c r="B72" s="2" t="s">
        <v>176</v>
      </c>
      <c r="C72" s="2" t="s">
        <v>398</v>
      </c>
      <c r="D72" s="5" t="str">
        <f>IFERROR(VLOOKUP(Table4[[#This Row],[Role Type]],'Role Descriptions'!$A$1:$E$97,2,FALSE), "Missing role description data; for now, please see equivalent CrederaUS role type")</f>
        <v>Research Manager</v>
      </c>
      <c r="E72" s="2" t="s">
        <v>379</v>
      </c>
      <c r="F72" s="357">
        <v>128</v>
      </c>
      <c r="G72" s="2" t="s">
        <v>119</v>
      </c>
      <c r="H72" s="1299">
        <v>300</v>
      </c>
      <c r="I72" s="1300">
        <v>4</v>
      </c>
      <c r="J72">
        <f>_xlfn.XLOOKUP(Table4[[#This Row],[Default Resource Title]],'Updated Rate Card Import'!E:E,'Updated Rate Card Import'!C:C)</f>
        <v>128</v>
      </c>
    </row>
    <row r="73" spans="2:10" ht="42" x14ac:dyDescent="0.3">
      <c r="B73" s="2" t="s">
        <v>176</v>
      </c>
      <c r="C73" s="2" t="s">
        <v>410</v>
      </c>
      <c r="D73" s="5" t="str">
        <f>IFERROR(VLOOKUP(Table4[[#This Row],[Role Type]],'Role Descriptions'!$A$1:$E$97,2,FALSE), "Missing role description data; for now, please see equivalent CrederaUS role type")</f>
        <v>Team member supports S&amp;O Sr. Leader in strategy formation and creation; this analyst role could be conducting research, defining process flows, supporting workshops, creating business cases, etc.</v>
      </c>
      <c r="E73" s="2" t="s">
        <v>259</v>
      </c>
      <c r="F73" s="357">
        <v>96</v>
      </c>
      <c r="G73" s="2" t="s">
        <v>119</v>
      </c>
      <c r="H73" s="1299">
        <v>240</v>
      </c>
      <c r="I73" s="1300">
        <v>3</v>
      </c>
      <c r="J73">
        <f>_xlfn.XLOOKUP(Table4[[#This Row],[Default Resource Title]],'Updated Rate Card Import'!E:E,'Updated Rate Card Import'!C:C)</f>
        <v>96</v>
      </c>
    </row>
    <row r="74" spans="2:10" ht="55.8" x14ac:dyDescent="0.3">
      <c r="B74" s="2" t="s">
        <v>176</v>
      </c>
      <c r="C74" s="2" t="s">
        <v>429</v>
      </c>
      <c r="D74" s="5" t="str">
        <f>IFERROR(VLOOKUP(Table4[[#This Row],[Role Type]],'Role Descriptions'!$A$1:$E$97,2,FALSE), "Missing role description data; for now, please see equivalent CrederaUS role type")</f>
        <v>Facilitates team agile ceremonies, removes impedements to team progress, fosters a culture of continuous improvement and promotes adherence to agile principles and best practices-[Program Leadership]</v>
      </c>
      <c r="E74" s="2" t="s">
        <v>259</v>
      </c>
      <c r="F74" s="357">
        <v>96</v>
      </c>
      <c r="G74" s="2" t="s">
        <v>119</v>
      </c>
      <c r="H74" s="1299">
        <v>240</v>
      </c>
      <c r="I74" s="1301">
        <v>3</v>
      </c>
      <c r="J74">
        <f>_xlfn.XLOOKUP(Table4[[#This Row],[Default Resource Title]],'Updated Rate Card Import'!E:E,'Updated Rate Card Import'!C:C)</f>
        <v>96</v>
      </c>
    </row>
    <row r="75" spans="2:10" ht="28.2" x14ac:dyDescent="0.3">
      <c r="B75" s="2" t="s">
        <v>176</v>
      </c>
      <c r="C75" s="2" t="s">
        <v>374</v>
      </c>
      <c r="D75" s="5" t="str">
        <f>IFERROR(VLOOKUP(Table4[[#This Row],[Role Type]],'Role Descriptions'!$A$1:$E$97,2,FALSE), "Missing role description data; for now, please see equivalent CrederaUS role type")</f>
        <v>Insights role for analyzing security policies, gaps, etc. to make recommendations, share findings</v>
      </c>
      <c r="E75" s="2" t="s">
        <v>353</v>
      </c>
      <c r="F75" s="357">
        <v>128</v>
      </c>
      <c r="G75" s="2" t="s">
        <v>119</v>
      </c>
      <c r="H75" s="1299">
        <v>300</v>
      </c>
      <c r="I75" s="1300">
        <v>4</v>
      </c>
      <c r="J75">
        <f>_xlfn.XLOOKUP(Table4[[#This Row],[Default Resource Title]],'Updated Rate Card Import'!E:E,'Updated Rate Card Import'!C:C)</f>
        <v>128</v>
      </c>
    </row>
    <row r="76" spans="2:10" ht="28.2" x14ac:dyDescent="0.3">
      <c r="B76" s="2" t="s">
        <v>176</v>
      </c>
      <c r="C76" s="2" t="s">
        <v>357</v>
      </c>
      <c r="D76" s="5" t="str">
        <f>IFERROR(VLOOKUP(Table4[[#This Row],[Role Type]],'Role Descriptions'!$A$1:$E$97,2,FALSE), "Missing role description data; for now, please see equivalent CrederaUS role type")</f>
        <v>Architecture role for designs security solutions that ties to business and IT requirements</v>
      </c>
      <c r="E76" s="2" t="s">
        <v>346</v>
      </c>
      <c r="F76" s="357">
        <v>172</v>
      </c>
      <c r="G76" s="2" t="s">
        <v>119</v>
      </c>
      <c r="H76" s="1299">
        <v>350</v>
      </c>
      <c r="I76" s="1300">
        <v>5</v>
      </c>
      <c r="J76">
        <f>_xlfn.XLOOKUP(Table4[[#This Row],[Default Resource Title]],'Updated Rate Card Import'!E:E,'Updated Rate Card Import'!C:C)</f>
        <v>172</v>
      </c>
    </row>
    <row r="77" spans="2:10" ht="28.2" x14ac:dyDescent="0.3">
      <c r="B77" s="2" t="s">
        <v>176</v>
      </c>
      <c r="C77" s="2" t="s">
        <v>343</v>
      </c>
      <c r="D77" s="5" t="str">
        <f>IFERROR(VLOOKUP(Table4[[#This Row],[Role Type]],'Role Descriptions'!$A$1:$E$97,2,FALSE), "Missing role description data; for now, please see equivalent CrederaUS role type")</f>
        <v>Engineering role for building security into applications and solutions (think Static Code Analysis, penetration layers)</v>
      </c>
      <c r="E77" s="2" t="s">
        <v>259</v>
      </c>
      <c r="F77" s="357">
        <v>96</v>
      </c>
      <c r="G77" s="2" t="s">
        <v>119</v>
      </c>
      <c r="H77" s="1299">
        <v>240</v>
      </c>
      <c r="I77" s="1300">
        <v>3</v>
      </c>
      <c r="J77">
        <f>_xlfn.XLOOKUP(Table4[[#This Row],[Default Resource Title]],'Updated Rate Card Import'!E:E,'Updated Rate Card Import'!C:C)</f>
        <v>96</v>
      </c>
    </row>
    <row r="78" spans="2:10" ht="55.8" x14ac:dyDescent="0.3">
      <c r="B78" s="2" t="s">
        <v>176</v>
      </c>
      <c r="C78" s="2" t="s">
        <v>375</v>
      </c>
      <c r="D78" s="5" t="str">
        <f>IFERROR(VLOOKUP(Table4[[#This Row],[Role Type]],'Role Descriptions'!$A$1:$E$97,2,FALSE), "Missing role description data; for now, please see equivalent CrederaUS role type")</f>
        <v>Strategy role that requires someone well-versed in security practices and compliance requirements to make wholistic recommendations based on gap analysis and business/technology goals</v>
      </c>
      <c r="E78" s="2" t="s">
        <v>346</v>
      </c>
      <c r="F78" s="357">
        <v>172</v>
      </c>
      <c r="G78" s="2" t="s">
        <v>119</v>
      </c>
      <c r="H78" s="1299">
        <v>350</v>
      </c>
      <c r="I78" s="1300">
        <v>5</v>
      </c>
      <c r="J78">
        <f>_xlfn.XLOOKUP(Table4[[#This Row],[Default Resource Title]],'Updated Rate Card Import'!E:E,'Updated Rate Card Import'!C:C)</f>
        <v>172</v>
      </c>
    </row>
    <row r="79" spans="2:10" ht="55.8" x14ac:dyDescent="0.3">
      <c r="B79" s="2" t="s">
        <v>176</v>
      </c>
      <c r="C79" s="2" t="s">
        <v>402</v>
      </c>
      <c r="D79" s="5" t="str">
        <f>IFERROR(VLOOKUP(Table4[[#This Row],[Role Type]],'Role Descriptions'!$A$1:$E$97,2,FALSE), "Missing role description data; for now, please see equivalent CrederaUS role type")</f>
        <v>Contributes to delivering services that will positively impact people and bring value to client’s business through creation of Journey Maps, Personas, Archetypes, and Service Blueprints that are validated by research.</v>
      </c>
      <c r="E79" s="2" t="s">
        <v>379</v>
      </c>
      <c r="F79" s="357">
        <v>128</v>
      </c>
      <c r="G79" s="2" t="s">
        <v>119</v>
      </c>
      <c r="H79" s="1299">
        <v>300</v>
      </c>
      <c r="I79" s="1300">
        <v>4</v>
      </c>
      <c r="J79">
        <f>_xlfn.XLOOKUP(Table4[[#This Row],[Default Resource Title]],'Updated Rate Card Import'!E:E,'Updated Rate Card Import'!C:C)</f>
        <v>128</v>
      </c>
    </row>
    <row r="80" spans="2:10" ht="28.2" x14ac:dyDescent="0.3">
      <c r="B80" s="2" t="s">
        <v>176</v>
      </c>
      <c r="C80" s="2" t="s">
        <v>359</v>
      </c>
      <c r="D80" s="5" t="str">
        <f>IFERROR(VLOOKUP(Table4[[#This Row],[Role Type]],'Role Descriptions'!$A$1:$E$97,2,FALSE), "Missing role description data; for now, please see equivalent CrederaUS role type")</f>
        <v>Architecture role for designs overall technology solution that ties to business requirements</v>
      </c>
      <c r="E80" s="2" t="s">
        <v>353</v>
      </c>
      <c r="F80" s="357">
        <v>128</v>
      </c>
      <c r="G80" s="2" t="s">
        <v>119</v>
      </c>
      <c r="H80" s="1299">
        <v>300</v>
      </c>
      <c r="I80" s="1300">
        <v>4</v>
      </c>
      <c r="J80">
        <f>_xlfn.XLOOKUP(Table4[[#This Row],[Default Resource Title]],'Updated Rate Card Import'!E:E,'Updated Rate Card Import'!C:C)</f>
        <v>128</v>
      </c>
    </row>
    <row r="81" spans="2:10" ht="55.8" x14ac:dyDescent="0.3">
      <c r="B81" s="2" t="s">
        <v>176</v>
      </c>
      <c r="C81" s="2" t="s">
        <v>411</v>
      </c>
      <c r="D81" s="5" t="str">
        <f>IFERROR(VLOOKUP(Table4[[#This Row],[Role Type]],'Role Descriptions'!$A$1:$E$97,2,FALSE), "Missing role description data; for now, please see equivalent CrederaUS role type")</f>
        <v>Capable of developing business cases for prioritization and action, can communicate complex information into a clear ‘So What’ message easily consumed by executives, and is comfortable operating through a high degree of ambiguity</v>
      </c>
      <c r="E81" s="2" t="s">
        <v>385</v>
      </c>
      <c r="F81" s="357">
        <v>172</v>
      </c>
      <c r="G81" s="2" t="s">
        <v>119</v>
      </c>
      <c r="H81" s="1299">
        <v>350</v>
      </c>
      <c r="I81" s="1300">
        <v>5</v>
      </c>
      <c r="J81">
        <f>_xlfn.XLOOKUP(Table4[[#This Row],[Default Resource Title]],'Updated Rate Card Import'!E:E,'Updated Rate Card Import'!C:C)</f>
        <v>172</v>
      </c>
    </row>
    <row r="82" spans="2:10" ht="42" x14ac:dyDescent="0.3">
      <c r="B82" s="2" t="s">
        <v>176</v>
      </c>
      <c r="C82" s="2" t="s">
        <v>376</v>
      </c>
      <c r="D82" s="5" t="str">
        <f>IFERROR(VLOOKUP(Table4[[#This Row],[Role Type]],'Role Descriptions'!$A$1:$E$97,2,FALSE), "Missing role description data; for now, please see equivalent CrederaUS role type")</f>
        <v>Strategy role that requires someone well-versed in all aspects of technology to be able to make wholistic recommendations to accomplish business and technology goals</v>
      </c>
      <c r="E82" s="2" t="s">
        <v>346</v>
      </c>
      <c r="F82" s="357">
        <v>172</v>
      </c>
      <c r="G82" s="2" t="s">
        <v>119</v>
      </c>
      <c r="H82" s="1299">
        <v>350</v>
      </c>
      <c r="I82" s="1300">
        <v>5</v>
      </c>
      <c r="J82">
        <f>_xlfn.XLOOKUP(Table4[[#This Row],[Default Resource Title]],'Updated Rate Card Import'!E:E,'Updated Rate Card Import'!C:C)</f>
        <v>172</v>
      </c>
    </row>
    <row r="83" spans="2:10" x14ac:dyDescent="0.3">
      <c r="B83" s="2" t="s">
        <v>176</v>
      </c>
      <c r="C83" s="2" t="s">
        <v>422</v>
      </c>
      <c r="D83" s="5" t="str">
        <f>IFERROR(VLOOKUP(Table4[[#This Row],[Role Type]],'Role Descriptions'!$A$1:$E$97,2,FALSE), "Missing role description data; for now, please see equivalent CrederaUS role type")</f>
        <v>TS skill aligned specialist at principal level</v>
      </c>
      <c r="E83" s="2" t="s">
        <v>423</v>
      </c>
      <c r="F83" s="357">
        <v>257</v>
      </c>
      <c r="G83" s="2" t="s">
        <v>119</v>
      </c>
      <c r="H83" s="357">
        <v>390</v>
      </c>
      <c r="I83" s="1300">
        <v>6</v>
      </c>
      <c r="J83">
        <f>_xlfn.XLOOKUP(Table4[[#This Row],[Default Resource Title]],'Updated Rate Card Import'!E:E,'Updated Rate Card Import'!C:C)</f>
        <v>257</v>
      </c>
    </row>
    <row r="84" spans="2:10" ht="55.8" x14ac:dyDescent="0.3">
      <c r="B84" s="2" t="s">
        <v>176</v>
      </c>
      <c r="C84" s="2" t="s">
        <v>391</v>
      </c>
      <c r="D84" s="5" t="str">
        <f>IFERROR(VLOOKUP(Table4[[#This Row],[Role Type]],'Role Descriptions'!$A$1:$E$97,2,FALSE), "Missing role description data; for now, please see equivalent CrederaUS role type")</f>
        <v>Specializes in product design across apps, responsive web, and dashboards. Fluent in prototyping, interaction design and designing high-fidelity mockups. Additionally, creates supporting UX design artifacts.</v>
      </c>
      <c r="E84" s="2" t="s">
        <v>3222</v>
      </c>
      <c r="F84" s="357">
        <v>77</v>
      </c>
      <c r="G84" s="2" t="s">
        <v>119</v>
      </c>
      <c r="H84" s="1299">
        <v>200</v>
      </c>
      <c r="I84" s="1300">
        <v>2</v>
      </c>
      <c r="J84">
        <f>_xlfn.XLOOKUP(Table4[[#This Row],[Default Resource Title]],'Updated Rate Card Import'!E:E,'Updated Rate Card Import'!C:C)</f>
        <v>77</v>
      </c>
    </row>
    <row r="85" spans="2:10" x14ac:dyDescent="0.3">
      <c r="B85" s="2" t="s">
        <v>176</v>
      </c>
      <c r="C85" s="2" t="s">
        <v>400</v>
      </c>
      <c r="D85" s="5" t="str">
        <f>IFERROR(VLOOKUP(Table4[[#This Row],[Role Type]],'Role Descriptions'!$A$1:$E$97,2,FALSE), "Missing role description data; for now, please see equivalent CrederaUS role type")</f>
        <v>User Researcher</v>
      </c>
      <c r="E85" s="2" t="s">
        <v>3222</v>
      </c>
      <c r="F85" s="357">
        <v>77</v>
      </c>
      <c r="G85" s="2" t="s">
        <v>119</v>
      </c>
      <c r="H85" s="1299">
        <v>200</v>
      </c>
      <c r="I85" s="1300">
        <v>2</v>
      </c>
      <c r="J85">
        <f>_xlfn.XLOOKUP(Table4[[#This Row],[Default Resource Title]],'Updated Rate Card Import'!E:E,'Updated Rate Card Import'!C:C)</f>
        <v>77</v>
      </c>
    </row>
    <row r="86" spans="2:10" ht="55.8" x14ac:dyDescent="0.3">
      <c r="B86" s="2" t="s">
        <v>176</v>
      </c>
      <c r="C86" s="2" t="s">
        <v>392</v>
      </c>
      <c r="D86" s="5" t="str">
        <f>IFERROR(VLOOKUP(Table4[[#This Row],[Role Type]],'Role Descriptions'!$A$1:$E$97,2,FALSE), "Missing role description data; for now, please see equivalent CrederaUS role type")</f>
        <v>Develops brand identity across a variety of channels including digital, out-of-home, and print. Responsible for defining design strategy and producing elements that include logos, brochures, marketing collateral, experiential, and packaging.</v>
      </c>
      <c r="E86" s="2" t="s">
        <v>259</v>
      </c>
      <c r="F86" s="357">
        <v>96</v>
      </c>
      <c r="G86" s="2" t="s">
        <v>119</v>
      </c>
      <c r="H86" s="1299">
        <v>240</v>
      </c>
      <c r="I86" s="1301">
        <v>3</v>
      </c>
      <c r="J86">
        <f>_xlfn.XLOOKUP(Table4[[#This Row],[Default Resource Title]],'Updated Rate Card Import'!E:E,'Updated Rate Card Import'!C:C)</f>
        <v>96</v>
      </c>
    </row>
    <row r="87" spans="2:10" ht="42" x14ac:dyDescent="0.3">
      <c r="B87" s="2" t="s">
        <v>176</v>
      </c>
      <c r="C87" s="2" t="s">
        <v>403</v>
      </c>
      <c r="D87" s="5" t="str">
        <f>IFERROR(VLOOKUP(Table4[[#This Row],[Role Type]],'Role Descriptions'!$A$1:$E$97,2,FALSE), "Missing role description data; for now, please see equivalent CrederaUS role type")</f>
        <v>The facilitation of workshops (Design Thinking, Design Sprints, Event Storming, etc) are integral to understanding client opportunities and driving proper scope definition.</v>
      </c>
      <c r="E87" s="2" t="s">
        <v>379</v>
      </c>
      <c r="F87" s="357">
        <v>128</v>
      </c>
      <c r="G87" s="2" t="s">
        <v>119</v>
      </c>
      <c r="H87" s="1299">
        <v>300</v>
      </c>
      <c r="I87" s="1300">
        <v>4</v>
      </c>
      <c r="J87">
        <f>_xlfn.XLOOKUP(Table4[[#This Row],[Default Resource Title]],'Updated Rate Card Import'!E:E,'Updated Rate Card Import'!C:C)</f>
        <v>128</v>
      </c>
    </row>
    <row r="88" spans="2:10" x14ac:dyDescent="0.3">
      <c r="B88" s="2" t="s">
        <v>176</v>
      </c>
      <c r="C88" s="2" t="s">
        <v>421</v>
      </c>
      <c r="D88" s="5" t="str">
        <f>IFERROR(VLOOKUP(Table4[[#This Row],[Role Type]],'Role Descriptions'!$A$1:$E$97,2,FALSE), "Missing role description data; for now, please see equivalent CrederaUS role type")</f>
        <v>XD skill aligned specialist at principal level</v>
      </c>
      <c r="E88" s="2" t="s">
        <v>420</v>
      </c>
      <c r="F88" s="357">
        <v>257</v>
      </c>
      <c r="G88" s="2" t="s">
        <v>119</v>
      </c>
      <c r="H88" s="357">
        <v>390</v>
      </c>
      <c r="I88" s="1300">
        <v>6</v>
      </c>
      <c r="J88">
        <f>_xlfn.XLOOKUP(Table4[[#This Row],[Default Resource Title]],'Updated Rate Card Import'!E:E,'Updated Rate Card Import'!C:C)</f>
        <v>257</v>
      </c>
    </row>
    <row r="89" spans="2:10" ht="28.2" x14ac:dyDescent="0.3">
      <c r="B89" s="2" t="s">
        <v>430</v>
      </c>
      <c r="C89" s="2" t="s">
        <v>431</v>
      </c>
      <c r="D89" s="5" t="str">
        <f>IFERROR(VLOOKUP(Table4[[#This Row],[Role Type]],'Role Descriptions'!$A$1:$E$97,2,FALSE), "Missing role description data; for now, please see equivalent CrederaUS role type")</f>
        <v>Missing role description data; for now, please see equivalent CrederaUS role type</v>
      </c>
      <c r="E89" s="2" t="s">
        <v>432</v>
      </c>
      <c r="F89" s="357">
        <v>140</v>
      </c>
      <c r="G89" s="2" t="s">
        <v>119</v>
      </c>
      <c r="H89" s="1299">
        <v>290</v>
      </c>
      <c r="I89" s="1300"/>
      <c r="J89">
        <f>_xlfn.XLOOKUP(Table4[[#This Row],[Default Resource Title]],'Updated Rate Card Import'!E:E,'Updated Rate Card Import'!C:C)</f>
        <v>140</v>
      </c>
    </row>
    <row r="90" spans="2:10" ht="28.2" x14ac:dyDescent="0.3">
      <c r="B90" s="2" t="s">
        <v>430</v>
      </c>
      <c r="C90" s="2" t="s">
        <v>433</v>
      </c>
      <c r="D90" s="5" t="str">
        <f>IFERROR(VLOOKUP(Table4[[#This Row],[Role Type]],'Role Descriptions'!$A$1:$E$97,2,FALSE), "Missing role description data; for now, please see equivalent CrederaUS role type")</f>
        <v>Missing role description data; for now, please see equivalent CrederaUS role type</v>
      </c>
      <c r="E90" s="2" t="s">
        <v>434</v>
      </c>
      <c r="F90" s="357">
        <v>165</v>
      </c>
      <c r="G90" s="2" t="s">
        <v>119</v>
      </c>
      <c r="H90" s="1299">
        <v>315</v>
      </c>
      <c r="I90" s="1300"/>
      <c r="J90">
        <f>_xlfn.XLOOKUP(Table4[[#This Row],[Default Resource Title]],'Updated Rate Card Import'!E:E,'Updated Rate Card Import'!C:C)</f>
        <v>165</v>
      </c>
    </row>
    <row r="91" spans="2:10" ht="28.2" x14ac:dyDescent="0.3">
      <c r="B91" s="2" t="s">
        <v>430</v>
      </c>
      <c r="C91" s="2" t="s">
        <v>435</v>
      </c>
      <c r="D91" s="5" t="str">
        <f>IFERROR(VLOOKUP(Table4[[#This Row],[Role Type]],'Role Descriptions'!$A$1:$E$97,2,FALSE), "Missing role description data; for now, please see equivalent CrederaUS role type")</f>
        <v>Missing role description data; for now, please see equivalent CrederaUS role type</v>
      </c>
      <c r="E91" s="2" t="s">
        <v>436</v>
      </c>
      <c r="F91" s="357">
        <v>170</v>
      </c>
      <c r="G91" s="2" t="s">
        <v>119</v>
      </c>
      <c r="H91" s="1299">
        <v>340</v>
      </c>
      <c r="I91" s="1300"/>
      <c r="J91">
        <f>_xlfn.XLOOKUP(Table4[[#This Row],[Default Resource Title]],'Updated Rate Card Import'!E:E,'Updated Rate Card Import'!C:C)</f>
        <v>170</v>
      </c>
    </row>
    <row r="92" spans="2:10" ht="28.2" x14ac:dyDescent="0.3">
      <c r="B92" s="2" t="s">
        <v>430</v>
      </c>
      <c r="C92" s="2" t="s">
        <v>437</v>
      </c>
      <c r="D92" s="5" t="str">
        <f>IFERROR(VLOOKUP(Table4[[#This Row],[Role Type]],'Role Descriptions'!$A$1:$E$97,2,FALSE), "Missing role description data; for now, please see equivalent CrederaUS role type")</f>
        <v>Missing role description data; for now, please see equivalent CrederaUS role type</v>
      </c>
      <c r="E92" s="2" t="s">
        <v>438</v>
      </c>
      <c r="F92" s="357">
        <v>172.5</v>
      </c>
      <c r="G92" s="2" t="s">
        <v>119</v>
      </c>
      <c r="H92" s="1299">
        <v>370</v>
      </c>
      <c r="I92" s="1300"/>
      <c r="J92">
        <f>_xlfn.XLOOKUP(Table4[[#This Row],[Default Resource Title]],'Updated Rate Card Import'!E:E,'Updated Rate Card Import'!C:C)</f>
        <v>172.5</v>
      </c>
    </row>
    <row r="93" spans="2:10" ht="28.2" x14ac:dyDescent="0.3">
      <c r="B93" s="2" t="s">
        <v>430</v>
      </c>
      <c r="C93" s="2" t="s">
        <v>439</v>
      </c>
      <c r="D93" s="5" t="str">
        <f>IFERROR(VLOOKUP(Table4[[#This Row],[Role Type]],'Role Descriptions'!$A$1:$E$97,2,FALSE), "Missing role description data; for now, please see equivalent CrederaUS role type")</f>
        <v>Missing role description data; for now, please see equivalent CrederaUS role type</v>
      </c>
      <c r="E93" s="2" t="s">
        <v>1670</v>
      </c>
      <c r="F93" s="357">
        <v>285</v>
      </c>
      <c r="G93" s="2" t="s">
        <v>119</v>
      </c>
      <c r="H93" s="1299">
        <v>500</v>
      </c>
      <c r="I93" s="1300">
        <v>7</v>
      </c>
      <c r="J93" t="e">
        <f>_xlfn.XLOOKUP(Table4[[#This Row],[Default Resource Title]],'Updated Rate Card Import'!E:E,'Updated Rate Card Import'!C:C)</f>
        <v>#N/A</v>
      </c>
    </row>
    <row r="94" spans="2:10" ht="28.2" x14ac:dyDescent="0.3">
      <c r="B94" s="2" t="s">
        <v>430</v>
      </c>
      <c r="C94" s="2" t="s">
        <v>440</v>
      </c>
      <c r="D94" s="5" t="str">
        <f>IFERROR(VLOOKUP(Table4[[#This Row],[Role Type]],'Role Descriptions'!$A$1:$E$97,2,FALSE), "Missing role description data; for now, please see equivalent CrederaUS role type")</f>
        <v>Missing role description data; for now, please see equivalent CrederaUS role type</v>
      </c>
      <c r="E94" s="2" t="s">
        <v>441</v>
      </c>
      <c r="F94" s="357">
        <v>112.5</v>
      </c>
      <c r="G94" s="2" t="s">
        <v>119</v>
      </c>
      <c r="H94" s="1299">
        <v>190</v>
      </c>
      <c r="I94" s="1300"/>
      <c r="J94">
        <f>_xlfn.XLOOKUP(Table4[[#This Row],[Default Resource Title]],'Updated Rate Card Import'!E:E,'Updated Rate Card Import'!C:C)</f>
        <v>112.5</v>
      </c>
    </row>
    <row r="95" spans="2:10" ht="28.2" x14ac:dyDescent="0.3">
      <c r="B95" s="2" t="s">
        <v>430</v>
      </c>
      <c r="C95" s="2" t="s">
        <v>442</v>
      </c>
      <c r="D95" s="5" t="str">
        <f>IFERROR(VLOOKUP(Table4[[#This Row],[Role Type]],'Role Descriptions'!$A$1:$E$97,2,FALSE), "Missing role description data; for now, please see equivalent CrederaUS role type")</f>
        <v>Missing role description data; for now, please see equivalent CrederaUS role type</v>
      </c>
      <c r="E95" s="2" t="s">
        <v>443</v>
      </c>
      <c r="F95" s="357">
        <v>135</v>
      </c>
      <c r="G95" s="2" t="s">
        <v>119</v>
      </c>
      <c r="H95" s="1299">
        <v>235</v>
      </c>
      <c r="I95" s="1300"/>
      <c r="J95">
        <f>_xlfn.XLOOKUP(Table4[[#This Row],[Default Resource Title]],'Updated Rate Card Import'!E:E,'Updated Rate Card Import'!C:C)</f>
        <v>135</v>
      </c>
    </row>
    <row r="96" spans="2:10" ht="28.2" x14ac:dyDescent="0.3">
      <c r="B96" s="2" t="s">
        <v>430</v>
      </c>
      <c r="C96" s="2" t="s">
        <v>444</v>
      </c>
      <c r="D96" s="5" t="str">
        <f>IFERROR(VLOOKUP(Table4[[#This Row],[Role Type]],'Role Descriptions'!$A$1:$E$97,2,FALSE), "Missing role description data; for now, please see equivalent CrederaUS role type")</f>
        <v>Missing role description data; for now, please see equivalent CrederaUS role type</v>
      </c>
      <c r="E96" s="2" t="s">
        <v>445</v>
      </c>
      <c r="F96" s="357">
        <v>135</v>
      </c>
      <c r="G96" s="2" t="s">
        <v>119</v>
      </c>
      <c r="H96" s="1299">
        <v>265</v>
      </c>
      <c r="I96" s="1300"/>
      <c r="J96">
        <f>_xlfn.XLOOKUP(Table4[[#This Row],[Default Resource Title]],'Updated Rate Card Import'!E:E,'Updated Rate Card Import'!C:C)</f>
        <v>135</v>
      </c>
    </row>
    <row r="97" spans="2:10" ht="28.2" x14ac:dyDescent="0.3">
      <c r="B97" s="2" t="s">
        <v>430</v>
      </c>
      <c r="C97" s="2" t="s">
        <v>446</v>
      </c>
      <c r="D97" s="5" t="str">
        <f>IFERROR(VLOOKUP(Table4[[#This Row],[Role Type]],'Role Descriptions'!$A$1:$E$97,2,FALSE), "Missing role description data; for now, please see equivalent CrederaUS role type")</f>
        <v>Missing role description data; for now, please see equivalent CrederaUS role type</v>
      </c>
      <c r="E97" s="2" t="s">
        <v>447</v>
      </c>
      <c r="F97" s="357">
        <v>130</v>
      </c>
      <c r="G97" s="2" t="s">
        <v>119</v>
      </c>
      <c r="H97" s="1299">
        <v>235</v>
      </c>
      <c r="I97" s="1300"/>
      <c r="J97">
        <f>_xlfn.XLOOKUP(Table4[[#This Row],[Default Resource Title]],'Updated Rate Card Import'!E:E,'Updated Rate Card Import'!C:C)</f>
        <v>130</v>
      </c>
    </row>
    <row r="98" spans="2:10" ht="28.2" x14ac:dyDescent="0.3">
      <c r="B98" s="2" t="s">
        <v>430</v>
      </c>
      <c r="C98" s="2" t="s">
        <v>448</v>
      </c>
      <c r="D98" s="5" t="str">
        <f>IFERROR(VLOOKUP(Table4[[#This Row],[Role Type]],'Role Descriptions'!$A$1:$E$97,2,FALSE), "Missing role description data; for now, please see equivalent CrederaUS role type")</f>
        <v>Missing role description data; for now, please see equivalent CrederaUS role type</v>
      </c>
      <c r="E98" s="2" t="s">
        <v>449</v>
      </c>
      <c r="F98" s="357">
        <v>137.5</v>
      </c>
      <c r="G98" s="2" t="s">
        <v>119</v>
      </c>
      <c r="H98" s="1299">
        <v>265</v>
      </c>
      <c r="I98" s="1300"/>
      <c r="J98">
        <f>_xlfn.XLOOKUP(Table4[[#This Row],[Default Resource Title]],'Updated Rate Card Import'!E:E,'Updated Rate Card Import'!C:C)</f>
        <v>137.5</v>
      </c>
    </row>
    <row r="99" spans="2:10" ht="28.2" x14ac:dyDescent="0.3">
      <c r="B99" s="2" t="s">
        <v>430</v>
      </c>
      <c r="C99" s="2" t="s">
        <v>450</v>
      </c>
      <c r="D99" s="5" t="str">
        <f>IFERROR(VLOOKUP(Table4[[#This Row],[Role Type]],'Role Descriptions'!$A$1:$E$97,2,FALSE), "Missing role description data; for now, please see equivalent CrederaUS role type")</f>
        <v>Missing role description data; for now, please see equivalent CrederaUS role type</v>
      </c>
      <c r="E99" s="2" t="s">
        <v>451</v>
      </c>
      <c r="F99" s="357">
        <v>65</v>
      </c>
      <c r="G99" s="2" t="s">
        <v>119</v>
      </c>
      <c r="H99" s="1299">
        <v>125</v>
      </c>
      <c r="I99" s="1300"/>
      <c r="J99">
        <f>_xlfn.XLOOKUP(Table4[[#This Row],[Default Resource Title]],'Updated Rate Card Import'!E:E,'Updated Rate Card Import'!C:C)</f>
        <v>65</v>
      </c>
    </row>
    <row r="100" spans="2:10" ht="28.2" x14ac:dyDescent="0.3">
      <c r="B100" s="2" t="s">
        <v>430</v>
      </c>
      <c r="C100" s="2" t="s">
        <v>452</v>
      </c>
      <c r="D100" s="5" t="str">
        <f>IFERROR(VLOOKUP(Table4[[#This Row],[Role Type]],'Role Descriptions'!$A$1:$E$97,2,FALSE), "Missing role description data; for now, please see equivalent CrederaUS role type")</f>
        <v>Missing role description data; for now, please see equivalent CrederaUS role type</v>
      </c>
      <c r="E100" s="2" t="s">
        <v>453</v>
      </c>
      <c r="F100" s="357">
        <v>72.5</v>
      </c>
      <c r="G100" s="2" t="s">
        <v>119</v>
      </c>
      <c r="H100" s="1299">
        <v>160</v>
      </c>
      <c r="I100" s="1300"/>
      <c r="J100">
        <f>_xlfn.XLOOKUP(Table4[[#This Row],[Default Resource Title]],'Updated Rate Card Import'!E:E,'Updated Rate Card Import'!C:C)</f>
        <v>72.5</v>
      </c>
    </row>
    <row r="101" spans="2:10" ht="28.2" x14ac:dyDescent="0.3">
      <c r="B101" s="2" t="s">
        <v>430</v>
      </c>
      <c r="C101" s="2" t="s">
        <v>454</v>
      </c>
      <c r="D101" s="5" t="str">
        <f>IFERROR(VLOOKUP(Table4[[#This Row],[Role Type]],'Role Descriptions'!$A$1:$E$97,2,FALSE), "Missing role description data; for now, please see equivalent CrederaUS role type")</f>
        <v>Missing role description data; for now, please see equivalent CrederaUS role type</v>
      </c>
      <c r="E101" s="2" t="s">
        <v>455</v>
      </c>
      <c r="F101" s="357">
        <v>80</v>
      </c>
      <c r="G101" s="2" t="s">
        <v>119</v>
      </c>
      <c r="H101" s="1299">
        <v>170</v>
      </c>
      <c r="I101" s="1300"/>
      <c r="J101">
        <f>_xlfn.XLOOKUP(Table4[[#This Row],[Default Resource Title]],'Updated Rate Card Import'!E:E,'Updated Rate Card Import'!C:C)</f>
        <v>80</v>
      </c>
    </row>
    <row r="102" spans="2:10" ht="28.2" x14ac:dyDescent="0.3">
      <c r="B102" s="2" t="s">
        <v>430</v>
      </c>
      <c r="C102" s="2" t="s">
        <v>456</v>
      </c>
      <c r="D102" s="5" t="str">
        <f>IFERROR(VLOOKUP(Table4[[#This Row],[Role Type]],'Role Descriptions'!$A$1:$E$97,2,FALSE), "Missing role description data; for now, please see equivalent CrederaUS role type")</f>
        <v>Missing role description data; for now, please see equivalent CrederaUS role type</v>
      </c>
      <c r="E102" s="2" t="s">
        <v>457</v>
      </c>
      <c r="F102" s="357">
        <v>90</v>
      </c>
      <c r="G102" s="2" t="s">
        <v>119</v>
      </c>
      <c r="H102" s="1299">
        <v>180</v>
      </c>
      <c r="I102" s="1300"/>
      <c r="J102">
        <f>_xlfn.XLOOKUP(Table4[[#This Row],[Default Resource Title]],'Updated Rate Card Import'!E:E,'Updated Rate Card Import'!C:C)</f>
        <v>90</v>
      </c>
    </row>
    <row r="103" spans="2:10" ht="28.2" x14ac:dyDescent="0.3">
      <c r="B103" s="2" t="s">
        <v>430</v>
      </c>
      <c r="C103" s="2" t="s">
        <v>458</v>
      </c>
      <c r="D103" s="5" t="str">
        <f>IFERROR(VLOOKUP(Table4[[#This Row],[Role Type]],'Role Descriptions'!$A$1:$E$97,2,FALSE), "Missing role description data; for now, please see equivalent CrederaUS role type")</f>
        <v>Missing role description data; for now, please see equivalent CrederaUS role type</v>
      </c>
      <c r="E103" s="2" t="s">
        <v>459</v>
      </c>
      <c r="F103" s="357">
        <v>105</v>
      </c>
      <c r="G103" s="2" t="s">
        <v>119</v>
      </c>
      <c r="H103" s="1299">
        <v>190</v>
      </c>
      <c r="I103" s="1300"/>
      <c r="J103">
        <f>_xlfn.XLOOKUP(Table4[[#This Row],[Default Resource Title]],'Updated Rate Card Import'!E:E,'Updated Rate Card Import'!C:C)</f>
        <v>105</v>
      </c>
    </row>
    <row r="104" spans="2:10" ht="28.2" x14ac:dyDescent="0.3">
      <c r="B104" s="2" t="s">
        <v>430</v>
      </c>
      <c r="C104" s="2" t="s">
        <v>460</v>
      </c>
      <c r="D104" s="5" t="str">
        <f>IFERROR(VLOOKUP(Table4[[#This Row],[Role Type]],'Role Descriptions'!$A$1:$E$97,2,FALSE), "Missing role description data; for now, please see equivalent CrederaUS role type")</f>
        <v>Missing role description data; for now, please see equivalent CrederaUS role type</v>
      </c>
      <c r="E104" s="2" t="s">
        <v>461</v>
      </c>
      <c r="F104" s="357">
        <v>107.5</v>
      </c>
      <c r="G104" s="2" t="s">
        <v>119</v>
      </c>
      <c r="H104" s="1299">
        <v>210</v>
      </c>
      <c r="I104" s="1300"/>
      <c r="J104">
        <f>_xlfn.XLOOKUP(Table4[[#This Row],[Default Resource Title]],'Updated Rate Card Import'!E:E,'Updated Rate Card Import'!C:C)</f>
        <v>107.5</v>
      </c>
    </row>
    <row r="105" spans="2:10" ht="28.2" x14ac:dyDescent="0.3">
      <c r="B105" s="2" t="s">
        <v>430</v>
      </c>
      <c r="C105" s="2" t="s">
        <v>462</v>
      </c>
      <c r="D105" s="5" t="str">
        <f>IFERROR(VLOOKUP(Table4[[#This Row],[Role Type]],'Role Descriptions'!$A$1:$E$97,2,FALSE), "Missing role description data; for now, please see equivalent CrederaUS role type")</f>
        <v>Missing role description data; for now, please see equivalent CrederaUS role type</v>
      </c>
      <c r="E105" s="2" t="s">
        <v>463</v>
      </c>
      <c r="F105" s="357">
        <v>65</v>
      </c>
      <c r="G105" s="2" t="s">
        <v>119</v>
      </c>
      <c r="H105" s="1299">
        <v>125</v>
      </c>
      <c r="I105" s="1300"/>
      <c r="J105">
        <f>_xlfn.XLOOKUP(Table4[[#This Row],[Default Resource Title]],'Updated Rate Card Import'!E:E,'Updated Rate Card Import'!C:C)</f>
        <v>65</v>
      </c>
    </row>
    <row r="106" spans="2:10" ht="28.2" x14ac:dyDescent="0.3">
      <c r="B106" s="2" t="s">
        <v>430</v>
      </c>
      <c r="C106" s="2" t="s">
        <v>464</v>
      </c>
      <c r="D106" s="5" t="str">
        <f>IFERROR(VLOOKUP(Table4[[#This Row],[Role Type]],'Role Descriptions'!$A$1:$E$97,2,FALSE), "Missing role description data; for now, please see equivalent CrederaUS role type")</f>
        <v>Missing role description data; for now, please see equivalent CrederaUS role type</v>
      </c>
      <c r="E106" s="2" t="s">
        <v>465</v>
      </c>
      <c r="F106" s="357">
        <v>75</v>
      </c>
      <c r="G106" s="2" t="s">
        <v>119</v>
      </c>
      <c r="H106" s="1299">
        <v>140</v>
      </c>
      <c r="I106" s="1300"/>
      <c r="J106">
        <f>_xlfn.XLOOKUP(Table4[[#This Row],[Default Resource Title]],'Updated Rate Card Import'!E:E,'Updated Rate Card Import'!C:C)</f>
        <v>75</v>
      </c>
    </row>
    <row r="107" spans="2:10" ht="28.2" x14ac:dyDescent="0.3">
      <c r="B107" s="2" t="s">
        <v>430</v>
      </c>
      <c r="C107" s="2" t="s">
        <v>466</v>
      </c>
      <c r="D107" s="5" t="str">
        <f>IFERROR(VLOOKUP(Table4[[#This Row],[Role Type]],'Role Descriptions'!$A$1:$E$97,2,FALSE), "Missing role description data; for now, please see equivalent CrederaUS role type")</f>
        <v>Missing role description data; for now, please see equivalent CrederaUS role type</v>
      </c>
      <c r="E107" s="2" t="s">
        <v>467</v>
      </c>
      <c r="F107" s="357">
        <v>80</v>
      </c>
      <c r="G107" s="2" t="s">
        <v>119</v>
      </c>
      <c r="H107" s="1299">
        <v>160</v>
      </c>
      <c r="I107" s="1300"/>
      <c r="J107">
        <f>_xlfn.XLOOKUP(Table4[[#This Row],[Default Resource Title]],'Updated Rate Card Import'!E:E,'Updated Rate Card Import'!C:C)</f>
        <v>80</v>
      </c>
    </row>
    <row r="108" spans="2:10" ht="28.2" x14ac:dyDescent="0.3">
      <c r="B108" s="2" t="s">
        <v>430</v>
      </c>
      <c r="C108" s="2" t="s">
        <v>468</v>
      </c>
      <c r="D108" s="5" t="str">
        <f>IFERROR(VLOOKUP(Table4[[#This Row],[Role Type]],'Role Descriptions'!$A$1:$E$97,2,FALSE), "Missing role description data; for now, please see equivalent CrederaUS role type")</f>
        <v>Missing role description data; for now, please see equivalent CrederaUS role type</v>
      </c>
      <c r="E108" s="2" t="s">
        <v>469</v>
      </c>
      <c r="F108" s="357">
        <v>90</v>
      </c>
      <c r="G108" s="2" t="s">
        <v>119</v>
      </c>
      <c r="H108" s="1299">
        <v>170</v>
      </c>
      <c r="I108" s="1300"/>
      <c r="J108">
        <f>_xlfn.XLOOKUP(Table4[[#This Row],[Default Resource Title]],'Updated Rate Card Import'!E:E,'Updated Rate Card Import'!C:C)</f>
        <v>90</v>
      </c>
    </row>
    <row r="109" spans="2:10" ht="28.2" x14ac:dyDescent="0.3">
      <c r="B109" s="2" t="s">
        <v>430</v>
      </c>
      <c r="C109" s="2" t="s">
        <v>470</v>
      </c>
      <c r="D109" s="5" t="str">
        <f>IFERROR(VLOOKUP(Table4[[#This Row],[Role Type]],'Role Descriptions'!$A$1:$E$97,2,FALSE), "Missing role description data; for now, please see equivalent CrederaUS role type")</f>
        <v>Missing role description data; for now, please see equivalent CrederaUS role type</v>
      </c>
      <c r="E109" s="2" t="s">
        <v>471</v>
      </c>
      <c r="F109" s="357">
        <v>105</v>
      </c>
      <c r="G109" s="2" t="s">
        <v>119</v>
      </c>
      <c r="H109" s="1299">
        <v>180</v>
      </c>
      <c r="I109" s="1300"/>
      <c r="J109">
        <f>_xlfn.XLOOKUP(Table4[[#This Row],[Default Resource Title]],'Updated Rate Card Import'!E:E,'Updated Rate Card Import'!C:C)</f>
        <v>105</v>
      </c>
    </row>
    <row r="110" spans="2:10" ht="28.2" x14ac:dyDescent="0.3">
      <c r="B110" s="2" t="s">
        <v>430</v>
      </c>
      <c r="C110" s="2" t="s">
        <v>472</v>
      </c>
      <c r="D110" s="5" t="str">
        <f>IFERROR(VLOOKUP(Table4[[#This Row],[Role Type]],'Role Descriptions'!$A$1:$E$97,2,FALSE), "Missing role description data; for now, please see equivalent CrederaUS role type")</f>
        <v>Missing role description data; for now, please see equivalent CrederaUS role type</v>
      </c>
      <c r="E110" s="2" t="s">
        <v>473</v>
      </c>
      <c r="F110" s="357">
        <v>65</v>
      </c>
      <c r="G110" s="2" t="s">
        <v>119</v>
      </c>
      <c r="H110" s="1299">
        <v>105</v>
      </c>
      <c r="I110" s="1300"/>
      <c r="J110">
        <f>_xlfn.XLOOKUP(Table4[[#This Row],[Default Resource Title]],'Updated Rate Card Import'!E:E,'Updated Rate Card Import'!C:C)</f>
        <v>65</v>
      </c>
    </row>
    <row r="111" spans="2:10" ht="28.2" x14ac:dyDescent="0.3">
      <c r="B111" s="2" t="s">
        <v>430</v>
      </c>
      <c r="C111" s="2" t="s">
        <v>474</v>
      </c>
      <c r="D111" s="5" t="str">
        <f>IFERROR(VLOOKUP(Table4[[#This Row],[Role Type]],'Role Descriptions'!$A$1:$E$97,2,FALSE), "Missing role description data; for now, please see equivalent CrederaUS role type")</f>
        <v>Missing role description data; for now, please see equivalent CrederaUS role type</v>
      </c>
      <c r="E111" s="2" t="s">
        <v>475</v>
      </c>
      <c r="F111" s="357">
        <v>75</v>
      </c>
      <c r="G111" s="2" t="s">
        <v>119</v>
      </c>
      <c r="H111" s="1299">
        <v>125</v>
      </c>
      <c r="I111" s="1300"/>
      <c r="J111">
        <f>_xlfn.XLOOKUP(Table4[[#This Row],[Default Resource Title]],'Updated Rate Card Import'!E:E,'Updated Rate Card Import'!C:C)</f>
        <v>75</v>
      </c>
    </row>
    <row r="112" spans="2:10" ht="28.2" x14ac:dyDescent="0.3">
      <c r="B112" s="2" t="s">
        <v>430</v>
      </c>
      <c r="C112" s="2" t="s">
        <v>476</v>
      </c>
      <c r="D112" s="5" t="str">
        <f>IFERROR(VLOOKUP(Table4[[#This Row],[Role Type]],'Role Descriptions'!$A$1:$E$97,2,FALSE), "Missing role description data; for now, please see equivalent CrederaUS role type")</f>
        <v>Missing role description data; for now, please see equivalent CrederaUS role type</v>
      </c>
      <c r="E112" s="2" t="s">
        <v>477</v>
      </c>
      <c r="F112" s="357">
        <v>80</v>
      </c>
      <c r="G112" s="2" t="s">
        <v>119</v>
      </c>
      <c r="H112" s="1299">
        <v>135</v>
      </c>
      <c r="I112" s="1300"/>
      <c r="J112">
        <f>_xlfn.XLOOKUP(Table4[[#This Row],[Default Resource Title]],'Updated Rate Card Import'!E:E,'Updated Rate Card Import'!C:C)</f>
        <v>80</v>
      </c>
    </row>
    <row r="113" spans="2:10" ht="28.2" x14ac:dyDescent="0.3">
      <c r="B113" s="2" t="s">
        <v>430</v>
      </c>
      <c r="C113" s="2" t="s">
        <v>478</v>
      </c>
      <c r="D113" s="5" t="str">
        <f>IFERROR(VLOOKUP(Table4[[#This Row],[Role Type]],'Role Descriptions'!$A$1:$E$97,2,FALSE), "Missing role description data; for now, please see equivalent CrederaUS role type")</f>
        <v>Missing role description data; for now, please see equivalent CrederaUS role type</v>
      </c>
      <c r="E113" s="2" t="s">
        <v>479</v>
      </c>
      <c r="F113" s="357">
        <v>80</v>
      </c>
      <c r="G113" s="2" t="s">
        <v>119</v>
      </c>
      <c r="H113" s="1299">
        <v>145</v>
      </c>
      <c r="I113" s="1300"/>
      <c r="J113">
        <f>_xlfn.XLOOKUP(Table4[[#This Row],[Default Resource Title]],'Updated Rate Card Import'!E:E,'Updated Rate Card Import'!C:C)</f>
        <v>80</v>
      </c>
    </row>
    <row r="114" spans="2:10" ht="28.2" x14ac:dyDescent="0.3">
      <c r="B114" s="2" t="s">
        <v>430</v>
      </c>
      <c r="C114" s="2" t="s">
        <v>480</v>
      </c>
      <c r="D114" s="5" t="str">
        <f>IFERROR(VLOOKUP(Table4[[#This Row],[Role Type]],'Role Descriptions'!$A$1:$E$97,2,FALSE), "Missing role description data; for now, please see equivalent CrederaUS role type")</f>
        <v>Missing role description data; for now, please see equivalent CrederaUS role type</v>
      </c>
      <c r="E114" s="2" t="s">
        <v>481</v>
      </c>
      <c r="F114" s="357">
        <v>90</v>
      </c>
      <c r="G114" s="2" t="s">
        <v>119</v>
      </c>
      <c r="H114" s="1299">
        <v>170</v>
      </c>
      <c r="I114" s="1300"/>
      <c r="J114">
        <f>_xlfn.XLOOKUP(Table4[[#This Row],[Default Resource Title]],'Updated Rate Card Import'!E:E,'Updated Rate Card Import'!C:C)</f>
        <v>90</v>
      </c>
    </row>
    <row r="115" spans="2:10" ht="28.2" x14ac:dyDescent="0.3">
      <c r="B115" s="2" t="s">
        <v>430</v>
      </c>
      <c r="C115" s="2" t="s">
        <v>482</v>
      </c>
      <c r="D115" s="5" t="str">
        <f>IFERROR(VLOOKUP(Table4[[#This Row],[Role Type]],'Role Descriptions'!$A$1:$E$97,2,FALSE), "Missing role description data; for now, please see equivalent CrederaUS role type")</f>
        <v>Missing role description data; for now, please see equivalent CrederaUS role type</v>
      </c>
      <c r="E115" s="2" t="s">
        <v>483</v>
      </c>
      <c r="F115" s="357">
        <v>105</v>
      </c>
      <c r="G115" s="2" t="s">
        <v>119</v>
      </c>
      <c r="H115" s="1299">
        <v>180</v>
      </c>
      <c r="I115" s="1300"/>
      <c r="J115">
        <f>_xlfn.XLOOKUP(Table4[[#This Row],[Default Resource Title]],'Updated Rate Card Import'!E:E,'Updated Rate Card Import'!C:C)</f>
        <v>105</v>
      </c>
    </row>
    <row r="116" spans="2:10" ht="28.2" x14ac:dyDescent="0.3">
      <c r="B116" s="2" t="s">
        <v>430</v>
      </c>
      <c r="C116" s="2" t="s">
        <v>484</v>
      </c>
      <c r="D116" s="5" t="str">
        <f>IFERROR(VLOOKUP(Table4[[#This Row],[Role Type]],'Role Descriptions'!$A$1:$E$97,2,FALSE), "Missing role description data; for now, please see equivalent CrederaUS role type")</f>
        <v>Missing role description data; for now, please see equivalent CrederaUS role type</v>
      </c>
      <c r="E116" s="2" t="s">
        <v>485</v>
      </c>
      <c r="F116" s="357">
        <v>65</v>
      </c>
      <c r="G116" s="2" t="s">
        <v>119</v>
      </c>
      <c r="H116" s="1299">
        <v>125</v>
      </c>
      <c r="I116" s="1300"/>
      <c r="J116">
        <f>_xlfn.XLOOKUP(Table4[[#This Row],[Default Resource Title]],'Updated Rate Card Import'!E:E,'Updated Rate Card Import'!C:C)</f>
        <v>65</v>
      </c>
    </row>
    <row r="117" spans="2:10" ht="28.2" x14ac:dyDescent="0.3">
      <c r="B117" s="2" t="s">
        <v>430</v>
      </c>
      <c r="C117" s="2" t="s">
        <v>486</v>
      </c>
      <c r="D117" s="5" t="str">
        <f>IFERROR(VLOOKUP(Table4[[#This Row],[Role Type]],'Role Descriptions'!$A$1:$E$97,2,FALSE), "Missing role description data; for now, please see equivalent CrederaUS role type")</f>
        <v>Missing role description data; for now, please see equivalent CrederaUS role type</v>
      </c>
      <c r="E117" s="2" t="s">
        <v>487</v>
      </c>
      <c r="F117" s="357">
        <v>75</v>
      </c>
      <c r="G117" s="2" t="s">
        <v>119</v>
      </c>
      <c r="H117" s="1299">
        <v>135</v>
      </c>
      <c r="I117" s="1300"/>
      <c r="J117">
        <f>_xlfn.XLOOKUP(Table4[[#This Row],[Default Resource Title]],'Updated Rate Card Import'!E:E,'Updated Rate Card Import'!C:C)</f>
        <v>75</v>
      </c>
    </row>
    <row r="118" spans="2:10" ht="28.2" x14ac:dyDescent="0.3">
      <c r="B118" s="2" t="s">
        <v>430</v>
      </c>
      <c r="C118" s="2" t="s">
        <v>488</v>
      </c>
      <c r="D118" s="5" t="str">
        <f>IFERROR(VLOOKUP(Table4[[#This Row],[Role Type]],'Role Descriptions'!$A$1:$E$97,2,FALSE), "Missing role description data; for now, please see equivalent CrederaUS role type")</f>
        <v>Missing role description data; for now, please see equivalent CrederaUS role type</v>
      </c>
      <c r="E118" s="2" t="s">
        <v>489</v>
      </c>
      <c r="F118" s="357">
        <v>80</v>
      </c>
      <c r="G118" s="2" t="s">
        <v>119</v>
      </c>
      <c r="H118" s="1299">
        <v>160</v>
      </c>
      <c r="I118" s="1300"/>
      <c r="J118">
        <f>_xlfn.XLOOKUP(Table4[[#This Row],[Default Resource Title]],'Updated Rate Card Import'!E:E,'Updated Rate Card Import'!C:C)</f>
        <v>80</v>
      </c>
    </row>
    <row r="119" spans="2:10" ht="28.2" x14ac:dyDescent="0.3">
      <c r="B119" s="2" t="s">
        <v>430</v>
      </c>
      <c r="C119" s="2" t="s">
        <v>490</v>
      </c>
      <c r="D119" s="5" t="str">
        <f>IFERROR(VLOOKUP(Table4[[#This Row],[Role Type]],'Role Descriptions'!$A$1:$E$97,2,FALSE), "Missing role description data; for now, please see equivalent CrederaUS role type")</f>
        <v>Missing role description data; for now, please see equivalent CrederaUS role type</v>
      </c>
      <c r="E119" s="2" t="s">
        <v>491</v>
      </c>
      <c r="F119" s="357">
        <v>90</v>
      </c>
      <c r="G119" s="2" t="s">
        <v>119</v>
      </c>
      <c r="H119" s="1299">
        <v>180</v>
      </c>
      <c r="I119" s="1300"/>
      <c r="J119">
        <f>_xlfn.XLOOKUP(Table4[[#This Row],[Default Resource Title]],'Updated Rate Card Import'!E:E,'Updated Rate Card Import'!C:C)</f>
        <v>90</v>
      </c>
    </row>
    <row r="120" spans="2:10" ht="28.2" x14ac:dyDescent="0.3">
      <c r="B120" s="2" t="s">
        <v>430</v>
      </c>
      <c r="C120" s="2" t="s">
        <v>492</v>
      </c>
      <c r="D120" s="5" t="str">
        <f>IFERROR(VLOOKUP(Table4[[#This Row],[Role Type]],'Role Descriptions'!$A$1:$E$97,2,FALSE), "Missing role description data; for now, please see equivalent CrederaUS role type")</f>
        <v>Missing role description data; for now, please see equivalent CrederaUS role type</v>
      </c>
      <c r="E120" s="2" t="s">
        <v>493</v>
      </c>
      <c r="F120" s="357">
        <v>105</v>
      </c>
      <c r="G120" s="2" t="s">
        <v>119</v>
      </c>
      <c r="H120" s="1299">
        <v>190</v>
      </c>
      <c r="I120" s="1300"/>
      <c r="J120">
        <f>_xlfn.XLOOKUP(Table4[[#This Row],[Default Resource Title]],'Updated Rate Card Import'!E:E,'Updated Rate Card Import'!C:C)</f>
        <v>105</v>
      </c>
    </row>
    <row r="121" spans="2:10" ht="28.2" x14ac:dyDescent="0.3">
      <c r="B121" s="2" t="s">
        <v>430</v>
      </c>
      <c r="C121" s="2" t="s">
        <v>494</v>
      </c>
      <c r="D121" s="5" t="str">
        <f>IFERROR(VLOOKUP(Table4[[#This Row],[Role Type]],'Role Descriptions'!$A$1:$E$97,2,FALSE), "Missing role description data; for now, please see equivalent CrederaUS role type")</f>
        <v>Missing role description data; for now, please see equivalent CrederaUS role type</v>
      </c>
      <c r="E121" s="2" t="s">
        <v>495</v>
      </c>
      <c r="F121" s="357">
        <v>65</v>
      </c>
      <c r="G121" s="2" t="s">
        <v>119</v>
      </c>
      <c r="H121" s="1299">
        <v>125</v>
      </c>
      <c r="I121" s="1300"/>
      <c r="J121">
        <f>_xlfn.XLOOKUP(Table4[[#This Row],[Default Resource Title]],'Updated Rate Card Import'!E:E,'Updated Rate Card Import'!C:C)</f>
        <v>65</v>
      </c>
    </row>
    <row r="122" spans="2:10" ht="28.2" x14ac:dyDescent="0.3">
      <c r="B122" s="2" t="s">
        <v>430</v>
      </c>
      <c r="C122" s="2" t="s">
        <v>496</v>
      </c>
      <c r="D122" s="5" t="str">
        <f>IFERROR(VLOOKUP(Table4[[#This Row],[Role Type]],'Role Descriptions'!$A$1:$E$97,2,FALSE), "Missing role description data; for now, please see equivalent CrederaUS role type")</f>
        <v>Missing role description data; for now, please see equivalent CrederaUS role type</v>
      </c>
      <c r="E122" s="2" t="s">
        <v>497</v>
      </c>
      <c r="F122" s="357">
        <v>70</v>
      </c>
      <c r="G122" s="2" t="s">
        <v>119</v>
      </c>
      <c r="H122" s="1299">
        <v>170</v>
      </c>
      <c r="I122" s="1300"/>
      <c r="J122">
        <f>_xlfn.XLOOKUP(Table4[[#This Row],[Default Resource Title]],'Updated Rate Card Import'!E:E,'Updated Rate Card Import'!C:C)</f>
        <v>70</v>
      </c>
    </row>
    <row r="123" spans="2:10" ht="28.2" x14ac:dyDescent="0.3">
      <c r="B123" s="2" t="s">
        <v>430</v>
      </c>
      <c r="C123" s="2" t="s">
        <v>498</v>
      </c>
      <c r="D123" s="5" t="str">
        <f>IFERROR(VLOOKUP(Table4[[#This Row],[Role Type]],'Role Descriptions'!$A$1:$E$97,2,FALSE), "Missing role description data; for now, please see equivalent CrederaUS role type")</f>
        <v>Missing role description data; for now, please see equivalent CrederaUS role type</v>
      </c>
      <c r="E123" s="2" t="s">
        <v>499</v>
      </c>
      <c r="F123" s="357">
        <v>110</v>
      </c>
      <c r="G123" s="2" t="s">
        <v>119</v>
      </c>
      <c r="H123" s="1299">
        <v>190</v>
      </c>
      <c r="I123" s="1300"/>
      <c r="J123">
        <f>_xlfn.XLOOKUP(Table4[[#This Row],[Default Resource Title]],'Updated Rate Card Import'!E:E,'Updated Rate Card Import'!C:C)</f>
        <v>110</v>
      </c>
    </row>
    <row r="124" spans="2:10" ht="28.2" x14ac:dyDescent="0.3">
      <c r="B124" s="2" t="s">
        <v>430</v>
      </c>
      <c r="C124" s="2" t="s">
        <v>500</v>
      </c>
      <c r="D124" s="5" t="str">
        <f>IFERROR(VLOOKUP(Table4[[#This Row],[Role Type]],'Role Descriptions'!$A$1:$E$97,2,FALSE), "Missing role description data; for now, please see equivalent CrederaUS role type")</f>
        <v>Missing role description data; for now, please see equivalent CrederaUS role type</v>
      </c>
      <c r="E124" s="2" t="s">
        <v>501</v>
      </c>
      <c r="F124" s="357">
        <v>107.5</v>
      </c>
      <c r="G124" s="2" t="s">
        <v>119</v>
      </c>
      <c r="H124" s="1299">
        <v>210</v>
      </c>
      <c r="I124" s="1300"/>
      <c r="J124">
        <f>_xlfn.XLOOKUP(Table4[[#This Row],[Default Resource Title]],'Updated Rate Card Import'!E:E,'Updated Rate Card Import'!C:C)</f>
        <v>107.5</v>
      </c>
    </row>
    <row r="125" spans="2:10" ht="28.2" x14ac:dyDescent="0.3">
      <c r="B125" s="2" t="s">
        <v>430</v>
      </c>
      <c r="C125" s="2" t="s">
        <v>502</v>
      </c>
      <c r="D125" s="5" t="str">
        <f>IFERROR(VLOOKUP(Table4[[#This Row],[Role Type]],'Role Descriptions'!$A$1:$E$97,2,FALSE), "Missing role description data; for now, please see equivalent CrederaUS role type")</f>
        <v>Missing role description data; for now, please see equivalent CrederaUS role type</v>
      </c>
      <c r="E125" s="2" t="s">
        <v>503</v>
      </c>
      <c r="F125" s="357">
        <v>120</v>
      </c>
      <c r="G125" s="2" t="s">
        <v>119</v>
      </c>
      <c r="H125" s="1299">
        <v>235</v>
      </c>
      <c r="I125" s="1300"/>
      <c r="J125">
        <f>_xlfn.XLOOKUP(Table4[[#This Row],[Default Resource Title]],'Updated Rate Card Import'!E:E,'Updated Rate Card Import'!C:C)</f>
        <v>120</v>
      </c>
    </row>
    <row r="126" spans="2:10" ht="28.2" x14ac:dyDescent="0.3">
      <c r="B126" s="2" t="s">
        <v>430</v>
      </c>
      <c r="C126" s="2" t="s">
        <v>504</v>
      </c>
      <c r="D126" s="5" t="str">
        <f>IFERROR(VLOOKUP(Table4[[#This Row],[Role Type]],'Role Descriptions'!$A$1:$E$97,2,FALSE), "Missing role description data; for now, please see equivalent CrederaUS role type")</f>
        <v>Missing role description data; for now, please see equivalent CrederaUS role type</v>
      </c>
      <c r="E126" s="2" t="s">
        <v>505</v>
      </c>
      <c r="F126" s="357">
        <v>140</v>
      </c>
      <c r="G126" s="2" t="s">
        <v>119</v>
      </c>
      <c r="H126" s="1299">
        <v>265</v>
      </c>
      <c r="I126" s="1300"/>
      <c r="J126">
        <f>_xlfn.XLOOKUP(Table4[[#This Row],[Default Resource Title]],'Updated Rate Card Import'!E:E,'Updated Rate Card Import'!C:C)</f>
        <v>140</v>
      </c>
    </row>
    <row r="127" spans="2:10" ht="28.2" x14ac:dyDescent="0.3">
      <c r="B127" s="2" t="s">
        <v>430</v>
      </c>
      <c r="C127" s="2" t="s">
        <v>506</v>
      </c>
      <c r="D127" s="5" t="str">
        <f>IFERROR(VLOOKUP(Table4[[#This Row],[Role Type]],'Role Descriptions'!$A$1:$E$97,2,FALSE), "Missing role description data; for now, please see equivalent CrederaUS role type")</f>
        <v>Missing role description data; for now, please see equivalent CrederaUS role type</v>
      </c>
      <c r="E127" s="2" t="s">
        <v>507</v>
      </c>
      <c r="F127" s="357">
        <v>77.5</v>
      </c>
      <c r="G127" s="2" t="s">
        <v>119</v>
      </c>
      <c r="H127" s="1299">
        <v>145</v>
      </c>
      <c r="I127" s="1300"/>
      <c r="J127">
        <f>_xlfn.XLOOKUP(Table4[[#This Row],[Default Resource Title]],'Updated Rate Card Import'!E:E,'Updated Rate Card Import'!C:C)</f>
        <v>77.5</v>
      </c>
    </row>
    <row r="128" spans="2:10" ht="28.2" x14ac:dyDescent="0.3">
      <c r="B128" s="2" t="s">
        <v>430</v>
      </c>
      <c r="C128" s="2" t="s">
        <v>508</v>
      </c>
      <c r="D128" s="5" t="str">
        <f>IFERROR(VLOOKUP(Table4[[#This Row],[Role Type]],'Role Descriptions'!$A$1:$E$97,2,FALSE), "Missing role description data; for now, please see equivalent CrederaUS role type")</f>
        <v>Missing role description data; for now, please see equivalent CrederaUS role type</v>
      </c>
      <c r="E128" s="2" t="s">
        <v>509</v>
      </c>
      <c r="F128" s="357">
        <v>90</v>
      </c>
      <c r="G128" s="2" t="s">
        <v>119</v>
      </c>
      <c r="H128" s="1299">
        <v>160</v>
      </c>
      <c r="I128" s="1300"/>
      <c r="J128">
        <f>_xlfn.XLOOKUP(Table4[[#This Row],[Default Resource Title]],'Updated Rate Card Import'!E:E,'Updated Rate Card Import'!C:C)</f>
        <v>90</v>
      </c>
    </row>
    <row r="129" spans="2:10" ht="28.2" x14ac:dyDescent="0.3">
      <c r="B129" s="2" t="s">
        <v>430</v>
      </c>
      <c r="C129" s="2" t="s">
        <v>510</v>
      </c>
      <c r="D129" s="5" t="str">
        <f>IFERROR(VLOOKUP(Table4[[#This Row],[Role Type]],'Role Descriptions'!$A$1:$E$97,2,FALSE), "Missing role description data; for now, please see equivalent CrederaUS role type")</f>
        <v>Missing role description data; for now, please see equivalent CrederaUS role type</v>
      </c>
      <c r="E129" s="2" t="s">
        <v>511</v>
      </c>
      <c r="F129" s="357">
        <v>95</v>
      </c>
      <c r="G129" s="2" t="s">
        <v>119</v>
      </c>
      <c r="H129" s="1299">
        <v>170</v>
      </c>
      <c r="I129" s="1300"/>
      <c r="J129">
        <f>_xlfn.XLOOKUP(Table4[[#This Row],[Default Resource Title]],'Updated Rate Card Import'!E:E,'Updated Rate Card Import'!C:C)</f>
        <v>95</v>
      </c>
    </row>
    <row r="130" spans="2:10" ht="28.2" x14ac:dyDescent="0.3">
      <c r="B130" s="2" t="s">
        <v>430</v>
      </c>
      <c r="C130" s="2" t="s">
        <v>512</v>
      </c>
      <c r="D130" s="5" t="str">
        <f>IFERROR(VLOOKUP(Table4[[#This Row],[Role Type]],'Role Descriptions'!$A$1:$E$97,2,FALSE), "Missing role description data; for now, please see equivalent CrederaUS role type")</f>
        <v>Missing role description data; for now, please see equivalent CrederaUS role type</v>
      </c>
      <c r="E130" s="2" t="s">
        <v>513</v>
      </c>
      <c r="F130" s="357">
        <v>102.5</v>
      </c>
      <c r="G130" s="2" t="s">
        <v>119</v>
      </c>
      <c r="H130" s="1299">
        <v>190</v>
      </c>
      <c r="I130" s="1300"/>
      <c r="J130">
        <f>_xlfn.XLOOKUP(Table4[[#This Row],[Default Resource Title]],'Updated Rate Card Import'!E:E,'Updated Rate Card Import'!C:C)</f>
        <v>102.5</v>
      </c>
    </row>
    <row r="131" spans="2:10" ht="28.2" x14ac:dyDescent="0.3">
      <c r="B131" s="2" t="s">
        <v>430</v>
      </c>
      <c r="C131" s="2" t="s">
        <v>514</v>
      </c>
      <c r="D131" s="5" t="str">
        <f>IFERROR(VLOOKUP(Table4[[#This Row],[Role Type]],'Role Descriptions'!$A$1:$E$97,2,FALSE), "Missing role description data; for now, please see equivalent CrederaUS role type")</f>
        <v>Missing role description data; for now, please see equivalent CrederaUS role type</v>
      </c>
      <c r="E131" s="2" t="s">
        <v>515</v>
      </c>
      <c r="F131" s="357">
        <v>107.5</v>
      </c>
      <c r="G131" s="2" t="s">
        <v>119</v>
      </c>
      <c r="H131" s="1299">
        <v>210</v>
      </c>
      <c r="I131" s="1300"/>
      <c r="J131">
        <f>_xlfn.XLOOKUP(Table4[[#This Row],[Default Resource Title]],'Updated Rate Card Import'!E:E,'Updated Rate Card Import'!C:C)</f>
        <v>107.5</v>
      </c>
    </row>
    <row r="132" spans="2:10" ht="28.2" x14ac:dyDescent="0.3">
      <c r="B132" s="2" t="s">
        <v>430</v>
      </c>
      <c r="C132" s="2" t="s">
        <v>516</v>
      </c>
      <c r="D132" s="5" t="str">
        <f>IFERROR(VLOOKUP(Table4[[#This Row],[Role Type]],'Role Descriptions'!$A$1:$E$97,2,FALSE), "Missing role description data; for now, please see equivalent CrederaUS role type")</f>
        <v>Missing role description data; for now, please see equivalent CrederaUS role type</v>
      </c>
      <c r="E132" s="2" t="s">
        <v>517</v>
      </c>
      <c r="F132" s="357">
        <v>140</v>
      </c>
      <c r="G132" s="2" t="s">
        <v>119</v>
      </c>
      <c r="H132" s="1299">
        <v>235</v>
      </c>
      <c r="I132" s="1300"/>
      <c r="J132">
        <f>_xlfn.XLOOKUP(Table4[[#This Row],[Default Resource Title]],'Updated Rate Card Import'!E:E,'Updated Rate Card Import'!C:C)</f>
        <v>140</v>
      </c>
    </row>
    <row r="133" spans="2:10" ht="28.2" x14ac:dyDescent="0.3">
      <c r="B133" s="2" t="s">
        <v>430</v>
      </c>
      <c r="C133" s="2" t="s">
        <v>518</v>
      </c>
      <c r="D133" s="5" t="str">
        <f>IFERROR(VLOOKUP(Table4[[#This Row],[Role Type]],'Role Descriptions'!$A$1:$E$97,2,FALSE), "Missing role description data; for now, please see equivalent CrederaUS role type")</f>
        <v>Missing role description data; for now, please see equivalent CrederaUS role type</v>
      </c>
      <c r="E133" s="2" t="s">
        <v>519</v>
      </c>
      <c r="F133" s="357">
        <v>75</v>
      </c>
      <c r="G133" s="2" t="s">
        <v>119</v>
      </c>
      <c r="H133" s="1299">
        <v>135</v>
      </c>
      <c r="I133" s="1300"/>
      <c r="J133">
        <f>_xlfn.XLOOKUP(Table4[[#This Row],[Default Resource Title]],'Updated Rate Card Import'!E:E,'Updated Rate Card Import'!C:C)</f>
        <v>75</v>
      </c>
    </row>
    <row r="134" spans="2:10" ht="28.2" x14ac:dyDescent="0.3">
      <c r="B134" s="2" t="s">
        <v>430</v>
      </c>
      <c r="C134" s="2" t="s">
        <v>520</v>
      </c>
      <c r="D134" s="5" t="str">
        <f>IFERROR(VLOOKUP(Table4[[#This Row],[Role Type]],'Role Descriptions'!$A$1:$E$97,2,FALSE), "Missing role description data; for now, please see equivalent CrederaUS role type")</f>
        <v>Missing role description data; for now, please see equivalent CrederaUS role type</v>
      </c>
      <c r="E134" s="2" t="s">
        <v>521</v>
      </c>
      <c r="F134" s="357">
        <v>85</v>
      </c>
      <c r="G134" s="2" t="s">
        <v>119</v>
      </c>
      <c r="H134" s="1299">
        <v>170</v>
      </c>
      <c r="I134" s="1300"/>
      <c r="J134">
        <f>_xlfn.XLOOKUP(Table4[[#This Row],[Default Resource Title]],'Updated Rate Card Import'!E:E,'Updated Rate Card Import'!C:C)</f>
        <v>85</v>
      </c>
    </row>
    <row r="135" spans="2:10" ht="28.2" x14ac:dyDescent="0.3">
      <c r="B135" s="2" t="s">
        <v>430</v>
      </c>
      <c r="C135" s="2" t="s">
        <v>522</v>
      </c>
      <c r="D135" s="5" t="str">
        <f>IFERROR(VLOOKUP(Table4[[#This Row],[Role Type]],'Role Descriptions'!$A$1:$E$97,2,FALSE), "Missing role description data; for now, please see equivalent CrederaUS role type")</f>
        <v>Missing role description data; for now, please see equivalent CrederaUS role type</v>
      </c>
      <c r="E135" s="2" t="s">
        <v>523</v>
      </c>
      <c r="F135" s="357">
        <v>85</v>
      </c>
      <c r="G135" s="2" t="s">
        <v>119</v>
      </c>
      <c r="H135" s="1299">
        <v>190</v>
      </c>
      <c r="I135" s="1300"/>
      <c r="J135">
        <f>_xlfn.XLOOKUP(Table4[[#This Row],[Default Resource Title]],'Updated Rate Card Import'!E:E,'Updated Rate Card Import'!C:C)</f>
        <v>85</v>
      </c>
    </row>
    <row r="136" spans="2:10" ht="28.2" x14ac:dyDescent="0.3">
      <c r="B136" s="2" t="s">
        <v>430</v>
      </c>
      <c r="C136" s="2" t="s">
        <v>524</v>
      </c>
      <c r="D136" s="5" t="str">
        <f>IFERROR(VLOOKUP(Table4[[#This Row],[Role Type]],'Role Descriptions'!$A$1:$E$97,2,FALSE), "Missing role description data; for now, please see equivalent CrederaUS role type")</f>
        <v>Missing role description data; for now, please see equivalent CrederaUS role type</v>
      </c>
      <c r="E136" s="2" t="s">
        <v>525</v>
      </c>
      <c r="F136" s="357">
        <v>85</v>
      </c>
      <c r="G136" s="2" t="s">
        <v>119</v>
      </c>
      <c r="H136" s="1299">
        <v>200</v>
      </c>
      <c r="I136" s="1300"/>
      <c r="J136">
        <f>_xlfn.XLOOKUP(Table4[[#This Row],[Default Resource Title]],'Updated Rate Card Import'!E:E,'Updated Rate Card Import'!C:C)</f>
        <v>85</v>
      </c>
    </row>
    <row r="137" spans="2:10" ht="28.2" x14ac:dyDescent="0.3">
      <c r="B137" s="2" t="s">
        <v>430</v>
      </c>
      <c r="C137" s="2" t="s">
        <v>526</v>
      </c>
      <c r="D137" s="5" t="str">
        <f>IFERROR(VLOOKUP(Table4[[#This Row],[Role Type]],'Role Descriptions'!$A$1:$E$97,2,FALSE), "Missing role description data; for now, please see equivalent CrederaUS role type")</f>
        <v>Missing role description data; for now, please see equivalent CrederaUS role type</v>
      </c>
      <c r="E137" s="2" t="s">
        <v>527</v>
      </c>
      <c r="F137" s="357">
        <v>105</v>
      </c>
      <c r="G137" s="2" t="s">
        <v>119</v>
      </c>
      <c r="H137" s="1299">
        <v>205</v>
      </c>
      <c r="I137" s="1300"/>
      <c r="J137">
        <f>_xlfn.XLOOKUP(Table4[[#This Row],[Default Resource Title]],'Updated Rate Card Import'!E:E,'Updated Rate Card Import'!C:C)</f>
        <v>105</v>
      </c>
    </row>
    <row r="138" spans="2:10" ht="28.2" x14ac:dyDescent="0.3">
      <c r="B138" s="2" t="s">
        <v>430</v>
      </c>
      <c r="C138" s="2" t="s">
        <v>528</v>
      </c>
      <c r="D138" s="5" t="str">
        <f>IFERROR(VLOOKUP(Table4[[#This Row],[Role Type]],'Role Descriptions'!$A$1:$E$97,2,FALSE), "Missing role description data; for now, please see equivalent CrederaUS role type")</f>
        <v>Missing role description data; for now, please see equivalent CrederaUS role type</v>
      </c>
      <c r="E138" s="2" t="s">
        <v>529</v>
      </c>
      <c r="F138" s="357">
        <v>105</v>
      </c>
      <c r="G138" s="2" t="s">
        <v>119</v>
      </c>
      <c r="H138" s="1299">
        <v>210</v>
      </c>
      <c r="I138" s="1300"/>
      <c r="J138">
        <f>_xlfn.XLOOKUP(Table4[[#This Row],[Default Resource Title]],'Updated Rate Card Import'!E:E,'Updated Rate Card Import'!C:C)</f>
        <v>105</v>
      </c>
    </row>
    <row r="139" spans="2:10" ht="28.2" x14ac:dyDescent="0.3">
      <c r="B139" s="2" t="s">
        <v>430</v>
      </c>
      <c r="C139" s="2" t="s">
        <v>530</v>
      </c>
      <c r="D139" s="5" t="str">
        <f>IFERROR(VLOOKUP(Table4[[#This Row],[Role Type]],'Role Descriptions'!$A$1:$E$97,2,FALSE), "Missing role description data; for now, please see equivalent CrederaUS role type")</f>
        <v>Missing role description data; for now, please see equivalent CrederaUS role type</v>
      </c>
      <c r="E139" s="2" t="s">
        <v>531</v>
      </c>
      <c r="F139" s="357">
        <v>122.5</v>
      </c>
      <c r="G139" s="2" t="s">
        <v>119</v>
      </c>
      <c r="H139" s="1299">
        <v>210</v>
      </c>
      <c r="I139" s="1300"/>
      <c r="J139">
        <f>_xlfn.XLOOKUP(Table4[[#This Row],[Default Resource Title]],'Updated Rate Card Import'!E:E,'Updated Rate Card Import'!C:C)</f>
        <v>122.5</v>
      </c>
    </row>
    <row r="140" spans="2:10" ht="28.2" x14ac:dyDescent="0.3">
      <c r="B140" s="2" t="s">
        <v>430</v>
      </c>
      <c r="C140" s="2" t="s">
        <v>532</v>
      </c>
      <c r="D140" s="5" t="str">
        <f>IFERROR(VLOOKUP(Table4[[#This Row],[Role Type]],'Role Descriptions'!$A$1:$E$97,2,FALSE), "Missing role description data; for now, please see equivalent CrederaUS role type")</f>
        <v>Missing role description data; for now, please see equivalent CrederaUS role type</v>
      </c>
      <c r="E140" s="2" t="s">
        <v>533</v>
      </c>
      <c r="F140" s="357">
        <v>80</v>
      </c>
      <c r="G140" s="2" t="s">
        <v>119</v>
      </c>
      <c r="H140" s="1299">
        <v>160</v>
      </c>
      <c r="I140" s="1300"/>
      <c r="J140">
        <f>_xlfn.XLOOKUP(Table4[[#This Row],[Default Resource Title]],'Updated Rate Card Import'!E:E,'Updated Rate Card Import'!C:C)</f>
        <v>80</v>
      </c>
    </row>
    <row r="141" spans="2:10" ht="28.2" x14ac:dyDescent="0.3">
      <c r="B141" s="2" t="s">
        <v>430</v>
      </c>
      <c r="C141" s="2" t="s">
        <v>534</v>
      </c>
      <c r="D141" s="5" t="str">
        <f>IFERROR(VLOOKUP(Table4[[#This Row],[Role Type]],'Role Descriptions'!$A$1:$E$97,2,FALSE), "Missing role description data; for now, please see equivalent CrederaUS role type")</f>
        <v>Missing role description data; for now, please see equivalent CrederaUS role type</v>
      </c>
      <c r="E141" s="2" t="s">
        <v>535</v>
      </c>
      <c r="F141" s="357">
        <v>82.5</v>
      </c>
      <c r="G141" s="2" t="s">
        <v>119</v>
      </c>
      <c r="H141" s="1299">
        <v>170</v>
      </c>
      <c r="I141" s="1300"/>
      <c r="J141">
        <f>_xlfn.XLOOKUP(Table4[[#This Row],[Default Resource Title]],'Updated Rate Card Import'!E:E,'Updated Rate Card Import'!C:C)</f>
        <v>82.5</v>
      </c>
    </row>
    <row r="142" spans="2:10" ht="28.2" x14ac:dyDescent="0.3">
      <c r="B142" s="2" t="s">
        <v>430</v>
      </c>
      <c r="C142" s="2" t="s">
        <v>536</v>
      </c>
      <c r="D142" s="5" t="str">
        <f>IFERROR(VLOOKUP(Table4[[#This Row],[Role Type]],'Role Descriptions'!$A$1:$E$97,2,FALSE), "Missing role description data; for now, please see equivalent CrederaUS role type")</f>
        <v>Missing role description data; for now, please see equivalent CrederaUS role type</v>
      </c>
      <c r="E142" s="2" t="s">
        <v>537</v>
      </c>
      <c r="F142" s="357">
        <v>90</v>
      </c>
      <c r="G142" s="2" t="s">
        <v>119</v>
      </c>
      <c r="H142" s="1299">
        <v>185</v>
      </c>
      <c r="I142" s="1300"/>
      <c r="J142">
        <f>_xlfn.XLOOKUP(Table4[[#This Row],[Default Resource Title]],'Updated Rate Card Import'!E:E,'Updated Rate Card Import'!C:C)</f>
        <v>90</v>
      </c>
    </row>
    <row r="143" spans="2:10" ht="28.2" x14ac:dyDescent="0.3">
      <c r="B143" s="2" t="s">
        <v>430</v>
      </c>
      <c r="C143" s="2" t="s">
        <v>538</v>
      </c>
      <c r="D143" s="5" t="str">
        <f>IFERROR(VLOOKUP(Table4[[#This Row],[Role Type]],'Role Descriptions'!$A$1:$E$97,2,FALSE), "Missing role description data; for now, please see equivalent CrederaUS role type")</f>
        <v>Missing role description data; for now, please see equivalent CrederaUS role type</v>
      </c>
      <c r="E143" s="2" t="s">
        <v>539</v>
      </c>
      <c r="F143" s="357">
        <v>132.5</v>
      </c>
      <c r="G143" s="2" t="s">
        <v>119</v>
      </c>
      <c r="H143" s="1299">
        <v>235</v>
      </c>
      <c r="I143" s="1300"/>
      <c r="J143">
        <f>_xlfn.XLOOKUP(Table4[[#This Row],[Default Resource Title]],'Updated Rate Card Import'!E:E,'Updated Rate Card Import'!C:C)</f>
        <v>132.5</v>
      </c>
    </row>
    <row r="144" spans="2:10" ht="28.2" x14ac:dyDescent="0.3">
      <c r="B144" s="2" t="s">
        <v>430</v>
      </c>
      <c r="C144" s="2" t="s">
        <v>540</v>
      </c>
      <c r="D144" s="5" t="str">
        <f>IFERROR(VLOOKUP(Table4[[#This Row],[Role Type]],'Role Descriptions'!$A$1:$E$97,2,FALSE), "Missing role description data; for now, please see equivalent CrederaUS role type")</f>
        <v>Missing role description data; for now, please see equivalent CrederaUS role type</v>
      </c>
      <c r="E144" s="2" t="s">
        <v>541</v>
      </c>
      <c r="F144" s="357">
        <v>155</v>
      </c>
      <c r="G144" s="2" t="s">
        <v>119</v>
      </c>
      <c r="H144" s="1299">
        <v>275</v>
      </c>
      <c r="I144" s="1300"/>
      <c r="J144">
        <f>_xlfn.XLOOKUP(Table4[[#This Row],[Default Resource Title]],'Updated Rate Card Import'!E:E,'Updated Rate Card Import'!C:C)</f>
        <v>155</v>
      </c>
    </row>
    <row r="145" spans="2:10" ht="28.2" x14ac:dyDescent="0.3">
      <c r="B145" s="2" t="s">
        <v>430</v>
      </c>
      <c r="C145" s="2" t="s">
        <v>542</v>
      </c>
      <c r="D145" s="5" t="str">
        <f>IFERROR(VLOOKUP(Table4[[#This Row],[Role Type]],'Role Descriptions'!$A$1:$E$97,2,FALSE), "Missing role description data; for now, please see equivalent CrederaUS role type")</f>
        <v>Missing role description data; for now, please see equivalent CrederaUS role type</v>
      </c>
      <c r="E145" s="2" t="s">
        <v>543</v>
      </c>
      <c r="F145" s="357">
        <v>167.5</v>
      </c>
      <c r="G145" s="2" t="s">
        <v>119</v>
      </c>
      <c r="H145" s="1299">
        <v>290</v>
      </c>
      <c r="I145" s="1300"/>
      <c r="J145">
        <f>_xlfn.XLOOKUP(Table4[[#This Row],[Default Resource Title]],'Updated Rate Card Import'!E:E,'Updated Rate Card Import'!C:C)</f>
        <v>167.5</v>
      </c>
    </row>
    <row r="146" spans="2:10" ht="28.2" x14ac:dyDescent="0.3">
      <c r="B146" s="2" t="s">
        <v>430</v>
      </c>
      <c r="C146" s="2" t="s">
        <v>544</v>
      </c>
      <c r="D146" s="5" t="str">
        <f>IFERROR(VLOOKUP(Table4[[#This Row],[Role Type]],'Role Descriptions'!$A$1:$E$97,2,FALSE), "Missing role description data; for now, please see equivalent CrederaUS role type")</f>
        <v>Missing role description data; for now, please see equivalent CrederaUS role type</v>
      </c>
      <c r="E146" s="2" t="s">
        <v>545</v>
      </c>
      <c r="F146" s="357">
        <v>85</v>
      </c>
      <c r="G146" s="2" t="s">
        <v>119</v>
      </c>
      <c r="H146" s="1299">
        <v>160</v>
      </c>
      <c r="I146" s="1300"/>
      <c r="J146">
        <f>_xlfn.XLOOKUP(Table4[[#This Row],[Default Resource Title]],'Updated Rate Card Import'!E:E,'Updated Rate Card Import'!C:C)</f>
        <v>85</v>
      </c>
    </row>
    <row r="147" spans="2:10" ht="28.2" x14ac:dyDescent="0.3">
      <c r="B147" s="2" t="s">
        <v>430</v>
      </c>
      <c r="C147" s="2" t="s">
        <v>546</v>
      </c>
      <c r="D147" s="5" t="str">
        <f>IFERROR(VLOOKUP(Table4[[#This Row],[Role Type]],'Role Descriptions'!$A$1:$E$97,2,FALSE), "Missing role description data; for now, please see equivalent CrederaUS role type")</f>
        <v>Missing role description data; for now, please see equivalent CrederaUS role type</v>
      </c>
      <c r="E147" s="2" t="s">
        <v>547</v>
      </c>
      <c r="F147" s="357">
        <v>105</v>
      </c>
      <c r="G147" s="2" t="s">
        <v>119</v>
      </c>
      <c r="H147" s="1299">
        <v>190</v>
      </c>
      <c r="I147" s="1300"/>
      <c r="J147">
        <f>_xlfn.XLOOKUP(Table4[[#This Row],[Default Resource Title]],'Updated Rate Card Import'!E:E,'Updated Rate Card Import'!C:C)</f>
        <v>105</v>
      </c>
    </row>
    <row r="148" spans="2:10" ht="28.2" x14ac:dyDescent="0.3">
      <c r="B148" s="2" t="s">
        <v>430</v>
      </c>
      <c r="C148" s="2" t="s">
        <v>548</v>
      </c>
      <c r="D148" s="5" t="str">
        <f>IFERROR(VLOOKUP(Table4[[#This Row],[Role Type]],'Role Descriptions'!$A$1:$E$97,2,FALSE), "Missing role description data; for now, please see equivalent CrederaUS role type")</f>
        <v>Missing role description data; for now, please see equivalent CrederaUS role type</v>
      </c>
      <c r="E148" s="2" t="s">
        <v>549</v>
      </c>
      <c r="F148" s="357">
        <v>107.5</v>
      </c>
      <c r="G148" s="2" t="s">
        <v>119</v>
      </c>
      <c r="H148" s="1299">
        <v>210</v>
      </c>
      <c r="I148" s="1300"/>
      <c r="J148">
        <f>_xlfn.XLOOKUP(Table4[[#This Row],[Default Resource Title]],'Updated Rate Card Import'!E:E,'Updated Rate Card Import'!C:C)</f>
        <v>107.5</v>
      </c>
    </row>
    <row r="149" spans="2:10" ht="28.2" x14ac:dyDescent="0.3">
      <c r="B149" s="2" t="s">
        <v>430</v>
      </c>
      <c r="C149" s="2" t="s">
        <v>550</v>
      </c>
      <c r="D149" s="5" t="str">
        <f>IFERROR(VLOOKUP(Table4[[#This Row],[Role Type]],'Role Descriptions'!$A$1:$E$97,2,FALSE), "Missing role description data; for now, please see equivalent CrederaUS role type")</f>
        <v>Missing role description data; for now, please see equivalent CrederaUS role type</v>
      </c>
      <c r="E149" s="2" t="s">
        <v>551</v>
      </c>
      <c r="F149" s="357">
        <v>115.5</v>
      </c>
      <c r="G149" s="2" t="s">
        <v>119</v>
      </c>
      <c r="H149" s="1299">
        <v>235</v>
      </c>
      <c r="I149" s="1300"/>
      <c r="J149">
        <f>_xlfn.XLOOKUP(Table4[[#This Row],[Default Resource Title]],'Updated Rate Card Import'!E:E,'Updated Rate Card Import'!C:C)</f>
        <v>115.5</v>
      </c>
    </row>
    <row r="150" spans="2:10" ht="28.2" x14ac:dyDescent="0.3">
      <c r="B150" s="2" t="s">
        <v>430</v>
      </c>
      <c r="C150" s="2" t="s">
        <v>552</v>
      </c>
      <c r="D150" s="5" t="str">
        <f>IFERROR(VLOOKUP(Table4[[#This Row],[Role Type]],'Role Descriptions'!$A$1:$E$97,2,FALSE), "Missing role description data; for now, please see equivalent CrederaUS role type")</f>
        <v>Missing role description data; for now, please see equivalent CrederaUS role type</v>
      </c>
      <c r="E150" s="2" t="s">
        <v>553</v>
      </c>
      <c r="F150" s="357">
        <v>162.5</v>
      </c>
      <c r="G150" s="2" t="s">
        <v>119</v>
      </c>
      <c r="H150" s="1299">
        <v>275</v>
      </c>
      <c r="I150" s="1300"/>
      <c r="J150">
        <f>_xlfn.XLOOKUP(Table4[[#This Row],[Default Resource Title]],'Updated Rate Card Import'!E:E,'Updated Rate Card Import'!C:C)</f>
        <v>162.5</v>
      </c>
    </row>
    <row r="151" spans="2:10" ht="28.2" x14ac:dyDescent="0.3">
      <c r="B151" s="2" t="s">
        <v>430</v>
      </c>
      <c r="C151" s="2" t="s">
        <v>554</v>
      </c>
      <c r="D151" s="5" t="str">
        <f>IFERROR(VLOOKUP(Table4[[#This Row],[Role Type]],'Role Descriptions'!$A$1:$E$97,2,FALSE), "Missing role description data; for now, please see equivalent CrederaUS role type")</f>
        <v>Missing role description data; for now, please see equivalent CrederaUS role type</v>
      </c>
      <c r="E151" s="2" t="s">
        <v>555</v>
      </c>
      <c r="F151" s="357">
        <v>162.5</v>
      </c>
      <c r="G151" s="2" t="s">
        <v>119</v>
      </c>
      <c r="H151" s="1299">
        <v>275</v>
      </c>
      <c r="I151" s="1300"/>
      <c r="J151">
        <f>_xlfn.XLOOKUP(Table4[[#This Row],[Default Resource Title]],'Updated Rate Card Import'!E:E,'Updated Rate Card Import'!C:C)</f>
        <v>162.5</v>
      </c>
    </row>
    <row r="152" spans="2:10" ht="28.2" x14ac:dyDescent="0.3">
      <c r="B152" s="2" t="s">
        <v>430</v>
      </c>
      <c r="C152" s="2" t="s">
        <v>556</v>
      </c>
      <c r="D152" s="5" t="str">
        <f>IFERROR(VLOOKUP(Table4[[#This Row],[Role Type]],'Role Descriptions'!$A$1:$E$97,2,FALSE), "Missing role description data; for now, please see equivalent CrederaUS role type")</f>
        <v>Missing role description data; for now, please see equivalent CrederaUS role type</v>
      </c>
      <c r="E152" s="2" t="s">
        <v>557</v>
      </c>
      <c r="F152" s="357">
        <v>162.5</v>
      </c>
      <c r="G152" s="2" t="s">
        <v>119</v>
      </c>
      <c r="H152" s="1299">
        <v>290</v>
      </c>
      <c r="I152" s="1300"/>
      <c r="J152">
        <f>_xlfn.XLOOKUP(Table4[[#This Row],[Default Resource Title]],'Updated Rate Card Import'!E:E,'Updated Rate Card Import'!C:C)</f>
        <v>162.5</v>
      </c>
    </row>
    <row r="153" spans="2:10" ht="28.2" x14ac:dyDescent="0.3">
      <c r="B153" s="2" t="s">
        <v>430</v>
      </c>
      <c r="C153" s="2" t="s">
        <v>558</v>
      </c>
      <c r="D153" s="5" t="str">
        <f>IFERROR(VLOOKUP(Table4[[#This Row],[Role Type]],'Role Descriptions'!$A$1:$E$97,2,FALSE), "Missing role description data; for now, please see equivalent CrederaUS role type")</f>
        <v>Missing role description data; for now, please see equivalent CrederaUS role type</v>
      </c>
      <c r="E153" s="2" t="s">
        <v>559</v>
      </c>
      <c r="F153" s="357">
        <v>162.5</v>
      </c>
      <c r="G153" s="2" t="s">
        <v>119</v>
      </c>
      <c r="H153" s="1299">
        <v>315</v>
      </c>
      <c r="I153" s="1300"/>
      <c r="J153">
        <f>_xlfn.XLOOKUP(Table4[[#This Row],[Default Resource Title]],'Updated Rate Card Import'!E:E,'Updated Rate Card Import'!C:C)</f>
        <v>162.5</v>
      </c>
    </row>
    <row r="154" spans="2:10" ht="28.2" x14ac:dyDescent="0.3">
      <c r="B154" s="2" t="s">
        <v>430</v>
      </c>
      <c r="C154" s="2" t="s">
        <v>560</v>
      </c>
      <c r="D154" s="5" t="str">
        <f>IFERROR(VLOOKUP(Table4[[#This Row],[Role Type]],'Role Descriptions'!$A$1:$E$97,2,FALSE), "Missing role description data; for now, please see equivalent CrederaUS role type")</f>
        <v>Missing role description data; for now, please see equivalent CrederaUS role type</v>
      </c>
      <c r="E154" s="2" t="s">
        <v>561</v>
      </c>
      <c r="F154" s="357">
        <v>207.5</v>
      </c>
      <c r="G154" s="2" t="s">
        <v>119</v>
      </c>
      <c r="H154" s="1299">
        <v>370</v>
      </c>
      <c r="I154" s="1300"/>
      <c r="J154">
        <f>_xlfn.XLOOKUP(Table4[[#This Row],[Default Resource Title]],'Updated Rate Card Import'!E:E,'Updated Rate Card Import'!C:C)</f>
        <v>207.5</v>
      </c>
    </row>
    <row r="155" spans="2:10" ht="55.8" x14ac:dyDescent="0.3">
      <c r="B155" s="2" t="s">
        <v>430</v>
      </c>
      <c r="C155" s="2" t="s">
        <v>380</v>
      </c>
      <c r="D155"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155" s="2" t="s">
        <v>562</v>
      </c>
      <c r="F155" s="357">
        <v>97.5</v>
      </c>
      <c r="G155" s="2" t="s">
        <v>119</v>
      </c>
      <c r="H155" s="1299">
        <v>160</v>
      </c>
      <c r="I155" s="1300"/>
      <c r="J155">
        <f>_xlfn.XLOOKUP(Table4[[#This Row],[Default Resource Title]],'Updated Rate Card Import'!E:E,'Updated Rate Card Import'!C:C)</f>
        <v>97.5</v>
      </c>
    </row>
    <row r="156" spans="2:10" ht="28.2" x14ac:dyDescent="0.3">
      <c r="B156" s="2" t="s">
        <v>430</v>
      </c>
      <c r="C156" s="2" t="s">
        <v>563</v>
      </c>
      <c r="D156" s="5" t="str">
        <f>IFERROR(VLOOKUP(Table4[[#This Row],[Role Type]],'Role Descriptions'!$A$1:$E$97,2,FALSE), "Missing role description data; for now, please see equivalent CrederaUS role type")</f>
        <v>Missing role description data; for now, please see equivalent CrederaUS role type</v>
      </c>
      <c r="E156" s="2" t="s">
        <v>564</v>
      </c>
      <c r="F156" s="357">
        <v>105</v>
      </c>
      <c r="G156" s="2" t="s">
        <v>119</v>
      </c>
      <c r="H156" s="1299">
        <v>185</v>
      </c>
      <c r="I156" s="1300"/>
      <c r="J156">
        <f>_xlfn.XLOOKUP(Table4[[#This Row],[Default Resource Title]],'Updated Rate Card Import'!E:E,'Updated Rate Card Import'!C:C)</f>
        <v>105</v>
      </c>
    </row>
    <row r="157" spans="2:10" ht="28.2" x14ac:dyDescent="0.3">
      <c r="B157" s="2" t="s">
        <v>430</v>
      </c>
      <c r="C157" s="2" t="s">
        <v>565</v>
      </c>
      <c r="D157" s="5" t="str">
        <f>IFERROR(VLOOKUP(Table4[[#This Row],[Role Type]],'Role Descriptions'!$A$1:$E$97,2,FALSE), "Missing role description data; for now, please see equivalent CrederaUS role type")</f>
        <v>Missing role description data; for now, please see equivalent CrederaUS role type</v>
      </c>
      <c r="E157" s="2" t="s">
        <v>566</v>
      </c>
      <c r="F157" s="357">
        <v>107.5</v>
      </c>
      <c r="G157" s="2" t="s">
        <v>119</v>
      </c>
      <c r="H157" s="1299">
        <v>195</v>
      </c>
      <c r="I157" s="1300"/>
      <c r="J157">
        <f>_xlfn.XLOOKUP(Table4[[#This Row],[Default Resource Title]],'Updated Rate Card Import'!E:E,'Updated Rate Card Import'!C:C)</f>
        <v>107.5</v>
      </c>
    </row>
    <row r="158" spans="2:10" ht="28.2" x14ac:dyDescent="0.3">
      <c r="B158" s="2" t="s">
        <v>430</v>
      </c>
      <c r="C158" s="2" t="s">
        <v>567</v>
      </c>
      <c r="D158" s="5" t="str">
        <f>IFERROR(VLOOKUP(Table4[[#This Row],[Role Type]],'Role Descriptions'!$A$1:$E$97,2,FALSE), "Missing role description data; for now, please see equivalent CrederaUS role type")</f>
        <v>Quality Assurance role that specializes in designing and executing testing and test plans.</v>
      </c>
      <c r="E158" s="2" t="s">
        <v>568</v>
      </c>
      <c r="F158" s="357">
        <v>75</v>
      </c>
      <c r="G158" s="2" t="s">
        <v>119</v>
      </c>
      <c r="H158" s="1299">
        <v>125</v>
      </c>
      <c r="I158" s="1300"/>
      <c r="J158">
        <f>_xlfn.XLOOKUP(Table4[[#This Row],[Default Resource Title]],'Updated Rate Card Import'!E:E,'Updated Rate Card Import'!C:C)</f>
        <v>75</v>
      </c>
    </row>
    <row r="159" spans="2:10" ht="28.2" x14ac:dyDescent="0.3">
      <c r="B159" s="2" t="s">
        <v>430</v>
      </c>
      <c r="C159" s="2" t="s">
        <v>569</v>
      </c>
      <c r="D159" s="5" t="str">
        <f>IFERROR(VLOOKUP(Table4[[#This Row],[Role Type]],'Role Descriptions'!$A$1:$E$97,2,FALSE), "Missing role description data; for now, please see equivalent CrederaUS role type")</f>
        <v>Missing role description data; for now, please see equivalent CrederaUS role type</v>
      </c>
      <c r="E159" s="2" t="s">
        <v>570</v>
      </c>
      <c r="F159" s="357">
        <v>80</v>
      </c>
      <c r="G159" s="2" t="s">
        <v>119</v>
      </c>
      <c r="H159" s="1299">
        <v>145</v>
      </c>
      <c r="I159" s="1300"/>
      <c r="J159">
        <f>_xlfn.XLOOKUP(Table4[[#This Row],[Default Resource Title]],'Updated Rate Card Import'!E:E,'Updated Rate Card Import'!C:C)</f>
        <v>80</v>
      </c>
    </row>
    <row r="160" spans="2:10" ht="28.2" x14ac:dyDescent="0.3">
      <c r="B160" s="2" t="s">
        <v>430</v>
      </c>
      <c r="C160" s="2" t="s">
        <v>571</v>
      </c>
      <c r="D160" s="5" t="str">
        <f>IFERROR(VLOOKUP(Table4[[#This Row],[Role Type]],'Role Descriptions'!$A$1:$E$97,2,FALSE), "Missing role description data; for now, please see equivalent CrederaUS role type")</f>
        <v>Missing role description data; for now, please see equivalent CrederaUS role type</v>
      </c>
      <c r="E160" s="2" t="s">
        <v>572</v>
      </c>
      <c r="F160" s="357">
        <v>82.5</v>
      </c>
      <c r="G160" s="2" t="s">
        <v>119</v>
      </c>
      <c r="H160" s="1299">
        <v>170</v>
      </c>
      <c r="I160" s="1300"/>
      <c r="J160">
        <f>_xlfn.XLOOKUP(Table4[[#This Row],[Default Resource Title]],'Updated Rate Card Import'!E:E,'Updated Rate Card Import'!C:C)</f>
        <v>82.5</v>
      </c>
    </row>
    <row r="161" spans="2:10" ht="28.2" x14ac:dyDescent="0.3">
      <c r="B161" s="2" t="s">
        <v>430</v>
      </c>
      <c r="C161" s="2" t="s">
        <v>573</v>
      </c>
      <c r="D161" s="5" t="str">
        <f>IFERROR(VLOOKUP(Table4[[#This Row],[Role Type]],'Role Descriptions'!$A$1:$E$97,2,FALSE), "Missing role description data; for now, please see equivalent CrederaUS role type")</f>
        <v>Missing role description data; for now, please see equivalent CrederaUS role type</v>
      </c>
      <c r="E161" s="2" t="s">
        <v>574</v>
      </c>
      <c r="F161" s="357">
        <v>85</v>
      </c>
      <c r="G161" s="2" t="s">
        <v>119</v>
      </c>
      <c r="H161" s="1299">
        <v>190</v>
      </c>
      <c r="I161" s="1300"/>
      <c r="J161">
        <f>_xlfn.XLOOKUP(Table4[[#This Row],[Default Resource Title]],'Updated Rate Card Import'!E:E,'Updated Rate Card Import'!C:C)</f>
        <v>85</v>
      </c>
    </row>
    <row r="162" spans="2:10" x14ac:dyDescent="0.3">
      <c r="B162" s="2" t="s">
        <v>430</v>
      </c>
      <c r="C162" s="2" t="s">
        <v>329</v>
      </c>
      <c r="D162" s="5" t="str">
        <f>IFERROR(VLOOKUP(Table4[[#This Row],[Role Type]],'Role Descriptions'!$A$1:$E$97,2,FALSE), "Missing role description data; for now, please see equivalent CrederaUS role type")</f>
        <v>Engineering role for developing DevOps pipelines and automation</v>
      </c>
      <c r="E162" s="2" t="s">
        <v>575</v>
      </c>
      <c r="F162" s="357">
        <v>70</v>
      </c>
      <c r="G162" s="2" t="s">
        <v>119</v>
      </c>
      <c r="H162" s="1299">
        <v>130</v>
      </c>
      <c r="I162" s="1300"/>
      <c r="J162">
        <f>_xlfn.XLOOKUP(Table4[[#This Row],[Default Resource Title]],'Updated Rate Card Import'!E:E,'Updated Rate Card Import'!C:C)</f>
        <v>70</v>
      </c>
    </row>
    <row r="163" spans="2:10" ht="28.2" x14ac:dyDescent="0.3">
      <c r="B163" s="2" t="s">
        <v>430</v>
      </c>
      <c r="C163" s="2" t="s">
        <v>576</v>
      </c>
      <c r="D163" s="5" t="str">
        <f>IFERROR(VLOOKUP(Table4[[#This Row],[Role Type]],'Role Descriptions'!$A$1:$E$97,2,FALSE), "Missing role description data; for now, please see equivalent CrederaUS role type")</f>
        <v>Missing role description data; for now, please see equivalent CrederaUS role type</v>
      </c>
      <c r="E163" s="2" t="s">
        <v>577</v>
      </c>
      <c r="F163" s="357">
        <v>80</v>
      </c>
      <c r="G163" s="2" t="s">
        <v>119</v>
      </c>
      <c r="H163" s="1299">
        <v>160</v>
      </c>
      <c r="I163" s="1300"/>
      <c r="J163">
        <f>_xlfn.XLOOKUP(Table4[[#This Row],[Default Resource Title]],'Updated Rate Card Import'!E:E,'Updated Rate Card Import'!C:C)</f>
        <v>80</v>
      </c>
    </row>
    <row r="164" spans="2:10" ht="28.2" x14ac:dyDescent="0.3">
      <c r="B164" s="2" t="s">
        <v>430</v>
      </c>
      <c r="C164" s="2" t="s">
        <v>578</v>
      </c>
      <c r="D164" s="5" t="str">
        <f>IFERROR(VLOOKUP(Table4[[#This Row],[Role Type]],'Role Descriptions'!$A$1:$E$97,2,FALSE), "Missing role description data; for now, please see equivalent CrederaUS role type")</f>
        <v>Missing role description data; for now, please see equivalent CrederaUS role type</v>
      </c>
      <c r="E164" s="2" t="s">
        <v>579</v>
      </c>
      <c r="F164" s="357">
        <v>105</v>
      </c>
      <c r="G164" s="2" t="s">
        <v>119</v>
      </c>
      <c r="H164" s="1299">
        <v>185</v>
      </c>
      <c r="I164" s="1300"/>
      <c r="J164">
        <f>_xlfn.XLOOKUP(Table4[[#This Row],[Default Resource Title]],'Updated Rate Card Import'!E:E,'Updated Rate Card Import'!C:C)</f>
        <v>105</v>
      </c>
    </row>
    <row r="165" spans="2:10" ht="28.2" x14ac:dyDescent="0.3">
      <c r="B165" s="2" t="s">
        <v>430</v>
      </c>
      <c r="C165" s="2" t="s">
        <v>580</v>
      </c>
      <c r="D165" s="5" t="str">
        <f>IFERROR(VLOOKUP(Table4[[#This Row],[Role Type]],'Role Descriptions'!$A$1:$E$97,2,FALSE), "Missing role description data; for now, please see equivalent CrederaUS role type")</f>
        <v>Missing role description data; for now, please see equivalent CrederaUS role type</v>
      </c>
      <c r="E165" s="2" t="s">
        <v>581</v>
      </c>
      <c r="F165" s="357">
        <v>120</v>
      </c>
      <c r="G165" s="2" t="s">
        <v>119</v>
      </c>
      <c r="H165" s="1299">
        <v>235</v>
      </c>
      <c r="I165" s="1300"/>
      <c r="J165">
        <f>_xlfn.XLOOKUP(Table4[[#This Row],[Default Resource Title]],'Updated Rate Card Import'!E:E,'Updated Rate Card Import'!C:C)</f>
        <v>120</v>
      </c>
    </row>
    <row r="166" spans="2:10" ht="28.2" x14ac:dyDescent="0.3">
      <c r="B166" s="2" t="s">
        <v>430</v>
      </c>
      <c r="C166" s="2" t="s">
        <v>582</v>
      </c>
      <c r="D166" s="5" t="str">
        <f>IFERROR(VLOOKUP(Table4[[#This Row],[Role Type]],'Role Descriptions'!$A$1:$E$97,2,FALSE), "Missing role description data; for now, please see equivalent CrederaUS role type")</f>
        <v>Missing role description data; for now, please see equivalent CrederaUS role type</v>
      </c>
      <c r="E166" s="2" t="s">
        <v>583</v>
      </c>
      <c r="F166" s="357">
        <v>132.5</v>
      </c>
      <c r="G166" s="2" t="s">
        <v>119</v>
      </c>
      <c r="H166" s="1299">
        <v>265</v>
      </c>
      <c r="I166" s="1300"/>
      <c r="J166">
        <f>_xlfn.XLOOKUP(Table4[[#This Row],[Default Resource Title]],'Updated Rate Card Import'!E:E,'Updated Rate Card Import'!C:C)</f>
        <v>132.5</v>
      </c>
    </row>
    <row r="167" spans="2:10" ht="28.2" x14ac:dyDescent="0.3">
      <c r="B167" s="2" t="s">
        <v>430</v>
      </c>
      <c r="C167" s="2" t="s">
        <v>584</v>
      </c>
      <c r="D167" s="5" t="str">
        <f>IFERROR(VLOOKUP(Table4[[#This Row],[Role Type]],'Role Descriptions'!$A$1:$E$97,2,FALSE), "Missing role description data; for now, please see equivalent CrederaUS role type")</f>
        <v>Missing role description data; for now, please see equivalent CrederaUS role type</v>
      </c>
      <c r="E167" s="2" t="s">
        <v>585</v>
      </c>
      <c r="F167" s="357">
        <v>80</v>
      </c>
      <c r="G167" s="2" t="s">
        <v>119</v>
      </c>
      <c r="H167" s="1299">
        <v>135</v>
      </c>
      <c r="I167" s="1300"/>
      <c r="J167">
        <f>_xlfn.XLOOKUP(Table4[[#This Row],[Default Resource Title]],'Updated Rate Card Import'!E:E,'Updated Rate Card Import'!C:C)</f>
        <v>80</v>
      </c>
    </row>
    <row r="168" spans="2:10" ht="28.2" x14ac:dyDescent="0.3">
      <c r="B168" s="2" t="s">
        <v>430</v>
      </c>
      <c r="C168" s="2" t="s">
        <v>586</v>
      </c>
      <c r="D168" s="5" t="str">
        <f>IFERROR(VLOOKUP(Table4[[#This Row],[Role Type]],'Role Descriptions'!$A$1:$E$97,2,FALSE), "Missing role description data; for now, please see equivalent CrederaUS role type")</f>
        <v>Missing role description data; for now, please see equivalent CrederaUS role type</v>
      </c>
      <c r="E168" s="2" t="s">
        <v>587</v>
      </c>
      <c r="F168" s="357">
        <v>90</v>
      </c>
      <c r="G168" s="2" t="s">
        <v>119</v>
      </c>
      <c r="H168" s="1299">
        <v>160</v>
      </c>
      <c r="I168" s="1300"/>
      <c r="J168">
        <f>_xlfn.XLOOKUP(Table4[[#This Row],[Default Resource Title]],'Updated Rate Card Import'!E:E,'Updated Rate Card Import'!C:C)</f>
        <v>90</v>
      </c>
    </row>
    <row r="169" spans="2:10" ht="28.2" x14ac:dyDescent="0.3">
      <c r="B169" s="2" t="s">
        <v>430</v>
      </c>
      <c r="C169" s="2" t="s">
        <v>588</v>
      </c>
      <c r="D169" s="5" t="str">
        <f>IFERROR(VLOOKUP(Table4[[#This Row],[Role Type]],'Role Descriptions'!$A$1:$E$97,2,FALSE), "Missing role description data; for now, please see equivalent CrederaUS role type")</f>
        <v>Missing role description data; for now, please see equivalent CrederaUS role type</v>
      </c>
      <c r="E169" s="2" t="s">
        <v>589</v>
      </c>
      <c r="F169" s="357">
        <v>105</v>
      </c>
      <c r="G169" s="2" t="s">
        <v>119</v>
      </c>
      <c r="H169" s="1299">
        <v>185</v>
      </c>
      <c r="I169" s="1300"/>
      <c r="J169">
        <f>_xlfn.XLOOKUP(Table4[[#This Row],[Default Resource Title]],'Updated Rate Card Import'!E:E,'Updated Rate Card Import'!C:C)</f>
        <v>105</v>
      </c>
    </row>
    <row r="170" spans="2:10" ht="28.2" x14ac:dyDescent="0.3">
      <c r="B170" s="2" t="s">
        <v>430</v>
      </c>
      <c r="C170" s="2" t="s">
        <v>590</v>
      </c>
      <c r="D170" s="5" t="str">
        <f>IFERROR(VLOOKUP(Table4[[#This Row],[Role Type]],'Role Descriptions'!$A$1:$E$97,2,FALSE), "Missing role description data; for now, please see equivalent CrederaUS role type")</f>
        <v>Missing role description data; for now, please see equivalent CrederaUS role type</v>
      </c>
      <c r="E170" s="2" t="s">
        <v>591</v>
      </c>
      <c r="F170" s="357">
        <v>120</v>
      </c>
      <c r="G170" s="2" t="s">
        <v>119</v>
      </c>
      <c r="H170" s="1299">
        <v>210</v>
      </c>
      <c r="I170" s="1300"/>
      <c r="J170">
        <f>_xlfn.XLOOKUP(Table4[[#This Row],[Default Resource Title]],'Updated Rate Card Import'!E:E,'Updated Rate Card Import'!C:C)</f>
        <v>120</v>
      </c>
    </row>
    <row r="171" spans="2:10" ht="28.2" x14ac:dyDescent="0.3">
      <c r="B171" s="2" t="s">
        <v>430</v>
      </c>
      <c r="C171" s="2" t="s">
        <v>592</v>
      </c>
      <c r="D171" s="5" t="str">
        <f>IFERROR(VLOOKUP(Table4[[#This Row],[Role Type]],'Role Descriptions'!$A$1:$E$97,2,FALSE), "Missing role description data; for now, please see equivalent CrederaUS role type")</f>
        <v>Missing role description data; for now, please see equivalent CrederaUS role type</v>
      </c>
      <c r="E171" s="2" t="s">
        <v>593</v>
      </c>
      <c r="F171" s="357">
        <v>172.5</v>
      </c>
      <c r="G171" s="2" t="s">
        <v>119</v>
      </c>
      <c r="H171" s="1299">
        <v>370</v>
      </c>
      <c r="I171" s="1300"/>
      <c r="J171">
        <f>_xlfn.XLOOKUP(Table4[[#This Row],[Default Resource Title]],'Updated Rate Card Import'!E:E,'Updated Rate Card Import'!C:C)</f>
        <v>172.5</v>
      </c>
    </row>
    <row r="172" spans="2:10" ht="28.2" x14ac:dyDescent="0.3">
      <c r="B172" s="2" t="s">
        <v>283</v>
      </c>
      <c r="C172" s="2" t="s">
        <v>1469</v>
      </c>
      <c r="D172" s="5" t="str">
        <f>IFERROR(VLOOKUP(Table4[[#This Row],[Role Type]],'Role Descriptions'!$A$1:$E$97,2,FALSE), "Missing role description data; for now, please see equivalent CrederaUS role type")</f>
        <v>Missing role description data; for now, please see equivalent CrederaUS role type</v>
      </c>
      <c r="E172" s="2" t="s">
        <v>1485</v>
      </c>
      <c r="F172" s="357">
        <v>45</v>
      </c>
      <c r="G172" s="2" t="s">
        <v>120</v>
      </c>
      <c r="H172" s="1299">
        <v>120</v>
      </c>
      <c r="I172" s="1300">
        <v>2</v>
      </c>
      <c r="J172" t="e">
        <f>_xlfn.XLOOKUP(Table4[[#This Row],[Default Resource Title]],'Updated Rate Card Import'!E:E,'Updated Rate Card Import'!C:C)</f>
        <v>#N/A</v>
      </c>
    </row>
    <row r="173" spans="2:10" ht="28.2" x14ac:dyDescent="0.3">
      <c r="B173" s="2" t="s">
        <v>283</v>
      </c>
      <c r="C173" s="2" t="s">
        <v>1470</v>
      </c>
      <c r="D173" s="5" t="str">
        <f>IFERROR(VLOOKUP(Table4[[#This Row],[Role Type]],'Role Descriptions'!$A$1:$E$97,2,FALSE), "Missing role description data; for now, please see equivalent CrederaUS role type")</f>
        <v>Missing role description data; for now, please see equivalent CrederaUS role type</v>
      </c>
      <c r="E173" s="2" t="s">
        <v>1486</v>
      </c>
      <c r="F173" s="357">
        <v>45</v>
      </c>
      <c r="G173" s="2" t="s">
        <v>120</v>
      </c>
      <c r="H173" s="1299">
        <v>120</v>
      </c>
      <c r="I173" s="1300">
        <v>2</v>
      </c>
      <c r="J173" t="e">
        <f>_xlfn.XLOOKUP(Table4[[#This Row],[Default Resource Title]],'Updated Rate Card Import'!E:E,'Updated Rate Card Import'!C:C)</f>
        <v>#N/A</v>
      </c>
    </row>
    <row r="174" spans="2:10" ht="28.2" x14ac:dyDescent="0.3">
      <c r="B174" s="2" t="s">
        <v>283</v>
      </c>
      <c r="C174" s="2" t="s">
        <v>1522</v>
      </c>
      <c r="D174" s="5" t="str">
        <f>IFERROR(VLOOKUP(Table4[[#This Row],[Role Type]],'Role Descriptions'!$A$1:$E$97,2,FALSE), "Missing role description data; for now, please see equivalent CrederaUS role type")</f>
        <v>Missing role description data; for now, please see equivalent CrederaUS role type</v>
      </c>
      <c r="E174" s="2" t="s">
        <v>1539</v>
      </c>
      <c r="F174" s="357">
        <v>45</v>
      </c>
      <c r="G174" s="2" t="s">
        <v>120</v>
      </c>
      <c r="H174" s="1299">
        <v>120</v>
      </c>
      <c r="I174" s="1300">
        <v>3</v>
      </c>
      <c r="J174">
        <f>_xlfn.XLOOKUP(Table4[[#This Row],[Default Resource Title]],'Updated Rate Card Import'!E:E,'Updated Rate Card Import'!C:C)</f>
        <v>45</v>
      </c>
    </row>
    <row r="175" spans="2:10" ht="28.2" x14ac:dyDescent="0.3">
      <c r="B175" s="2" t="s">
        <v>283</v>
      </c>
      <c r="C175" s="2" t="s">
        <v>1523</v>
      </c>
      <c r="D175" s="5" t="str">
        <f>IFERROR(VLOOKUP(Table4[[#This Row],[Role Type]],'Role Descriptions'!$A$1:$E$97,2,FALSE), "Missing role description data; for now, please see equivalent CrederaUS role type")</f>
        <v>Missing role description data; for now, please see equivalent CrederaUS role type</v>
      </c>
      <c r="E175" s="2" t="s">
        <v>1540</v>
      </c>
      <c r="F175" s="357">
        <v>45</v>
      </c>
      <c r="G175" s="2" t="s">
        <v>120</v>
      </c>
      <c r="H175" s="1299">
        <v>120</v>
      </c>
      <c r="I175" s="1300">
        <v>3</v>
      </c>
      <c r="J175">
        <f>_xlfn.XLOOKUP(Table4[[#This Row],[Default Resource Title]],'Updated Rate Card Import'!E:E,'Updated Rate Card Import'!C:C)</f>
        <v>45</v>
      </c>
    </row>
    <row r="176" spans="2:10" ht="28.2" x14ac:dyDescent="0.3">
      <c r="B176" s="2" t="s">
        <v>283</v>
      </c>
      <c r="C176" s="2" t="s">
        <v>1603</v>
      </c>
      <c r="D176" s="5" t="str">
        <f>IFERROR(VLOOKUP(Table4[[#This Row],[Role Type]],'Role Descriptions'!$A$1:$E$97,2,FALSE), "Missing role description data; for now, please see equivalent CrederaUS role type")</f>
        <v>Missing role description data; for now, please see equivalent CrederaUS role type</v>
      </c>
      <c r="E176" s="2" t="s">
        <v>1580</v>
      </c>
      <c r="F176" s="357">
        <v>60</v>
      </c>
      <c r="G176" s="2" t="s">
        <v>120</v>
      </c>
      <c r="H176" s="1299">
        <v>134</v>
      </c>
      <c r="I176" s="1300">
        <v>4</v>
      </c>
      <c r="J176">
        <f>_xlfn.XLOOKUP(Table4[[#This Row],[Default Resource Title]],'Updated Rate Card Import'!E:E,'Updated Rate Card Import'!C:C)</f>
        <v>60</v>
      </c>
    </row>
    <row r="177" spans="2:10" ht="28.2" x14ac:dyDescent="0.3">
      <c r="B177" s="2" t="s">
        <v>283</v>
      </c>
      <c r="C177" s="2" t="s">
        <v>1612</v>
      </c>
      <c r="D177" s="5" t="str">
        <f>IFERROR(VLOOKUP(Table4[[#This Row],[Role Type]],'Role Descriptions'!$A$1:$E$97,2,FALSE), "Missing role description data; for now, please see equivalent CrederaUS role type")</f>
        <v>Missing role description data; for now, please see equivalent CrederaUS role type</v>
      </c>
      <c r="E177" s="2" t="s">
        <v>1622</v>
      </c>
      <c r="F177" s="357">
        <v>70</v>
      </c>
      <c r="G177" s="2" t="s">
        <v>120</v>
      </c>
      <c r="H177" s="1299">
        <v>140</v>
      </c>
      <c r="I177" s="1300">
        <v>5</v>
      </c>
      <c r="J177">
        <f>_xlfn.XLOOKUP(Table4[[#This Row],[Default Resource Title]],'Updated Rate Card Import'!E:E,'Updated Rate Card Import'!C:C)</f>
        <v>70</v>
      </c>
    </row>
    <row r="178" spans="2:10" ht="28.2" x14ac:dyDescent="0.3">
      <c r="B178" s="2" t="s">
        <v>283</v>
      </c>
      <c r="C178" s="2" t="s">
        <v>1662</v>
      </c>
      <c r="D178" s="5" t="str">
        <f>IFERROR(VLOOKUP(Table4[[#This Row],[Role Type]],'Role Descriptions'!$A$1:$E$97,2,FALSE), "Missing role description data; for now, please see equivalent CrederaUS role type")</f>
        <v>Missing role description data; for now, please see equivalent CrederaUS role type</v>
      </c>
      <c r="E178" s="2" t="s">
        <v>1644</v>
      </c>
      <c r="F178" s="357">
        <v>85</v>
      </c>
      <c r="G178" s="2" t="s">
        <v>120</v>
      </c>
      <c r="H178" s="1299">
        <v>155</v>
      </c>
      <c r="I178" s="1300">
        <v>6</v>
      </c>
      <c r="J178">
        <f>_xlfn.XLOOKUP(Table4[[#This Row],[Default Resource Title]],'Updated Rate Card Import'!E:E,'Updated Rate Card Import'!C:C)</f>
        <v>85</v>
      </c>
    </row>
    <row r="179" spans="2:10" ht="28.2" x14ac:dyDescent="0.3">
      <c r="B179" s="2" t="s">
        <v>283</v>
      </c>
      <c r="C179" s="2" t="s">
        <v>1471</v>
      </c>
      <c r="D179" s="5" t="str">
        <f>IFERROR(VLOOKUP(Table4[[#This Row],[Role Type]],'Role Descriptions'!$A$1:$E$97,2,FALSE), "Missing role description data; for now, please see equivalent CrederaUS role type")</f>
        <v>Missing role description data; for now, please see equivalent CrederaUS role type</v>
      </c>
      <c r="E179" s="2" t="s">
        <v>1487</v>
      </c>
      <c r="F179" s="357">
        <v>45</v>
      </c>
      <c r="G179" s="2" t="s">
        <v>120</v>
      </c>
      <c r="H179" s="1299">
        <v>120</v>
      </c>
      <c r="I179" s="1300">
        <v>2</v>
      </c>
      <c r="J179" t="e">
        <f>_xlfn.XLOOKUP(Table4[[#This Row],[Default Resource Title]],'Updated Rate Card Import'!E:E,'Updated Rate Card Import'!C:C)</f>
        <v>#N/A</v>
      </c>
    </row>
    <row r="180" spans="2:10" ht="28.2" x14ac:dyDescent="0.3">
      <c r="B180" s="2" t="s">
        <v>283</v>
      </c>
      <c r="C180" s="2" t="s">
        <v>1472</v>
      </c>
      <c r="D180" s="5" t="str">
        <f>IFERROR(VLOOKUP(Table4[[#This Row],[Role Type]],'Role Descriptions'!$A$1:$E$97,2,FALSE), "Missing role description data; for now, please see equivalent CrederaUS role type")</f>
        <v>Missing role description data; for now, please see equivalent CrederaUS role type</v>
      </c>
      <c r="E180" s="2" t="s">
        <v>1488</v>
      </c>
      <c r="F180" s="357">
        <v>45</v>
      </c>
      <c r="G180" s="2" t="s">
        <v>120</v>
      </c>
      <c r="H180" s="1299">
        <v>120</v>
      </c>
      <c r="I180" s="1300">
        <v>2</v>
      </c>
      <c r="J180" t="e">
        <f>_xlfn.XLOOKUP(Table4[[#This Row],[Default Resource Title]],'Updated Rate Card Import'!E:E,'Updated Rate Card Import'!C:C)</f>
        <v>#N/A</v>
      </c>
    </row>
    <row r="181" spans="2:10" ht="28.2" x14ac:dyDescent="0.3">
      <c r="B181" s="2" t="s">
        <v>283</v>
      </c>
      <c r="C181" s="2" t="s">
        <v>1524</v>
      </c>
      <c r="D181" s="5" t="str">
        <f>IFERROR(VLOOKUP(Table4[[#This Row],[Role Type]],'Role Descriptions'!$A$1:$E$97,2,FALSE), "Missing role description data; for now, please see equivalent CrederaUS role type")</f>
        <v>Missing role description data; for now, please see equivalent CrederaUS role type</v>
      </c>
      <c r="E181" s="2" t="s">
        <v>1541</v>
      </c>
      <c r="F181" s="357">
        <v>45</v>
      </c>
      <c r="G181" s="2" t="s">
        <v>120</v>
      </c>
      <c r="H181" s="1299">
        <v>120</v>
      </c>
      <c r="I181" s="1300">
        <v>3</v>
      </c>
      <c r="J181">
        <f>_xlfn.XLOOKUP(Table4[[#This Row],[Default Resource Title]],'Updated Rate Card Import'!E:E,'Updated Rate Card Import'!C:C)</f>
        <v>45</v>
      </c>
    </row>
    <row r="182" spans="2:10" ht="28.2" x14ac:dyDescent="0.3">
      <c r="B182" s="2" t="s">
        <v>283</v>
      </c>
      <c r="C182" s="2" t="s">
        <v>1525</v>
      </c>
      <c r="D182" s="5" t="str">
        <f>IFERROR(VLOOKUP(Table4[[#This Row],[Role Type]],'Role Descriptions'!$A$1:$E$97,2,FALSE), "Missing role description data; for now, please see equivalent CrederaUS role type")</f>
        <v>Missing role description data; for now, please see equivalent CrederaUS role type</v>
      </c>
      <c r="E182" s="2" t="s">
        <v>1542</v>
      </c>
      <c r="F182" s="357">
        <v>45</v>
      </c>
      <c r="G182" s="2" t="s">
        <v>120</v>
      </c>
      <c r="H182" s="1299">
        <v>120</v>
      </c>
      <c r="I182" s="1300">
        <v>3</v>
      </c>
      <c r="J182">
        <f>_xlfn.XLOOKUP(Table4[[#This Row],[Default Resource Title]],'Updated Rate Card Import'!E:E,'Updated Rate Card Import'!C:C)</f>
        <v>45</v>
      </c>
    </row>
    <row r="183" spans="2:10" ht="28.2" x14ac:dyDescent="0.3">
      <c r="B183" s="2" t="s">
        <v>283</v>
      </c>
      <c r="C183" s="2" t="s">
        <v>1604</v>
      </c>
      <c r="D183" s="5" t="str">
        <f>IFERROR(VLOOKUP(Table4[[#This Row],[Role Type]],'Role Descriptions'!$A$1:$E$97,2,FALSE), "Missing role description data; for now, please see equivalent CrederaUS role type")</f>
        <v>Missing role description data; for now, please see equivalent CrederaUS role type</v>
      </c>
      <c r="E183" s="2" t="s">
        <v>1581</v>
      </c>
      <c r="F183" s="357">
        <v>60</v>
      </c>
      <c r="G183" s="2" t="s">
        <v>120</v>
      </c>
      <c r="H183" s="1299">
        <v>134</v>
      </c>
      <c r="I183" s="1300">
        <v>4</v>
      </c>
      <c r="J183">
        <f>_xlfn.XLOOKUP(Table4[[#This Row],[Default Resource Title]],'Updated Rate Card Import'!E:E,'Updated Rate Card Import'!C:C)</f>
        <v>60</v>
      </c>
    </row>
    <row r="184" spans="2:10" ht="28.2" x14ac:dyDescent="0.3">
      <c r="B184" s="2" t="s">
        <v>283</v>
      </c>
      <c r="C184" s="2" t="s">
        <v>1613</v>
      </c>
      <c r="D184" s="5" t="str">
        <f>IFERROR(VLOOKUP(Table4[[#This Row],[Role Type]],'Role Descriptions'!$A$1:$E$97,2,FALSE), "Missing role description data; for now, please see equivalent CrederaUS role type")</f>
        <v>Missing role description data; for now, please see equivalent CrederaUS role type</v>
      </c>
      <c r="E184" s="2" t="s">
        <v>1623</v>
      </c>
      <c r="F184" s="357">
        <v>70</v>
      </c>
      <c r="G184" s="2" t="s">
        <v>120</v>
      </c>
      <c r="H184" s="1299">
        <v>140</v>
      </c>
      <c r="I184" s="1300">
        <v>5</v>
      </c>
      <c r="J184">
        <f>_xlfn.XLOOKUP(Table4[[#This Row],[Default Resource Title]],'Updated Rate Card Import'!E:E,'Updated Rate Card Import'!C:C)</f>
        <v>70</v>
      </c>
    </row>
    <row r="185" spans="2:10" ht="28.2" x14ac:dyDescent="0.3">
      <c r="B185" s="2" t="s">
        <v>283</v>
      </c>
      <c r="C185" s="2" t="s">
        <v>1663</v>
      </c>
      <c r="D185" s="5" t="str">
        <f>IFERROR(VLOOKUP(Table4[[#This Row],[Role Type]],'Role Descriptions'!$A$1:$E$97,2,FALSE), "Missing role description data; for now, please see equivalent CrederaUS role type")</f>
        <v>Missing role description data; for now, please see equivalent CrederaUS role type</v>
      </c>
      <c r="E185" s="2" t="s">
        <v>1645</v>
      </c>
      <c r="F185" s="357">
        <v>85</v>
      </c>
      <c r="G185" s="2" t="s">
        <v>120</v>
      </c>
      <c r="H185" s="1299">
        <v>155</v>
      </c>
      <c r="I185" s="1300">
        <v>6</v>
      </c>
      <c r="J185">
        <f>_xlfn.XLOOKUP(Table4[[#This Row],[Default Resource Title]],'Updated Rate Card Import'!E:E,'Updated Rate Card Import'!C:C)</f>
        <v>85</v>
      </c>
    </row>
    <row r="186" spans="2:10" ht="28.2" x14ac:dyDescent="0.3">
      <c r="B186" s="2" t="s">
        <v>283</v>
      </c>
      <c r="C186" s="2" t="s">
        <v>1473</v>
      </c>
      <c r="D186" s="5" t="str">
        <f>IFERROR(VLOOKUP(Table4[[#This Row],[Role Type]],'Role Descriptions'!$A$1:$E$97,2,FALSE), "Missing role description data; for now, please see equivalent CrederaUS role type")</f>
        <v>Missing role description data; for now, please see equivalent CrederaUS role type</v>
      </c>
      <c r="E186" s="2" t="s">
        <v>1489</v>
      </c>
      <c r="F186" s="357">
        <v>45</v>
      </c>
      <c r="G186" s="2" t="s">
        <v>120</v>
      </c>
      <c r="H186" s="1299">
        <v>122</v>
      </c>
      <c r="I186" s="1300">
        <v>2</v>
      </c>
      <c r="J186" t="e">
        <f>_xlfn.XLOOKUP(Table4[[#This Row],[Default Resource Title]],'Updated Rate Card Import'!E:E,'Updated Rate Card Import'!C:C)</f>
        <v>#N/A</v>
      </c>
    </row>
    <row r="187" spans="2:10" ht="28.2" x14ac:dyDescent="0.3">
      <c r="B187" s="2" t="s">
        <v>283</v>
      </c>
      <c r="C187" s="2" t="s">
        <v>1526</v>
      </c>
      <c r="D187" s="5" t="str">
        <f>IFERROR(VLOOKUP(Table4[[#This Row],[Role Type]],'Role Descriptions'!$A$1:$E$97,2,FALSE), "Missing role description data; for now, please see equivalent CrederaUS role type")</f>
        <v>Missing role description data; for now, please see equivalent CrederaUS role type</v>
      </c>
      <c r="E187" s="2" t="s">
        <v>1543</v>
      </c>
      <c r="F187" s="357">
        <v>50</v>
      </c>
      <c r="G187" s="2" t="s">
        <v>120</v>
      </c>
      <c r="H187" s="1299">
        <v>136</v>
      </c>
      <c r="I187" s="1300">
        <v>3</v>
      </c>
      <c r="J187">
        <f>_xlfn.XLOOKUP(Table4[[#This Row],[Default Resource Title]],'Updated Rate Card Import'!E:E,'Updated Rate Card Import'!C:C)</f>
        <v>50</v>
      </c>
    </row>
    <row r="188" spans="2:10" ht="28.2" x14ac:dyDescent="0.3">
      <c r="B188" s="2" t="s">
        <v>283</v>
      </c>
      <c r="C188" s="2" t="s">
        <v>1527</v>
      </c>
      <c r="D188" s="5" t="str">
        <f>IFERROR(VLOOKUP(Table4[[#This Row],[Role Type]],'Role Descriptions'!$A$1:$E$97,2,FALSE), "Missing role description data; for now, please see equivalent CrederaUS role type")</f>
        <v>Missing role description data; for now, please see equivalent CrederaUS role type</v>
      </c>
      <c r="E188" s="2" t="s">
        <v>1544</v>
      </c>
      <c r="F188" s="357">
        <v>50</v>
      </c>
      <c r="G188" s="2" t="s">
        <v>120</v>
      </c>
      <c r="H188" s="1299">
        <v>136</v>
      </c>
      <c r="I188" s="1300">
        <v>3</v>
      </c>
      <c r="J188">
        <f>_xlfn.XLOOKUP(Table4[[#This Row],[Default Resource Title]],'Updated Rate Card Import'!E:E,'Updated Rate Card Import'!C:C)</f>
        <v>50</v>
      </c>
    </row>
    <row r="189" spans="2:10" ht="28.2" x14ac:dyDescent="0.3">
      <c r="B189" s="2" t="s">
        <v>283</v>
      </c>
      <c r="C189" s="2" t="s">
        <v>595</v>
      </c>
      <c r="D189" s="5" t="str">
        <f>IFERROR(VLOOKUP(Table4[[#This Row],[Role Type]],'Role Descriptions'!$A$1:$E$97,2,FALSE), "Missing role description data; for now, please see equivalent CrederaUS role type")</f>
        <v>Missing role description data; for now, please see equivalent CrederaUS role type</v>
      </c>
      <c r="E189" s="2" t="s">
        <v>1582</v>
      </c>
      <c r="F189" s="357">
        <v>55</v>
      </c>
      <c r="G189" s="2" t="s">
        <v>120</v>
      </c>
      <c r="H189" s="1299">
        <v>138</v>
      </c>
      <c r="I189" s="1300">
        <v>4</v>
      </c>
      <c r="J189">
        <f>_xlfn.XLOOKUP(Table4[[#This Row],[Default Resource Title]],'Updated Rate Card Import'!E:E,'Updated Rate Card Import'!C:C)</f>
        <v>55</v>
      </c>
    </row>
    <row r="190" spans="2:10" ht="28.2" x14ac:dyDescent="0.3">
      <c r="B190" s="2" t="s">
        <v>283</v>
      </c>
      <c r="C190" s="2" t="s">
        <v>596</v>
      </c>
      <c r="D190" s="5" t="str">
        <f>IFERROR(VLOOKUP(Table4[[#This Row],[Role Type]],'Role Descriptions'!$A$1:$E$97,2,FALSE), "Missing role description data; for now, please see equivalent CrederaUS role type")</f>
        <v>Missing role description data; for now, please see equivalent CrederaUS role type</v>
      </c>
      <c r="E190" s="2" t="s">
        <v>1545</v>
      </c>
      <c r="F190" s="357">
        <v>50</v>
      </c>
      <c r="G190" s="2" t="s">
        <v>120</v>
      </c>
      <c r="H190" s="1299">
        <v>136</v>
      </c>
      <c r="I190" s="1300">
        <v>3</v>
      </c>
      <c r="J190">
        <f>_xlfn.XLOOKUP(Table4[[#This Row],[Default Resource Title]],'Updated Rate Card Import'!E:E,'Updated Rate Card Import'!C:C)</f>
        <v>50</v>
      </c>
    </row>
    <row r="191" spans="2:10" ht="28.2" x14ac:dyDescent="0.3">
      <c r="B191" s="2" t="s">
        <v>283</v>
      </c>
      <c r="C191" s="32" t="s">
        <v>597</v>
      </c>
      <c r="D191" s="5" t="str">
        <f>IFERROR(VLOOKUP(Table4[[#This Row],[Role Type]],'Role Descriptions'!$A$1:$E$97,2,FALSE), "Missing role description data; for now, please see equivalent CrederaUS role type")</f>
        <v>Missing role description data; for now, please see equivalent CrederaUS role type</v>
      </c>
      <c r="E191" s="32" t="s">
        <v>1583</v>
      </c>
      <c r="F191" s="357">
        <v>55</v>
      </c>
      <c r="G191" s="2" t="s">
        <v>120</v>
      </c>
      <c r="H191" s="1299">
        <v>138</v>
      </c>
      <c r="I191" s="1300">
        <v>4</v>
      </c>
      <c r="J191">
        <f>_xlfn.XLOOKUP(Table4[[#This Row],[Default Resource Title]],'Updated Rate Card Import'!E:E,'Updated Rate Card Import'!C:C)</f>
        <v>55</v>
      </c>
    </row>
    <row r="192" spans="2:10" ht="28.2" x14ac:dyDescent="0.3">
      <c r="B192" s="2" t="s">
        <v>283</v>
      </c>
      <c r="C192" s="32" t="s">
        <v>1474</v>
      </c>
      <c r="D192" s="5" t="str">
        <f>IFERROR(VLOOKUP(Table4[[#This Row],[Role Type]],'Role Descriptions'!$A$1:$E$97,2,FALSE), "Missing role description data; for now, please see equivalent CrederaUS role type")</f>
        <v>Missing role description data; for now, please see equivalent CrederaUS role type</v>
      </c>
      <c r="E192" s="32" t="s">
        <v>1490</v>
      </c>
      <c r="F192" s="357">
        <v>45</v>
      </c>
      <c r="G192" s="2" t="s">
        <v>120</v>
      </c>
      <c r="H192" s="1299">
        <v>120</v>
      </c>
      <c r="I192" s="1300">
        <v>2</v>
      </c>
      <c r="J192" t="e">
        <f>_xlfn.XLOOKUP(Table4[[#This Row],[Default Resource Title]],'Updated Rate Card Import'!E:E,'Updated Rate Card Import'!C:C)</f>
        <v>#N/A</v>
      </c>
    </row>
    <row r="193" spans="2:10" ht="28.2" x14ac:dyDescent="0.3">
      <c r="B193" s="2" t="s">
        <v>283</v>
      </c>
      <c r="C193" s="32" t="s">
        <v>1475</v>
      </c>
      <c r="D193" s="5" t="str">
        <f>IFERROR(VLOOKUP(Table4[[#This Row],[Role Type]],'Role Descriptions'!$A$1:$E$97,2,FALSE), "Missing role description data; for now, please see equivalent CrederaUS role type")</f>
        <v>Missing role description data; for now, please see equivalent CrederaUS role type</v>
      </c>
      <c r="E193" s="32" t="s">
        <v>1491</v>
      </c>
      <c r="F193" s="357">
        <v>45</v>
      </c>
      <c r="G193" s="2" t="s">
        <v>120</v>
      </c>
      <c r="H193" s="1299">
        <v>120</v>
      </c>
      <c r="I193" s="1300">
        <v>2</v>
      </c>
      <c r="J193" t="e">
        <f>_xlfn.XLOOKUP(Table4[[#This Row],[Default Resource Title]],'Updated Rate Card Import'!E:E,'Updated Rate Card Import'!C:C)</f>
        <v>#N/A</v>
      </c>
    </row>
    <row r="194" spans="2:10" ht="28.2" x14ac:dyDescent="0.3">
      <c r="B194" s="2" t="s">
        <v>283</v>
      </c>
      <c r="C194" s="32" t="s">
        <v>1528</v>
      </c>
      <c r="D194" s="5" t="str">
        <f>IFERROR(VLOOKUP(Table4[[#This Row],[Role Type]],'Role Descriptions'!$A$1:$E$97,2,FALSE), "Missing role description data; for now, please see equivalent CrederaUS role type")</f>
        <v>Missing role description data; for now, please see equivalent CrederaUS role type</v>
      </c>
      <c r="E194" s="32" t="s">
        <v>1546</v>
      </c>
      <c r="F194" s="357">
        <v>45</v>
      </c>
      <c r="G194" s="2" t="s">
        <v>120</v>
      </c>
      <c r="H194" s="1299">
        <v>120</v>
      </c>
      <c r="I194" s="1300">
        <v>3</v>
      </c>
      <c r="J194">
        <f>_xlfn.XLOOKUP(Table4[[#This Row],[Default Resource Title]],'Updated Rate Card Import'!E:E,'Updated Rate Card Import'!C:C)</f>
        <v>45</v>
      </c>
    </row>
    <row r="195" spans="2:10" ht="28.2" x14ac:dyDescent="0.3">
      <c r="B195" s="2" t="s">
        <v>283</v>
      </c>
      <c r="C195" s="32" t="s">
        <v>1529</v>
      </c>
      <c r="D195" s="5" t="str">
        <f>IFERROR(VLOOKUP(Table4[[#This Row],[Role Type]],'Role Descriptions'!$A$1:$E$97,2,FALSE), "Missing role description data; for now, please see equivalent CrederaUS role type")</f>
        <v>Missing role description data; for now, please see equivalent CrederaUS role type</v>
      </c>
      <c r="E195" s="32" t="s">
        <v>1547</v>
      </c>
      <c r="F195" s="357">
        <v>45</v>
      </c>
      <c r="G195" s="2" t="s">
        <v>120</v>
      </c>
      <c r="H195" s="1299">
        <v>120</v>
      </c>
      <c r="I195" s="1300">
        <v>3</v>
      </c>
      <c r="J195">
        <f>_xlfn.XLOOKUP(Table4[[#This Row],[Default Resource Title]],'Updated Rate Card Import'!E:E,'Updated Rate Card Import'!C:C)</f>
        <v>45</v>
      </c>
    </row>
    <row r="196" spans="2:10" ht="28.2" x14ac:dyDescent="0.3">
      <c r="B196" s="2" t="s">
        <v>283</v>
      </c>
      <c r="C196" s="32" t="s">
        <v>1605</v>
      </c>
      <c r="D196" s="5" t="str">
        <f>IFERROR(VLOOKUP(Table4[[#This Row],[Role Type]],'Role Descriptions'!$A$1:$E$97,2,FALSE), "Missing role description data; for now, please see equivalent CrederaUS role type")</f>
        <v>Missing role description data; for now, please see equivalent CrederaUS role type</v>
      </c>
      <c r="E196" s="32" t="s">
        <v>1584</v>
      </c>
      <c r="F196" s="357">
        <v>60</v>
      </c>
      <c r="G196" s="2" t="s">
        <v>120</v>
      </c>
      <c r="H196" s="1299">
        <v>134</v>
      </c>
      <c r="I196" s="1300">
        <v>4</v>
      </c>
      <c r="J196">
        <f>_xlfn.XLOOKUP(Table4[[#This Row],[Default Resource Title]],'Updated Rate Card Import'!E:E,'Updated Rate Card Import'!C:C)</f>
        <v>60</v>
      </c>
    </row>
    <row r="197" spans="2:10" ht="28.2" x14ac:dyDescent="0.3">
      <c r="B197" s="2" t="s">
        <v>283</v>
      </c>
      <c r="C197" s="32" t="s">
        <v>1614</v>
      </c>
      <c r="D197" s="5" t="str">
        <f>IFERROR(VLOOKUP(Table4[[#This Row],[Role Type]],'Role Descriptions'!$A$1:$E$97,2,FALSE), "Missing role description data; for now, please see equivalent CrederaUS role type")</f>
        <v>Missing role description data; for now, please see equivalent CrederaUS role type</v>
      </c>
      <c r="E197" s="32" t="s">
        <v>1624</v>
      </c>
      <c r="F197" s="357">
        <v>70</v>
      </c>
      <c r="G197" s="2" t="s">
        <v>120</v>
      </c>
      <c r="H197" s="1299">
        <v>140</v>
      </c>
      <c r="I197" s="1300">
        <v>5</v>
      </c>
      <c r="J197">
        <f>_xlfn.XLOOKUP(Table4[[#This Row],[Default Resource Title]],'Updated Rate Card Import'!E:E,'Updated Rate Card Import'!C:C)</f>
        <v>70</v>
      </c>
    </row>
    <row r="198" spans="2:10" ht="28.2" x14ac:dyDescent="0.3">
      <c r="B198" s="2" t="s">
        <v>283</v>
      </c>
      <c r="C198" s="32" t="s">
        <v>1664</v>
      </c>
      <c r="D198" s="5" t="str">
        <f>IFERROR(VLOOKUP(Table4[[#This Row],[Role Type]],'Role Descriptions'!$A$1:$E$97,2,FALSE), "Missing role description data; for now, please see equivalent CrederaUS role type")</f>
        <v>Missing role description data; for now, please see equivalent CrederaUS role type</v>
      </c>
      <c r="E198" s="32" t="s">
        <v>1646</v>
      </c>
      <c r="F198" s="357">
        <v>85</v>
      </c>
      <c r="G198" s="2" t="s">
        <v>120</v>
      </c>
      <c r="H198" s="1299">
        <v>155</v>
      </c>
      <c r="I198" s="1300">
        <v>6</v>
      </c>
      <c r="J198">
        <f>_xlfn.XLOOKUP(Table4[[#This Row],[Default Resource Title]],'Updated Rate Card Import'!E:E,'Updated Rate Card Import'!C:C)</f>
        <v>85</v>
      </c>
    </row>
    <row r="199" spans="2:10" ht="28.2" x14ac:dyDescent="0.3">
      <c r="B199" s="2" t="s">
        <v>294</v>
      </c>
      <c r="C199" s="32" t="s">
        <v>1469</v>
      </c>
      <c r="D199" s="5" t="str">
        <f>IFERROR(VLOOKUP(Table4[[#This Row],[Role Type]],'Role Descriptions'!$A$1:$E$97,2,FALSE), "Missing role description data; for now, please see equivalent CrederaUS role type")</f>
        <v>Missing role description data; for now, please see equivalent CrederaUS role type</v>
      </c>
      <c r="E199" s="32" t="s">
        <v>1492</v>
      </c>
      <c r="F199" s="357">
        <v>13</v>
      </c>
      <c r="G199" s="2" t="s">
        <v>120</v>
      </c>
      <c r="H199" s="1299">
        <v>36</v>
      </c>
      <c r="I199" s="1300">
        <v>2</v>
      </c>
      <c r="J199" t="e">
        <f>_xlfn.XLOOKUP(Table4[[#This Row],[Default Resource Title]],'Updated Rate Card Import'!E:E,'Updated Rate Card Import'!C:C)</f>
        <v>#N/A</v>
      </c>
    </row>
    <row r="200" spans="2:10" ht="28.2" x14ac:dyDescent="0.3">
      <c r="B200" s="2" t="s">
        <v>294</v>
      </c>
      <c r="C200" s="32" t="s">
        <v>1470</v>
      </c>
      <c r="D200" s="5" t="str">
        <f>IFERROR(VLOOKUP(Table4[[#This Row],[Role Type]],'Role Descriptions'!$A$1:$E$97,2,FALSE), "Missing role description data; for now, please see equivalent CrederaUS role type")</f>
        <v>Missing role description data; for now, please see equivalent CrederaUS role type</v>
      </c>
      <c r="E200" s="32" t="s">
        <v>1493</v>
      </c>
      <c r="F200" s="357">
        <v>21</v>
      </c>
      <c r="G200" s="2" t="s">
        <v>120</v>
      </c>
      <c r="H200" s="1299">
        <v>57</v>
      </c>
      <c r="I200" s="1300">
        <v>2</v>
      </c>
      <c r="J200" t="e">
        <f>_xlfn.XLOOKUP(Table4[[#This Row],[Default Resource Title]],'Updated Rate Card Import'!E:E,'Updated Rate Card Import'!C:C)</f>
        <v>#N/A</v>
      </c>
    </row>
    <row r="201" spans="2:10" ht="28.2" x14ac:dyDescent="0.3">
      <c r="B201" s="2" t="s">
        <v>294</v>
      </c>
      <c r="C201" s="2" t="s">
        <v>1522</v>
      </c>
      <c r="D201" s="5" t="str">
        <f>IFERROR(VLOOKUP(Table4[[#This Row],[Role Type]],'Role Descriptions'!$A$1:$E$97,2,FALSE), "Missing role description data; for now, please see equivalent CrederaUS role type")</f>
        <v>Missing role description data; for now, please see equivalent CrederaUS role type</v>
      </c>
      <c r="E201" s="2" t="s">
        <v>1548</v>
      </c>
      <c r="F201" s="357">
        <v>39</v>
      </c>
      <c r="G201" s="2" t="s">
        <v>120</v>
      </c>
      <c r="H201" s="1299">
        <v>87</v>
      </c>
      <c r="I201" s="1300">
        <v>3</v>
      </c>
      <c r="J201">
        <f>_xlfn.XLOOKUP(Table4[[#This Row],[Default Resource Title]],'Updated Rate Card Import'!E:E,'Updated Rate Card Import'!C:C)</f>
        <v>39</v>
      </c>
    </row>
    <row r="202" spans="2:10" ht="28.2" x14ac:dyDescent="0.3">
      <c r="B202" s="2" t="s">
        <v>294</v>
      </c>
      <c r="C202" s="2" t="s">
        <v>1523</v>
      </c>
      <c r="D202" s="5" t="str">
        <f>IFERROR(VLOOKUP(Table4[[#This Row],[Role Type]],'Role Descriptions'!$A$1:$E$97,2,FALSE), "Missing role description data; for now, please see equivalent CrederaUS role type")</f>
        <v>Missing role description data; for now, please see equivalent CrederaUS role type</v>
      </c>
      <c r="E202" s="2" t="s">
        <v>1549</v>
      </c>
      <c r="F202" s="357">
        <v>49</v>
      </c>
      <c r="G202" s="2" t="s">
        <v>120</v>
      </c>
      <c r="H202" s="1299">
        <v>103</v>
      </c>
      <c r="I202" s="1300">
        <v>3</v>
      </c>
      <c r="J202">
        <f>_xlfn.XLOOKUP(Table4[[#This Row],[Default Resource Title]],'Updated Rate Card Import'!E:E,'Updated Rate Card Import'!C:C)</f>
        <v>49</v>
      </c>
    </row>
    <row r="203" spans="2:10" ht="28.2" x14ac:dyDescent="0.3">
      <c r="B203" s="2" t="s">
        <v>294</v>
      </c>
      <c r="C203" s="2" t="s">
        <v>1603</v>
      </c>
      <c r="D203" s="5" t="str">
        <f>IFERROR(VLOOKUP(Table4[[#This Row],[Role Type]],'Role Descriptions'!$A$1:$E$97,2,FALSE), "Missing role description data; for now, please see equivalent CrederaUS role type")</f>
        <v>Missing role description data; for now, please see equivalent CrederaUS role type</v>
      </c>
      <c r="E203" s="2" t="s">
        <v>1585</v>
      </c>
      <c r="F203" s="357">
        <v>60</v>
      </c>
      <c r="G203" s="2" t="s">
        <v>120</v>
      </c>
      <c r="H203" s="1299">
        <v>120</v>
      </c>
      <c r="I203" s="1300">
        <v>4</v>
      </c>
      <c r="J203">
        <f>_xlfn.XLOOKUP(Table4[[#This Row],[Default Resource Title]],'Updated Rate Card Import'!E:E,'Updated Rate Card Import'!C:C)</f>
        <v>60</v>
      </c>
    </row>
    <row r="204" spans="2:10" ht="28.2" x14ac:dyDescent="0.3">
      <c r="B204" s="2" t="s">
        <v>294</v>
      </c>
      <c r="C204" s="2" t="s">
        <v>1612</v>
      </c>
      <c r="D204" s="5" t="str">
        <f>IFERROR(VLOOKUP(Table4[[#This Row],[Role Type]],'Role Descriptions'!$A$1:$E$97,2,FALSE), "Missing role description data; for now, please see equivalent CrederaUS role type")</f>
        <v>Missing role description data; for now, please see equivalent CrederaUS role type</v>
      </c>
      <c r="E204" s="2" t="s">
        <v>1625</v>
      </c>
      <c r="F204" s="357">
        <v>81</v>
      </c>
      <c r="G204" s="2" t="s">
        <v>120</v>
      </c>
      <c r="H204" s="1299">
        <v>148</v>
      </c>
      <c r="I204" s="1300">
        <v>5</v>
      </c>
      <c r="J204">
        <f>_xlfn.XLOOKUP(Table4[[#This Row],[Default Resource Title]],'Updated Rate Card Import'!E:E,'Updated Rate Card Import'!C:C)</f>
        <v>81</v>
      </c>
    </row>
    <row r="205" spans="2:10" ht="28.2" x14ac:dyDescent="0.3">
      <c r="B205" s="2" t="s">
        <v>294</v>
      </c>
      <c r="C205" s="2" t="s">
        <v>1662</v>
      </c>
      <c r="D205" s="5" t="str">
        <f>IFERROR(VLOOKUP(Table4[[#This Row],[Role Type]],'Role Descriptions'!$A$1:$E$97,2,FALSE), "Missing role description data; for now, please see equivalent CrederaUS role type")</f>
        <v>Missing role description data; for now, please see equivalent CrederaUS role type</v>
      </c>
      <c r="E205" s="2" t="s">
        <v>1647</v>
      </c>
      <c r="F205" s="357">
        <v>99</v>
      </c>
      <c r="G205" s="2" t="s">
        <v>120</v>
      </c>
      <c r="H205" s="1299">
        <v>165</v>
      </c>
      <c r="I205" s="1300">
        <v>6</v>
      </c>
      <c r="J205">
        <f>_xlfn.XLOOKUP(Table4[[#This Row],[Default Resource Title]],'Updated Rate Card Import'!E:E,'Updated Rate Card Import'!C:C)</f>
        <v>99</v>
      </c>
    </row>
    <row r="206" spans="2:10" ht="28.2" x14ac:dyDescent="0.3">
      <c r="B206" s="2" t="s">
        <v>294</v>
      </c>
      <c r="C206" s="2" t="s">
        <v>1476</v>
      </c>
      <c r="D206" s="5" t="str">
        <f>IFERROR(VLOOKUP(Table4[[#This Row],[Role Type]],'Role Descriptions'!$A$1:$E$97,2,FALSE), "Missing role description data; for now, please see equivalent CrederaUS role type")</f>
        <v>Missing role description data; for now, please see equivalent CrederaUS role type</v>
      </c>
      <c r="E206" s="2" t="s">
        <v>1494</v>
      </c>
      <c r="F206" s="357">
        <v>11</v>
      </c>
      <c r="G206" s="2" t="s">
        <v>120</v>
      </c>
      <c r="H206" s="1299">
        <v>30</v>
      </c>
      <c r="I206" s="1300">
        <v>2</v>
      </c>
      <c r="J206" t="e">
        <f>_xlfn.XLOOKUP(Table4[[#This Row],[Default Resource Title]],'Updated Rate Card Import'!E:E,'Updated Rate Card Import'!C:C)</f>
        <v>#N/A</v>
      </c>
    </row>
    <row r="207" spans="2:10" ht="28.2" x14ac:dyDescent="0.3">
      <c r="B207" s="2" t="s">
        <v>294</v>
      </c>
      <c r="C207" s="2" t="s">
        <v>1477</v>
      </c>
      <c r="D207" s="5" t="str">
        <f>IFERROR(VLOOKUP(Table4[[#This Row],[Role Type]],'Role Descriptions'!$A$1:$E$97,2,FALSE), "Missing role description data; for now, please see equivalent CrederaUS role type")</f>
        <v>Missing role description data; for now, please see equivalent CrederaUS role type</v>
      </c>
      <c r="E207" s="2" t="s">
        <v>1495</v>
      </c>
      <c r="F207" s="357">
        <v>18</v>
      </c>
      <c r="G207" s="2" t="s">
        <v>120</v>
      </c>
      <c r="H207" s="1299">
        <v>49</v>
      </c>
      <c r="I207" s="1300">
        <v>2</v>
      </c>
      <c r="J207" t="e">
        <f>_xlfn.XLOOKUP(Table4[[#This Row],[Default Resource Title]],'Updated Rate Card Import'!E:E,'Updated Rate Card Import'!C:C)</f>
        <v>#N/A</v>
      </c>
    </row>
    <row r="208" spans="2:10" ht="28.2" x14ac:dyDescent="0.3">
      <c r="B208" s="2" t="s">
        <v>294</v>
      </c>
      <c r="C208" s="2" t="s">
        <v>1530</v>
      </c>
      <c r="D208" s="5" t="str">
        <f>IFERROR(VLOOKUP(Table4[[#This Row],[Role Type]],'Role Descriptions'!$A$1:$E$97,2,FALSE), "Missing role description data; for now, please see equivalent CrederaUS role type")</f>
        <v>Missing role description data; for now, please see equivalent CrederaUS role type</v>
      </c>
      <c r="E208" s="2" t="s">
        <v>1550</v>
      </c>
      <c r="F208" s="357">
        <v>25</v>
      </c>
      <c r="G208" s="2" t="s">
        <v>120</v>
      </c>
      <c r="H208" s="1299">
        <v>56</v>
      </c>
      <c r="I208" s="1300">
        <v>3</v>
      </c>
      <c r="J208">
        <f>_xlfn.XLOOKUP(Table4[[#This Row],[Default Resource Title]],'Updated Rate Card Import'!E:E,'Updated Rate Card Import'!C:C)</f>
        <v>25</v>
      </c>
    </row>
    <row r="209" spans="2:10" ht="28.2" x14ac:dyDescent="0.3">
      <c r="B209" s="2" t="s">
        <v>294</v>
      </c>
      <c r="C209" s="2" t="s">
        <v>1531</v>
      </c>
      <c r="D209" s="5" t="str">
        <f>IFERROR(VLOOKUP(Table4[[#This Row],[Role Type]],'Role Descriptions'!$A$1:$E$97,2,FALSE), "Missing role description data; for now, please see equivalent CrederaUS role type")</f>
        <v>Missing role description data; for now, please see equivalent CrederaUS role type</v>
      </c>
      <c r="E209" s="2" t="s">
        <v>1551</v>
      </c>
      <c r="F209" s="357">
        <v>33</v>
      </c>
      <c r="G209" s="2" t="s">
        <v>120</v>
      </c>
      <c r="H209" s="1299">
        <v>69</v>
      </c>
      <c r="I209" s="1300">
        <v>3</v>
      </c>
      <c r="J209">
        <f>_xlfn.XLOOKUP(Table4[[#This Row],[Default Resource Title]],'Updated Rate Card Import'!E:E,'Updated Rate Card Import'!C:C)</f>
        <v>33</v>
      </c>
    </row>
    <row r="210" spans="2:10" ht="28.2" x14ac:dyDescent="0.3">
      <c r="B210" s="2" t="s">
        <v>294</v>
      </c>
      <c r="C210" s="2" t="s">
        <v>1471</v>
      </c>
      <c r="D210" s="5" t="str">
        <f>IFERROR(VLOOKUP(Table4[[#This Row],[Role Type]],'Role Descriptions'!$A$1:$E$97,2,FALSE), "Missing role description data; for now, please see equivalent CrederaUS role type")</f>
        <v>Missing role description data; for now, please see equivalent CrederaUS role type</v>
      </c>
      <c r="E210" s="2" t="s">
        <v>1496</v>
      </c>
      <c r="F210" s="357">
        <v>13</v>
      </c>
      <c r="G210" s="2" t="s">
        <v>120</v>
      </c>
      <c r="H210" s="1299">
        <v>36</v>
      </c>
      <c r="I210" s="1300">
        <v>2</v>
      </c>
      <c r="J210" t="e">
        <f>_xlfn.XLOOKUP(Table4[[#This Row],[Default Resource Title]],'Updated Rate Card Import'!E:E,'Updated Rate Card Import'!C:C)</f>
        <v>#N/A</v>
      </c>
    </row>
    <row r="211" spans="2:10" ht="28.2" x14ac:dyDescent="0.3">
      <c r="B211" s="2" t="s">
        <v>294</v>
      </c>
      <c r="C211" s="2" t="s">
        <v>1472</v>
      </c>
      <c r="D211" s="5" t="str">
        <f>IFERROR(VLOOKUP(Table4[[#This Row],[Role Type]],'Role Descriptions'!$A$1:$E$97,2,FALSE), "Missing role description data; for now, please see equivalent CrederaUS role type")</f>
        <v>Missing role description data; for now, please see equivalent CrederaUS role type</v>
      </c>
      <c r="E211" s="2" t="s">
        <v>1497</v>
      </c>
      <c r="F211" s="357">
        <v>23</v>
      </c>
      <c r="G211" s="2" t="s">
        <v>120</v>
      </c>
      <c r="H211" s="1299">
        <v>63</v>
      </c>
      <c r="I211" s="1300">
        <v>2</v>
      </c>
      <c r="J211" t="e">
        <f>_xlfn.XLOOKUP(Table4[[#This Row],[Default Resource Title]],'Updated Rate Card Import'!E:E,'Updated Rate Card Import'!C:C)</f>
        <v>#N/A</v>
      </c>
    </row>
    <row r="212" spans="2:10" ht="28.2" x14ac:dyDescent="0.3">
      <c r="B212" s="2" t="s">
        <v>294</v>
      </c>
      <c r="C212" s="2" t="s">
        <v>1524</v>
      </c>
      <c r="D212" s="5" t="str">
        <f>IFERROR(VLOOKUP(Table4[[#This Row],[Role Type]],'Role Descriptions'!$A$1:$E$97,2,FALSE), "Missing role description data; for now, please see equivalent CrederaUS role type")</f>
        <v>Missing role description data; for now, please see equivalent CrederaUS role type</v>
      </c>
      <c r="E212" s="2" t="s">
        <v>1552</v>
      </c>
      <c r="F212" s="357">
        <v>43</v>
      </c>
      <c r="G212" s="2" t="s">
        <v>120</v>
      </c>
      <c r="H212" s="1299">
        <v>96</v>
      </c>
      <c r="I212" s="1300">
        <v>3</v>
      </c>
      <c r="J212">
        <f>_xlfn.XLOOKUP(Table4[[#This Row],[Default Resource Title]],'Updated Rate Card Import'!E:E,'Updated Rate Card Import'!C:C)</f>
        <v>43</v>
      </c>
    </row>
    <row r="213" spans="2:10" ht="28.2" x14ac:dyDescent="0.3">
      <c r="B213" s="2" t="s">
        <v>294</v>
      </c>
      <c r="C213" s="2" t="s">
        <v>1525</v>
      </c>
      <c r="D213" s="5" t="str">
        <f>IFERROR(VLOOKUP(Table4[[#This Row],[Role Type]],'Role Descriptions'!$A$1:$E$97,2,FALSE), "Missing role description data; for now, please see equivalent CrederaUS role type")</f>
        <v>Missing role description data; for now, please see equivalent CrederaUS role type</v>
      </c>
      <c r="E213" s="2" t="s">
        <v>1553</v>
      </c>
      <c r="F213" s="357">
        <v>53</v>
      </c>
      <c r="G213" s="2" t="s">
        <v>120</v>
      </c>
      <c r="H213" s="1299">
        <v>111</v>
      </c>
      <c r="I213" s="1300">
        <v>3</v>
      </c>
      <c r="J213">
        <f>_xlfn.XLOOKUP(Table4[[#This Row],[Default Resource Title]],'Updated Rate Card Import'!E:E,'Updated Rate Card Import'!C:C)</f>
        <v>53</v>
      </c>
    </row>
    <row r="214" spans="2:10" ht="28.2" x14ac:dyDescent="0.3">
      <c r="B214" s="2" t="s">
        <v>294</v>
      </c>
      <c r="C214" s="2" t="s">
        <v>1604</v>
      </c>
      <c r="D214" s="5" t="str">
        <f>IFERROR(VLOOKUP(Table4[[#This Row],[Role Type]],'Role Descriptions'!$A$1:$E$97,2,FALSE), "Missing role description data; for now, please see equivalent CrederaUS role type")</f>
        <v>Missing role description data; for now, please see equivalent CrederaUS role type</v>
      </c>
      <c r="E214" s="2" t="s">
        <v>1586</v>
      </c>
      <c r="F214" s="357">
        <v>60</v>
      </c>
      <c r="G214" s="2" t="s">
        <v>120</v>
      </c>
      <c r="H214" s="1299">
        <v>120</v>
      </c>
      <c r="I214" s="1300">
        <v>4</v>
      </c>
      <c r="J214">
        <f>_xlfn.XLOOKUP(Table4[[#This Row],[Default Resource Title]],'Updated Rate Card Import'!E:E,'Updated Rate Card Import'!C:C)</f>
        <v>60</v>
      </c>
    </row>
    <row r="215" spans="2:10" ht="28.2" x14ac:dyDescent="0.3">
      <c r="B215" s="2" t="s">
        <v>294</v>
      </c>
      <c r="C215" s="2" t="s">
        <v>1613</v>
      </c>
      <c r="D215" s="5" t="str">
        <f>IFERROR(VLOOKUP(Table4[[#This Row],[Role Type]],'Role Descriptions'!$A$1:$E$97,2,FALSE), "Missing role description data; for now, please see equivalent CrederaUS role type")</f>
        <v>Missing role description data; for now, please see equivalent CrederaUS role type</v>
      </c>
      <c r="E215" s="2" t="s">
        <v>1626</v>
      </c>
      <c r="F215" s="357">
        <v>81</v>
      </c>
      <c r="G215" s="2" t="s">
        <v>120</v>
      </c>
      <c r="H215" s="1299">
        <v>148</v>
      </c>
      <c r="I215" s="1300">
        <v>5</v>
      </c>
      <c r="J215">
        <f>_xlfn.XLOOKUP(Table4[[#This Row],[Default Resource Title]],'Updated Rate Card Import'!E:E,'Updated Rate Card Import'!C:C)</f>
        <v>81</v>
      </c>
    </row>
    <row r="216" spans="2:10" ht="28.2" x14ac:dyDescent="0.3">
      <c r="B216" s="2" t="s">
        <v>294</v>
      </c>
      <c r="C216" s="2" t="s">
        <v>1663</v>
      </c>
      <c r="D216" s="5" t="str">
        <f>IFERROR(VLOOKUP(Table4[[#This Row],[Role Type]],'Role Descriptions'!$A$1:$E$97,2,FALSE), "Missing role description data; for now, please see equivalent CrederaUS role type")</f>
        <v>Missing role description data; for now, please see equivalent CrederaUS role type</v>
      </c>
      <c r="E216" s="2" t="s">
        <v>1648</v>
      </c>
      <c r="F216" s="357">
        <v>99</v>
      </c>
      <c r="G216" s="2" t="s">
        <v>120</v>
      </c>
      <c r="H216" s="1299">
        <v>165</v>
      </c>
      <c r="I216" s="1300">
        <v>6</v>
      </c>
      <c r="J216">
        <f>_xlfn.XLOOKUP(Table4[[#This Row],[Default Resource Title]],'Updated Rate Card Import'!E:E,'Updated Rate Card Import'!C:C)</f>
        <v>99</v>
      </c>
    </row>
    <row r="217" spans="2:10" ht="28.2" x14ac:dyDescent="0.3">
      <c r="B217" s="2" t="s">
        <v>294</v>
      </c>
      <c r="C217" s="2" t="s">
        <v>1478</v>
      </c>
      <c r="D217" s="5" t="str">
        <f>IFERROR(VLOOKUP(Table4[[#This Row],[Role Type]],'Role Descriptions'!$A$1:$E$97,2,FALSE), "Missing role description data; for now, please see equivalent CrederaUS role type")</f>
        <v>Missing role description data; for now, please see equivalent CrederaUS role type</v>
      </c>
      <c r="E217" s="2" t="s">
        <v>1498</v>
      </c>
      <c r="F217" s="357">
        <v>13</v>
      </c>
      <c r="G217" s="2" t="s">
        <v>120</v>
      </c>
      <c r="H217" s="1299">
        <v>36</v>
      </c>
      <c r="I217" s="1300">
        <v>2</v>
      </c>
      <c r="J217" t="e">
        <f>_xlfn.XLOOKUP(Table4[[#This Row],[Default Resource Title]],'Updated Rate Card Import'!E:E,'Updated Rate Card Import'!C:C)</f>
        <v>#N/A</v>
      </c>
    </row>
    <row r="218" spans="2:10" ht="28.2" x14ac:dyDescent="0.3">
      <c r="B218" s="2" t="s">
        <v>294</v>
      </c>
      <c r="C218" s="2" t="s">
        <v>1532</v>
      </c>
      <c r="D218" s="5" t="str">
        <f>IFERROR(VLOOKUP(Table4[[#This Row],[Role Type]],'Role Descriptions'!$A$1:$E$97,2,FALSE), "Missing role description data; for now, please see equivalent CrederaUS role type")</f>
        <v>Missing role description data; for now, please see equivalent CrederaUS role type</v>
      </c>
      <c r="E218" s="2" t="s">
        <v>1554</v>
      </c>
      <c r="F218" s="357">
        <v>27</v>
      </c>
      <c r="G218" s="2" t="s">
        <v>120</v>
      </c>
      <c r="H218" s="1299">
        <v>73</v>
      </c>
      <c r="I218" s="1300">
        <v>3</v>
      </c>
      <c r="J218">
        <f>_xlfn.XLOOKUP(Table4[[#This Row],[Default Resource Title]],'Updated Rate Card Import'!E:E,'Updated Rate Card Import'!C:C)</f>
        <v>27</v>
      </c>
    </row>
    <row r="219" spans="2:10" ht="28.2" x14ac:dyDescent="0.3">
      <c r="B219" s="2" t="s">
        <v>294</v>
      </c>
      <c r="C219" s="2" t="s">
        <v>1606</v>
      </c>
      <c r="D219" s="5" t="str">
        <f>IFERROR(VLOOKUP(Table4[[#This Row],[Role Type]],'Role Descriptions'!$A$1:$E$97,2,FALSE), "Missing role description data; for now, please see equivalent CrederaUS role type")</f>
        <v>Missing role description data; for now, please see equivalent CrederaUS role type</v>
      </c>
      <c r="E219" s="2" t="s">
        <v>1587</v>
      </c>
      <c r="F219" s="357">
        <v>41</v>
      </c>
      <c r="G219" s="2" t="s">
        <v>120</v>
      </c>
      <c r="H219" s="1299">
        <v>86</v>
      </c>
      <c r="I219" s="1300">
        <v>4</v>
      </c>
      <c r="J219">
        <f>_xlfn.XLOOKUP(Table4[[#This Row],[Default Resource Title]],'Updated Rate Card Import'!E:E,'Updated Rate Card Import'!C:C)</f>
        <v>41</v>
      </c>
    </row>
    <row r="220" spans="2:10" ht="28.2" x14ac:dyDescent="0.3">
      <c r="B220" s="2" t="s">
        <v>294</v>
      </c>
      <c r="C220" s="2" t="s">
        <v>1479</v>
      </c>
      <c r="D220" s="5" t="str">
        <f>IFERROR(VLOOKUP(Table4[[#This Row],[Role Type]],'Role Descriptions'!$A$1:$E$97,2,FALSE), "Missing role description data; for now, please see equivalent CrederaUS role type")</f>
        <v>Missing role description data; for now, please see equivalent CrederaUS role type</v>
      </c>
      <c r="E220" s="2" t="s">
        <v>1499</v>
      </c>
      <c r="F220" s="357">
        <v>13</v>
      </c>
      <c r="G220" s="2" t="s">
        <v>120</v>
      </c>
      <c r="H220" s="1299">
        <v>36</v>
      </c>
      <c r="I220" s="1300">
        <v>2</v>
      </c>
      <c r="J220" t="e">
        <f>_xlfn.XLOOKUP(Table4[[#This Row],[Default Resource Title]],'Updated Rate Card Import'!E:E,'Updated Rate Card Import'!C:C)</f>
        <v>#N/A</v>
      </c>
    </row>
    <row r="221" spans="2:10" ht="28.2" x14ac:dyDescent="0.3">
      <c r="B221" s="2" t="s">
        <v>294</v>
      </c>
      <c r="C221" s="2" t="s">
        <v>1533</v>
      </c>
      <c r="D221" s="5" t="str">
        <f>IFERROR(VLOOKUP(Table4[[#This Row],[Role Type]],'Role Descriptions'!$A$1:$E$97,2,FALSE), "Missing role description data; for now, please see equivalent CrederaUS role type")</f>
        <v>Missing role description data; for now, please see equivalent CrederaUS role type</v>
      </c>
      <c r="E221" s="2" t="s">
        <v>1555</v>
      </c>
      <c r="F221" s="357">
        <v>22</v>
      </c>
      <c r="G221" s="2" t="s">
        <v>120</v>
      </c>
      <c r="H221" s="1299">
        <v>53</v>
      </c>
      <c r="I221" s="1300">
        <v>3</v>
      </c>
      <c r="J221">
        <f>_xlfn.XLOOKUP(Table4[[#This Row],[Default Resource Title]],'Updated Rate Card Import'!E:E,'Updated Rate Card Import'!C:C)</f>
        <v>22</v>
      </c>
    </row>
    <row r="222" spans="2:10" ht="28.2" x14ac:dyDescent="0.3">
      <c r="B222" s="2" t="s">
        <v>294</v>
      </c>
      <c r="C222" s="2" t="s">
        <v>1607</v>
      </c>
      <c r="D222" s="5" t="str">
        <f>IFERROR(VLOOKUP(Table4[[#This Row],[Role Type]],'Role Descriptions'!$A$1:$E$97,2,FALSE), "Missing role description data; for now, please see equivalent CrederaUS role type")</f>
        <v>Missing role description data; for now, please see equivalent CrederaUS role type</v>
      </c>
      <c r="E222" s="2" t="s">
        <v>1588</v>
      </c>
      <c r="F222" s="357">
        <v>39</v>
      </c>
      <c r="G222" s="2" t="s">
        <v>120</v>
      </c>
      <c r="H222" s="1299">
        <v>82</v>
      </c>
      <c r="I222" s="1300">
        <v>4</v>
      </c>
      <c r="J222">
        <f>_xlfn.XLOOKUP(Table4[[#This Row],[Default Resource Title]],'Updated Rate Card Import'!E:E,'Updated Rate Card Import'!C:C)</f>
        <v>39</v>
      </c>
    </row>
    <row r="223" spans="2:10" ht="28.2" x14ac:dyDescent="0.3">
      <c r="B223" s="2" t="s">
        <v>294</v>
      </c>
      <c r="C223" s="2" t="s">
        <v>1615</v>
      </c>
      <c r="D223" s="5" t="str">
        <f>IFERROR(VLOOKUP(Table4[[#This Row],[Role Type]],'Role Descriptions'!$A$1:$E$97,2,FALSE), "Missing role description data; for now, please see equivalent CrederaUS role type")</f>
        <v>Missing role description data; for now, please see equivalent CrederaUS role type</v>
      </c>
      <c r="E223" s="2" t="s">
        <v>1627</v>
      </c>
      <c r="F223" s="357">
        <v>53</v>
      </c>
      <c r="G223" s="2" t="s">
        <v>120</v>
      </c>
      <c r="H223" s="1299">
        <v>106</v>
      </c>
      <c r="I223" s="1300">
        <v>5</v>
      </c>
      <c r="J223">
        <f>_xlfn.XLOOKUP(Table4[[#This Row],[Default Resource Title]],'Updated Rate Card Import'!E:E,'Updated Rate Card Import'!C:C)</f>
        <v>53</v>
      </c>
    </row>
    <row r="224" spans="2:10" ht="28.2" x14ac:dyDescent="0.3">
      <c r="B224" s="2" t="s">
        <v>294</v>
      </c>
      <c r="C224" s="2" t="s">
        <v>1616</v>
      </c>
      <c r="D224" s="5" t="str">
        <f>IFERROR(VLOOKUP(Table4[[#This Row],[Role Type]],'Role Descriptions'!$A$1:$E$97,2,FALSE), "Missing role description data; for now, please see equivalent CrederaUS role type")</f>
        <v>Missing role description data; for now, please see equivalent CrederaUS role type</v>
      </c>
      <c r="E224" s="2" t="s">
        <v>1628</v>
      </c>
      <c r="F224" s="357">
        <v>63</v>
      </c>
      <c r="G224" s="2" t="s">
        <v>120</v>
      </c>
      <c r="H224" s="1299">
        <v>126</v>
      </c>
      <c r="I224" s="1300">
        <v>5</v>
      </c>
      <c r="J224">
        <f>_xlfn.XLOOKUP(Table4[[#This Row],[Default Resource Title]],'Updated Rate Card Import'!E:E,'Updated Rate Card Import'!C:C)</f>
        <v>63</v>
      </c>
    </row>
    <row r="225" spans="2:10" ht="28.2" x14ac:dyDescent="0.3">
      <c r="B225" s="2" t="s">
        <v>294</v>
      </c>
      <c r="C225" s="2" t="s">
        <v>1665</v>
      </c>
      <c r="D225" s="5" t="str">
        <f>IFERROR(VLOOKUP(Table4[[#This Row],[Role Type]],'Role Descriptions'!$A$1:$E$97,2,FALSE), "Missing role description data; for now, please see equivalent CrederaUS role type")</f>
        <v>Missing role description data; for now, please see equivalent CrederaUS role type</v>
      </c>
      <c r="E225" s="2" t="s">
        <v>1649</v>
      </c>
      <c r="F225" s="357">
        <v>81</v>
      </c>
      <c r="G225" s="2" t="s">
        <v>120</v>
      </c>
      <c r="H225" s="1299">
        <v>162</v>
      </c>
      <c r="I225" s="1300">
        <v>6</v>
      </c>
      <c r="J225">
        <f>_xlfn.XLOOKUP(Table4[[#This Row],[Default Resource Title]],'Updated Rate Card Import'!E:E,'Updated Rate Card Import'!C:C)</f>
        <v>81</v>
      </c>
    </row>
    <row r="226" spans="2:10" ht="28.2" x14ac:dyDescent="0.3">
      <c r="B226" s="2" t="s">
        <v>294</v>
      </c>
      <c r="C226" s="2" t="s">
        <v>1527</v>
      </c>
      <c r="D226" s="5" t="str">
        <f>IFERROR(VLOOKUP(Table4[[#This Row],[Role Type]],'Role Descriptions'!$A$1:$E$97,2,FALSE), "Missing role description data; for now, please see equivalent CrederaUS role type")</f>
        <v>Missing role description data; for now, please see equivalent CrederaUS role type</v>
      </c>
      <c r="E226" s="2" t="s">
        <v>1556</v>
      </c>
      <c r="F226" s="357">
        <v>32</v>
      </c>
      <c r="G226" s="2" t="s">
        <v>120</v>
      </c>
      <c r="H226" s="1299">
        <v>67</v>
      </c>
      <c r="I226" s="1300">
        <v>3</v>
      </c>
      <c r="J226">
        <f>_xlfn.XLOOKUP(Table4[[#This Row],[Default Resource Title]],'Updated Rate Card Import'!E:E,'Updated Rate Card Import'!C:C)</f>
        <v>32</v>
      </c>
    </row>
    <row r="227" spans="2:10" ht="28.2" x14ac:dyDescent="0.3">
      <c r="B227" s="2" t="s">
        <v>294</v>
      </c>
      <c r="C227" s="2" t="s">
        <v>1617</v>
      </c>
      <c r="D227" s="5" t="str">
        <f>IFERROR(VLOOKUP(Table4[[#This Row],[Role Type]],'Role Descriptions'!$A$1:$E$97,2,FALSE), "Missing role description data; for now, please see equivalent CrederaUS role type")</f>
        <v>Missing role description data; for now, please see equivalent CrederaUS role type</v>
      </c>
      <c r="E227" s="2" t="s">
        <v>1629</v>
      </c>
      <c r="F227" s="357">
        <v>41</v>
      </c>
      <c r="G227" s="2" t="s">
        <v>120</v>
      </c>
      <c r="H227" s="1299">
        <v>82</v>
      </c>
      <c r="I227" s="1300">
        <v>5</v>
      </c>
      <c r="J227">
        <f>_xlfn.XLOOKUP(Table4[[#This Row],[Default Resource Title]],'Updated Rate Card Import'!E:E,'Updated Rate Card Import'!C:C)</f>
        <v>41</v>
      </c>
    </row>
    <row r="228" spans="2:10" ht="28.2" x14ac:dyDescent="0.3">
      <c r="B228" s="2" t="s">
        <v>294</v>
      </c>
      <c r="C228" s="2" t="s">
        <v>1608</v>
      </c>
      <c r="D228" s="5" t="str">
        <f>IFERROR(VLOOKUP(Table4[[#This Row],[Role Type]],'Role Descriptions'!$A$1:$E$97,2,FALSE), "Missing role description data; for now, please see equivalent CrederaUS role type")</f>
        <v>Missing role description data; for now, please see equivalent CrederaUS role type</v>
      </c>
      <c r="E228" s="2" t="s">
        <v>1589</v>
      </c>
      <c r="F228" s="357">
        <v>49</v>
      </c>
      <c r="G228" s="2" t="s">
        <v>120</v>
      </c>
      <c r="H228" s="1299">
        <v>98</v>
      </c>
      <c r="I228" s="1300">
        <v>4</v>
      </c>
      <c r="J228">
        <f>_xlfn.XLOOKUP(Table4[[#This Row],[Default Resource Title]],'Updated Rate Card Import'!E:E,'Updated Rate Card Import'!C:C)</f>
        <v>49</v>
      </c>
    </row>
    <row r="229" spans="2:10" ht="28.2" x14ac:dyDescent="0.3">
      <c r="B229" s="2" t="s">
        <v>294</v>
      </c>
      <c r="C229" s="2" t="s">
        <v>1618</v>
      </c>
      <c r="D229" s="5" t="str">
        <f>IFERROR(VLOOKUP(Table4[[#This Row],[Role Type]],'Role Descriptions'!$A$1:$E$97,2,FALSE), "Missing role description data; for now, please see equivalent CrederaUS role type")</f>
        <v>Missing role description data; for now, please see equivalent CrederaUS role type</v>
      </c>
      <c r="E229" s="2" t="s">
        <v>1630</v>
      </c>
      <c r="F229" s="357">
        <v>53</v>
      </c>
      <c r="G229" s="2" t="s">
        <v>120</v>
      </c>
      <c r="H229" s="1299">
        <v>106</v>
      </c>
      <c r="I229" s="1300">
        <v>5</v>
      </c>
      <c r="J229">
        <f>_xlfn.XLOOKUP(Table4[[#This Row],[Default Resource Title]],'Updated Rate Card Import'!E:E,'Updated Rate Card Import'!C:C)</f>
        <v>53</v>
      </c>
    </row>
    <row r="230" spans="2:10" ht="28.2" x14ac:dyDescent="0.3">
      <c r="B230" s="2" t="s">
        <v>294</v>
      </c>
      <c r="C230" s="2" t="s">
        <v>1666</v>
      </c>
      <c r="D230" s="5" t="str">
        <f>IFERROR(VLOOKUP(Table4[[#This Row],[Role Type]],'Role Descriptions'!$A$1:$E$97,2,FALSE), "Missing role description data; for now, please see equivalent CrederaUS role type")</f>
        <v>Missing role description data; for now, please see equivalent CrederaUS role type</v>
      </c>
      <c r="E230" s="2" t="s">
        <v>1650</v>
      </c>
      <c r="F230" s="357">
        <v>65</v>
      </c>
      <c r="G230" s="2" t="s">
        <v>120</v>
      </c>
      <c r="H230" s="1299">
        <v>130</v>
      </c>
      <c r="I230" s="1300">
        <v>6</v>
      </c>
      <c r="J230">
        <f>_xlfn.XLOOKUP(Table4[[#This Row],[Default Resource Title]],'Updated Rate Card Import'!E:E,'Updated Rate Card Import'!C:C)</f>
        <v>65</v>
      </c>
    </row>
    <row r="231" spans="2:10" ht="28.2" x14ac:dyDescent="0.3">
      <c r="B231" s="2" t="s">
        <v>294</v>
      </c>
      <c r="C231" s="2" t="s">
        <v>1480</v>
      </c>
      <c r="D231" s="5" t="str">
        <f>IFERROR(VLOOKUP(Table4[[#This Row],[Role Type]],'Role Descriptions'!$A$1:$E$97,2,FALSE), "Missing role description data; for now, please see equivalent CrederaUS role type")</f>
        <v>Missing role description data; for now, please see equivalent CrederaUS role type</v>
      </c>
      <c r="E231" s="2" t="s">
        <v>1500</v>
      </c>
      <c r="F231" s="357">
        <v>26</v>
      </c>
      <c r="G231" s="2" t="s">
        <v>120</v>
      </c>
      <c r="H231" s="1299">
        <v>71</v>
      </c>
      <c r="I231" s="1300">
        <v>2</v>
      </c>
      <c r="J231" t="e">
        <f>_xlfn.XLOOKUP(Table4[[#This Row],[Default Resource Title]],'Updated Rate Card Import'!E:E,'Updated Rate Card Import'!C:C)</f>
        <v>#N/A</v>
      </c>
    </row>
    <row r="232" spans="2:10" ht="28.2" x14ac:dyDescent="0.3">
      <c r="B232" s="2" t="s">
        <v>294</v>
      </c>
      <c r="C232" s="2" t="s">
        <v>1534</v>
      </c>
      <c r="D232" s="5" t="str">
        <f>IFERROR(VLOOKUP(Table4[[#This Row],[Role Type]],'Role Descriptions'!$A$1:$E$97,2,FALSE), "Missing role description data; for now, please see equivalent CrederaUS role type")</f>
        <v>Missing role description data; for now, please see equivalent CrederaUS role type</v>
      </c>
      <c r="E232" s="2" t="s">
        <v>1557</v>
      </c>
      <c r="F232" s="357">
        <v>33</v>
      </c>
      <c r="G232" s="2" t="s">
        <v>120</v>
      </c>
      <c r="H232" s="1299">
        <v>79</v>
      </c>
      <c r="I232" s="1300">
        <v>3</v>
      </c>
      <c r="J232">
        <f>_xlfn.XLOOKUP(Table4[[#This Row],[Default Resource Title]],'Updated Rate Card Import'!E:E,'Updated Rate Card Import'!C:C)</f>
        <v>33</v>
      </c>
    </row>
    <row r="233" spans="2:10" ht="28.2" x14ac:dyDescent="0.3">
      <c r="B233" s="2" t="s">
        <v>294</v>
      </c>
      <c r="C233" s="2" t="s">
        <v>1609</v>
      </c>
      <c r="D233" s="5" t="str">
        <f>IFERROR(VLOOKUP(Table4[[#This Row],[Role Type]],'Role Descriptions'!$A$1:$E$97,2,FALSE), "Missing role description data; for now, please see equivalent CrederaUS role type")</f>
        <v>Missing role description data; for now, please see equivalent CrederaUS role type</v>
      </c>
      <c r="E233" s="2" t="s">
        <v>1590</v>
      </c>
      <c r="F233" s="357">
        <v>49</v>
      </c>
      <c r="G233" s="2" t="s">
        <v>120</v>
      </c>
      <c r="H233" s="1299">
        <v>103</v>
      </c>
      <c r="I233" s="1300">
        <v>4</v>
      </c>
      <c r="J233">
        <f>_xlfn.XLOOKUP(Table4[[#This Row],[Default Resource Title]],'Updated Rate Card Import'!E:E,'Updated Rate Card Import'!C:C)</f>
        <v>49</v>
      </c>
    </row>
    <row r="234" spans="2:10" ht="28.2" x14ac:dyDescent="0.3">
      <c r="B234" s="2" t="s">
        <v>294</v>
      </c>
      <c r="C234" s="2" t="s">
        <v>1619</v>
      </c>
      <c r="D234" s="5" t="str">
        <f>IFERROR(VLOOKUP(Table4[[#This Row],[Role Type]],'Role Descriptions'!$A$1:$E$97,2,FALSE), "Missing role description data; for now, please see equivalent CrederaUS role type")</f>
        <v>Missing role description data; for now, please see equivalent CrederaUS role type</v>
      </c>
      <c r="E234" s="2" t="s">
        <v>1631</v>
      </c>
      <c r="F234" s="357">
        <v>53</v>
      </c>
      <c r="G234" s="2" t="s">
        <v>120</v>
      </c>
      <c r="H234" s="1299">
        <v>106</v>
      </c>
      <c r="I234" s="1300">
        <v>5</v>
      </c>
      <c r="J234">
        <f>_xlfn.XLOOKUP(Table4[[#This Row],[Default Resource Title]],'Updated Rate Card Import'!E:E,'Updated Rate Card Import'!C:C)</f>
        <v>53</v>
      </c>
    </row>
    <row r="235" spans="2:10" ht="28.2" x14ac:dyDescent="0.3">
      <c r="B235" s="2" t="s">
        <v>294</v>
      </c>
      <c r="C235" s="2" t="s">
        <v>1667</v>
      </c>
      <c r="D235" s="5" t="str">
        <f>IFERROR(VLOOKUP(Table4[[#This Row],[Role Type]],'Role Descriptions'!$A$1:$E$97,2,FALSE), "Missing role description data; for now, please see equivalent CrederaUS role type")</f>
        <v>Missing role description data; for now, please see equivalent CrederaUS role type</v>
      </c>
      <c r="E235" s="2" t="s">
        <v>1651</v>
      </c>
      <c r="F235" s="357">
        <v>65</v>
      </c>
      <c r="G235" s="2" t="s">
        <v>120</v>
      </c>
      <c r="H235" s="1299">
        <v>130</v>
      </c>
      <c r="I235" s="1300">
        <v>6</v>
      </c>
      <c r="J235">
        <f>_xlfn.XLOOKUP(Table4[[#This Row],[Default Resource Title]],'Updated Rate Card Import'!E:E,'Updated Rate Card Import'!C:C)</f>
        <v>65</v>
      </c>
    </row>
    <row r="236" spans="2:10" ht="28.2" x14ac:dyDescent="0.3">
      <c r="B236" s="2" t="s">
        <v>294</v>
      </c>
      <c r="C236" s="2" t="s">
        <v>1474</v>
      </c>
      <c r="D236" s="5" t="str">
        <f>IFERROR(VLOOKUP(Table4[[#This Row],[Role Type]],'Role Descriptions'!$A$1:$E$97,2,FALSE), "Missing role description data; for now, please see equivalent CrederaUS role type")</f>
        <v>Missing role description data; for now, please see equivalent CrederaUS role type</v>
      </c>
      <c r="E236" s="2" t="s">
        <v>1501</v>
      </c>
      <c r="F236" s="357">
        <v>11</v>
      </c>
      <c r="G236" s="2" t="s">
        <v>120</v>
      </c>
      <c r="H236" s="1299">
        <v>30</v>
      </c>
      <c r="I236" s="1300">
        <v>2</v>
      </c>
      <c r="J236" t="e">
        <f>_xlfn.XLOOKUP(Table4[[#This Row],[Default Resource Title]],'Updated Rate Card Import'!E:E,'Updated Rate Card Import'!C:C)</f>
        <v>#N/A</v>
      </c>
    </row>
    <row r="237" spans="2:10" ht="28.2" x14ac:dyDescent="0.3">
      <c r="B237" s="2" t="s">
        <v>294</v>
      </c>
      <c r="C237" s="2" t="s">
        <v>1475</v>
      </c>
      <c r="D237" s="5" t="str">
        <f>IFERROR(VLOOKUP(Table4[[#This Row],[Role Type]],'Role Descriptions'!$A$1:$E$97,2,FALSE), "Missing role description data; for now, please see equivalent CrederaUS role type")</f>
        <v>Missing role description data; for now, please see equivalent CrederaUS role type</v>
      </c>
      <c r="E237" s="2" t="s">
        <v>1502</v>
      </c>
      <c r="F237" s="357">
        <v>18</v>
      </c>
      <c r="G237" s="2" t="s">
        <v>120</v>
      </c>
      <c r="H237" s="1299">
        <v>49</v>
      </c>
      <c r="I237" s="1300">
        <v>2</v>
      </c>
      <c r="J237" t="e">
        <f>_xlfn.XLOOKUP(Table4[[#This Row],[Default Resource Title]],'Updated Rate Card Import'!E:E,'Updated Rate Card Import'!C:C)</f>
        <v>#N/A</v>
      </c>
    </row>
    <row r="238" spans="2:10" ht="28.2" x14ac:dyDescent="0.3">
      <c r="B238" s="2" t="s">
        <v>294</v>
      </c>
      <c r="C238" s="2" t="s">
        <v>1528</v>
      </c>
      <c r="D238" s="5" t="str">
        <f>IFERROR(VLOOKUP(Table4[[#This Row],[Role Type]],'Role Descriptions'!$A$1:$E$97,2,FALSE), "Missing role description data; for now, please see equivalent CrederaUS role type")</f>
        <v>Missing role description data; for now, please see equivalent CrederaUS role type</v>
      </c>
      <c r="E238" s="2" t="s">
        <v>1558</v>
      </c>
      <c r="F238" s="357">
        <v>25</v>
      </c>
      <c r="G238" s="2" t="s">
        <v>120</v>
      </c>
      <c r="H238" s="1299">
        <v>56</v>
      </c>
      <c r="I238" s="1300">
        <v>3</v>
      </c>
      <c r="J238">
        <f>_xlfn.XLOOKUP(Table4[[#This Row],[Default Resource Title]],'Updated Rate Card Import'!E:E,'Updated Rate Card Import'!C:C)</f>
        <v>25</v>
      </c>
    </row>
    <row r="239" spans="2:10" ht="28.2" x14ac:dyDescent="0.3">
      <c r="B239" s="2" t="s">
        <v>294</v>
      </c>
      <c r="C239" s="2" t="s">
        <v>1529</v>
      </c>
      <c r="D239" s="5" t="str">
        <f>IFERROR(VLOOKUP(Table4[[#This Row],[Role Type]],'Role Descriptions'!$A$1:$E$97,2,FALSE), "Missing role description data; for now, please see equivalent CrederaUS role type")</f>
        <v>Missing role description data; for now, please see equivalent CrederaUS role type</v>
      </c>
      <c r="E239" s="2" t="s">
        <v>1559</v>
      </c>
      <c r="F239" s="357">
        <v>33</v>
      </c>
      <c r="G239" s="2" t="s">
        <v>120</v>
      </c>
      <c r="H239" s="1299">
        <v>69</v>
      </c>
      <c r="I239" s="1300">
        <v>3</v>
      </c>
      <c r="J239">
        <f>_xlfn.XLOOKUP(Table4[[#This Row],[Default Resource Title]],'Updated Rate Card Import'!E:E,'Updated Rate Card Import'!C:C)</f>
        <v>33</v>
      </c>
    </row>
    <row r="240" spans="2:10" ht="28.2" x14ac:dyDescent="0.3">
      <c r="B240" s="2" t="s">
        <v>294</v>
      </c>
      <c r="C240" s="2" t="s">
        <v>1605</v>
      </c>
      <c r="D240" s="5" t="str">
        <f>IFERROR(VLOOKUP(Table4[[#This Row],[Role Type]],'Role Descriptions'!$A$1:$E$97,2,FALSE), "Missing role description data; for now, please see equivalent CrederaUS role type")</f>
        <v>Missing role description data; for now, please see equivalent CrederaUS role type</v>
      </c>
      <c r="E240" s="2" t="s">
        <v>1591</v>
      </c>
      <c r="F240" s="357">
        <v>39</v>
      </c>
      <c r="G240" s="2" t="s">
        <v>120</v>
      </c>
      <c r="H240" s="1299">
        <v>78</v>
      </c>
      <c r="I240" s="1300">
        <v>4</v>
      </c>
      <c r="J240">
        <f>_xlfn.XLOOKUP(Table4[[#This Row],[Default Resource Title]],'Updated Rate Card Import'!E:E,'Updated Rate Card Import'!C:C)</f>
        <v>39</v>
      </c>
    </row>
    <row r="241" spans="2:10" ht="28.2" x14ac:dyDescent="0.3">
      <c r="B241" s="2" t="s">
        <v>294</v>
      </c>
      <c r="C241" s="2" t="s">
        <v>1614</v>
      </c>
      <c r="D241" s="5" t="str">
        <f>IFERROR(VLOOKUP(Table4[[#This Row],[Role Type]],'Role Descriptions'!$A$1:$E$97,2,FALSE), "Missing role description data; for now, please see equivalent CrederaUS role type")</f>
        <v>Missing role description data; for now, please see equivalent CrederaUS role type</v>
      </c>
      <c r="E241" s="2" t="s">
        <v>1632</v>
      </c>
      <c r="F241" s="357">
        <v>51</v>
      </c>
      <c r="G241" s="2" t="s">
        <v>120</v>
      </c>
      <c r="H241" s="1299">
        <v>93</v>
      </c>
      <c r="I241" s="1300">
        <v>5</v>
      </c>
      <c r="J241">
        <f>_xlfn.XLOOKUP(Table4[[#This Row],[Default Resource Title]],'Updated Rate Card Import'!E:E,'Updated Rate Card Import'!C:C)</f>
        <v>51</v>
      </c>
    </row>
    <row r="242" spans="2:10" ht="28.2" x14ac:dyDescent="0.3">
      <c r="B242" s="2" t="s">
        <v>294</v>
      </c>
      <c r="C242" s="2" t="s">
        <v>1664</v>
      </c>
      <c r="D242" s="5" t="str">
        <f>IFERROR(VLOOKUP(Table4[[#This Row],[Role Type]],'Role Descriptions'!$A$1:$E$97,2,FALSE), "Missing role description data; for now, please see equivalent CrederaUS role type")</f>
        <v>Missing role description data; for now, please see equivalent CrederaUS role type</v>
      </c>
      <c r="E242" s="2" t="s">
        <v>1652</v>
      </c>
      <c r="F242" s="357">
        <v>63</v>
      </c>
      <c r="G242" s="2" t="s">
        <v>120</v>
      </c>
      <c r="H242" s="1299">
        <v>105</v>
      </c>
      <c r="I242" s="1300">
        <v>6</v>
      </c>
      <c r="J242">
        <f>_xlfn.XLOOKUP(Table4[[#This Row],[Default Resource Title]],'Updated Rate Card Import'!E:E,'Updated Rate Card Import'!C:C)</f>
        <v>63</v>
      </c>
    </row>
    <row r="243" spans="2:10" ht="28.2" x14ac:dyDescent="0.3">
      <c r="B243" s="2" t="s">
        <v>294</v>
      </c>
      <c r="C243" s="2" t="s">
        <v>1481</v>
      </c>
      <c r="D243" s="5" t="str">
        <f>IFERROR(VLOOKUP(Table4[[#This Row],[Role Type]],'Role Descriptions'!$A$1:$E$97,2,FALSE), "Missing role description data; for now, please see equivalent CrederaUS role type")</f>
        <v>Missing role description data; for now, please see equivalent CrederaUS role type</v>
      </c>
      <c r="E243" s="2" t="s">
        <v>1503</v>
      </c>
      <c r="F243" s="357">
        <v>13</v>
      </c>
      <c r="G243" s="2" t="s">
        <v>120</v>
      </c>
      <c r="H243" s="1299">
        <v>36</v>
      </c>
      <c r="I243" s="1300">
        <v>2</v>
      </c>
      <c r="J243" t="e">
        <f>_xlfn.XLOOKUP(Table4[[#This Row],[Default Resource Title]],'Updated Rate Card Import'!E:E,'Updated Rate Card Import'!C:C)</f>
        <v>#N/A</v>
      </c>
    </row>
    <row r="244" spans="2:10" ht="28.2" x14ac:dyDescent="0.3">
      <c r="B244" s="2" t="s">
        <v>294</v>
      </c>
      <c r="C244" s="2" t="s">
        <v>1482</v>
      </c>
      <c r="D244" s="5" t="str">
        <f>IFERROR(VLOOKUP(Table4[[#This Row],[Role Type]],'Role Descriptions'!$A$1:$E$97,2,FALSE), "Missing role description data; for now, please see equivalent CrederaUS role type")</f>
        <v>Missing role description data; for now, please see equivalent CrederaUS role type</v>
      </c>
      <c r="E244" s="2" t="s">
        <v>1504</v>
      </c>
      <c r="F244" s="357">
        <v>20</v>
      </c>
      <c r="G244" s="2" t="s">
        <v>120</v>
      </c>
      <c r="H244" s="1299">
        <v>55</v>
      </c>
      <c r="I244" s="1300">
        <v>2</v>
      </c>
      <c r="J244" t="e">
        <f>_xlfn.XLOOKUP(Table4[[#This Row],[Default Resource Title]],'Updated Rate Card Import'!E:E,'Updated Rate Card Import'!C:C)</f>
        <v>#N/A</v>
      </c>
    </row>
    <row r="245" spans="2:10" ht="28.2" x14ac:dyDescent="0.3">
      <c r="B245" s="2" t="s">
        <v>294</v>
      </c>
      <c r="C245" s="2" t="s">
        <v>1535</v>
      </c>
      <c r="D245" s="5" t="str">
        <f>IFERROR(VLOOKUP(Table4[[#This Row],[Role Type]],'Role Descriptions'!$A$1:$E$97,2,FALSE), "Missing role description data; for now, please see equivalent CrederaUS role type")</f>
        <v>Missing role description data; for now, please see equivalent CrederaUS role type</v>
      </c>
      <c r="E245" s="2" t="s">
        <v>1560</v>
      </c>
      <c r="F245" s="357">
        <v>35</v>
      </c>
      <c r="G245" s="2" t="s">
        <v>120</v>
      </c>
      <c r="H245" s="1299">
        <v>78</v>
      </c>
      <c r="I245" s="1300">
        <v>3</v>
      </c>
      <c r="J245">
        <f>_xlfn.XLOOKUP(Table4[[#This Row],[Default Resource Title]],'Updated Rate Card Import'!E:E,'Updated Rate Card Import'!C:C)</f>
        <v>35</v>
      </c>
    </row>
    <row r="246" spans="2:10" ht="28.2" x14ac:dyDescent="0.3">
      <c r="B246" s="2" t="s">
        <v>294</v>
      </c>
      <c r="C246" s="2" t="s">
        <v>1536</v>
      </c>
      <c r="D246" s="5" t="str">
        <f>IFERROR(VLOOKUP(Table4[[#This Row],[Role Type]],'Role Descriptions'!$A$1:$E$97,2,FALSE), "Missing role description data; for now, please see equivalent CrederaUS role type")</f>
        <v>Missing role description data; for now, please see equivalent CrederaUS role type</v>
      </c>
      <c r="E246" s="2" t="s">
        <v>1561</v>
      </c>
      <c r="F246" s="357">
        <v>45</v>
      </c>
      <c r="G246" s="2" t="s">
        <v>120</v>
      </c>
      <c r="H246" s="1299">
        <v>94</v>
      </c>
      <c r="I246" s="1300">
        <v>3</v>
      </c>
      <c r="J246">
        <f>_xlfn.XLOOKUP(Table4[[#This Row],[Default Resource Title]],'Updated Rate Card Import'!E:E,'Updated Rate Card Import'!C:C)</f>
        <v>45</v>
      </c>
    </row>
    <row r="247" spans="2:10" ht="28.2" x14ac:dyDescent="0.3">
      <c r="B247" s="2" t="s">
        <v>294</v>
      </c>
      <c r="C247" s="2" t="s">
        <v>1610</v>
      </c>
      <c r="D247" s="5" t="str">
        <f>IFERROR(VLOOKUP(Table4[[#This Row],[Role Type]],'Role Descriptions'!$A$1:$E$97,2,FALSE), "Missing role description data; for now, please see equivalent CrederaUS role type")</f>
        <v>Missing role description data; for now, please see equivalent CrederaUS role type</v>
      </c>
      <c r="E247" s="2" t="s">
        <v>1592</v>
      </c>
      <c r="F247" s="357">
        <v>57</v>
      </c>
      <c r="G247" s="2" t="s">
        <v>120</v>
      </c>
      <c r="H247" s="1299">
        <v>114</v>
      </c>
      <c r="I247" s="1300">
        <v>4</v>
      </c>
      <c r="J247">
        <f>_xlfn.XLOOKUP(Table4[[#This Row],[Default Resource Title]],'Updated Rate Card Import'!E:E,'Updated Rate Card Import'!C:C)</f>
        <v>57</v>
      </c>
    </row>
    <row r="248" spans="2:10" ht="28.2" x14ac:dyDescent="0.3">
      <c r="B248" s="2" t="s">
        <v>294</v>
      </c>
      <c r="C248" s="2" t="s">
        <v>1620</v>
      </c>
      <c r="D248" s="5" t="str">
        <f>IFERROR(VLOOKUP(Table4[[#This Row],[Role Type]],'Role Descriptions'!$A$1:$E$97,2,FALSE), "Missing role description data; for now, please see equivalent CrederaUS role type")</f>
        <v>Missing role description data; for now, please see equivalent CrederaUS role type</v>
      </c>
      <c r="E248" s="2" t="s">
        <v>1633</v>
      </c>
      <c r="F248" s="357">
        <v>69</v>
      </c>
      <c r="G248" s="2" t="s">
        <v>120</v>
      </c>
      <c r="H248" s="1299">
        <v>126</v>
      </c>
      <c r="I248" s="1300">
        <v>5</v>
      </c>
      <c r="J248">
        <f>_xlfn.XLOOKUP(Table4[[#This Row],[Default Resource Title]],'Updated Rate Card Import'!E:E,'Updated Rate Card Import'!C:C)</f>
        <v>69</v>
      </c>
    </row>
    <row r="249" spans="2:10" ht="28.2" x14ac:dyDescent="0.3">
      <c r="B249" s="2" t="s">
        <v>294</v>
      </c>
      <c r="C249" s="2" t="s">
        <v>1668</v>
      </c>
      <c r="D249" s="5" t="str">
        <f>IFERROR(VLOOKUP(Table4[[#This Row],[Role Type]],'Role Descriptions'!$A$1:$E$97,2,FALSE), "Missing role description data; for now, please see equivalent CrederaUS role type")</f>
        <v>Missing role description data; for now, please see equivalent CrederaUS role type</v>
      </c>
      <c r="E249" s="2" t="s">
        <v>1653</v>
      </c>
      <c r="F249" s="357">
        <v>81</v>
      </c>
      <c r="G249" s="2" t="s">
        <v>120</v>
      </c>
      <c r="H249" s="1299">
        <v>135</v>
      </c>
      <c r="I249" s="1300">
        <v>6</v>
      </c>
      <c r="J249">
        <f>_xlfn.XLOOKUP(Table4[[#This Row],[Default Resource Title]],'Updated Rate Card Import'!E:E,'Updated Rate Card Import'!C:C)</f>
        <v>81</v>
      </c>
    </row>
    <row r="250" spans="2:10" ht="28.2" x14ac:dyDescent="0.3">
      <c r="B250" s="2" t="s">
        <v>294</v>
      </c>
      <c r="C250" s="2" t="s">
        <v>1483</v>
      </c>
      <c r="D250" s="5" t="str">
        <f>IFERROR(VLOOKUP(Table4[[#This Row],[Role Type]],'Role Descriptions'!$A$1:$E$97,2,FALSE), "Missing role description data; for now, please see equivalent CrederaUS role type")</f>
        <v>Missing role description data; for now, please see equivalent CrederaUS role type</v>
      </c>
      <c r="E250" s="2" t="s">
        <v>1505</v>
      </c>
      <c r="F250" s="357">
        <v>13</v>
      </c>
      <c r="G250" s="2" t="s">
        <v>120</v>
      </c>
      <c r="H250" s="1299">
        <v>36</v>
      </c>
      <c r="I250" s="1300">
        <v>2</v>
      </c>
      <c r="J250" t="e">
        <f>_xlfn.XLOOKUP(Table4[[#This Row],[Default Resource Title]],'Updated Rate Card Import'!E:E,'Updated Rate Card Import'!C:C)</f>
        <v>#N/A</v>
      </c>
    </row>
    <row r="251" spans="2:10" ht="28.2" x14ac:dyDescent="0.3">
      <c r="B251" s="2" t="s">
        <v>294</v>
      </c>
      <c r="C251" s="2" t="s">
        <v>1484</v>
      </c>
      <c r="D251" s="5" t="str">
        <f>IFERROR(VLOOKUP(Table4[[#This Row],[Role Type]],'Role Descriptions'!$A$1:$E$97,2,FALSE), "Missing role description data; for now, please see equivalent CrederaUS role type")</f>
        <v>Missing role description data; for now, please see equivalent CrederaUS role type</v>
      </c>
      <c r="E251" s="2" t="s">
        <v>1506</v>
      </c>
      <c r="F251" s="357">
        <v>24</v>
      </c>
      <c r="G251" s="2" t="s">
        <v>120</v>
      </c>
      <c r="H251" s="1299">
        <v>65</v>
      </c>
      <c r="I251" s="1300">
        <v>2</v>
      </c>
      <c r="J251" t="e">
        <f>_xlfn.XLOOKUP(Table4[[#This Row],[Default Resource Title]],'Updated Rate Card Import'!E:E,'Updated Rate Card Import'!C:C)</f>
        <v>#N/A</v>
      </c>
    </row>
    <row r="252" spans="2:10" ht="28.2" x14ac:dyDescent="0.3">
      <c r="B252" s="2" t="s">
        <v>294</v>
      </c>
      <c r="C252" s="2" t="s">
        <v>1537</v>
      </c>
      <c r="D252" s="5" t="str">
        <f>IFERROR(VLOOKUP(Table4[[#This Row],[Role Type]],'Role Descriptions'!$A$1:$E$97,2,FALSE), "Missing role description data; for now, please see equivalent CrederaUS role type")</f>
        <v>Missing role description data; for now, please see equivalent CrederaUS role type</v>
      </c>
      <c r="E252" s="2" t="s">
        <v>1562</v>
      </c>
      <c r="F252" s="357">
        <v>43</v>
      </c>
      <c r="G252" s="2" t="s">
        <v>120</v>
      </c>
      <c r="H252" s="1299">
        <v>96</v>
      </c>
      <c r="I252" s="1300">
        <v>3</v>
      </c>
      <c r="J252">
        <f>_xlfn.XLOOKUP(Table4[[#This Row],[Default Resource Title]],'Updated Rate Card Import'!E:E,'Updated Rate Card Import'!C:C)</f>
        <v>43</v>
      </c>
    </row>
    <row r="253" spans="2:10" ht="28.2" x14ac:dyDescent="0.3">
      <c r="B253" s="2" t="s">
        <v>294</v>
      </c>
      <c r="C253" s="2" t="s">
        <v>1538</v>
      </c>
      <c r="D253" s="5" t="str">
        <f>IFERROR(VLOOKUP(Table4[[#This Row],[Role Type]],'Role Descriptions'!$A$1:$E$97,2,FALSE), "Missing role description data; for now, please see equivalent CrederaUS role type")</f>
        <v>Missing role description data; for now, please see equivalent CrederaUS role type</v>
      </c>
      <c r="E253" s="2" t="s">
        <v>1563</v>
      </c>
      <c r="F253" s="357">
        <v>56</v>
      </c>
      <c r="G253" s="2" t="s">
        <v>120</v>
      </c>
      <c r="H253" s="1299">
        <v>117</v>
      </c>
      <c r="I253" s="1300">
        <v>3</v>
      </c>
      <c r="J253">
        <f>_xlfn.XLOOKUP(Table4[[#This Row],[Default Resource Title]],'Updated Rate Card Import'!E:E,'Updated Rate Card Import'!C:C)</f>
        <v>56</v>
      </c>
    </row>
    <row r="254" spans="2:10" ht="28.2" x14ac:dyDescent="0.3">
      <c r="B254" s="2" t="s">
        <v>294</v>
      </c>
      <c r="C254" s="2" t="s">
        <v>1611</v>
      </c>
      <c r="D254" s="5" t="str">
        <f>IFERROR(VLOOKUP(Table4[[#This Row],[Role Type]],'Role Descriptions'!$A$1:$E$97,2,FALSE), "Missing role description data; for now, please see equivalent CrederaUS role type")</f>
        <v>Missing role description data; for now, please see equivalent CrederaUS role type</v>
      </c>
      <c r="E254" s="2" t="s">
        <v>1593</v>
      </c>
      <c r="F254" s="357">
        <v>69</v>
      </c>
      <c r="G254" s="2" t="s">
        <v>120</v>
      </c>
      <c r="H254" s="1299">
        <v>138</v>
      </c>
      <c r="I254" s="1300">
        <v>4</v>
      </c>
      <c r="J254">
        <f>_xlfn.XLOOKUP(Table4[[#This Row],[Default Resource Title]],'Updated Rate Card Import'!E:E,'Updated Rate Card Import'!C:C)</f>
        <v>69</v>
      </c>
    </row>
    <row r="255" spans="2:10" ht="28.2" x14ac:dyDescent="0.3">
      <c r="B255" s="2" t="s">
        <v>294</v>
      </c>
      <c r="C255" s="2" t="s">
        <v>1621</v>
      </c>
      <c r="D255" s="5" t="str">
        <f>IFERROR(VLOOKUP(Table4[[#This Row],[Role Type]],'Role Descriptions'!$A$1:$E$97,2,FALSE), "Missing role description data; for now, please see equivalent CrederaUS role type")</f>
        <v>Missing role description data; for now, please see equivalent CrederaUS role type</v>
      </c>
      <c r="E255" s="2" t="s">
        <v>1634</v>
      </c>
      <c r="F255" s="357">
        <v>81</v>
      </c>
      <c r="G255" s="2" t="s">
        <v>120</v>
      </c>
      <c r="H255" s="1299">
        <v>148</v>
      </c>
      <c r="I255" s="1300">
        <v>5</v>
      </c>
      <c r="J255">
        <f>_xlfn.XLOOKUP(Table4[[#This Row],[Default Resource Title]],'Updated Rate Card Import'!E:E,'Updated Rate Card Import'!C:C)</f>
        <v>81</v>
      </c>
    </row>
    <row r="256" spans="2:10" ht="28.2" x14ac:dyDescent="0.3">
      <c r="B256" s="2" t="s">
        <v>294</v>
      </c>
      <c r="C256" s="2" t="s">
        <v>1669</v>
      </c>
      <c r="D256" s="5" t="str">
        <f>IFERROR(VLOOKUP(Table4[[#This Row],[Role Type]],'Role Descriptions'!$A$1:$E$97,2,FALSE), "Missing role description data; for now, please see equivalent CrederaUS role type")</f>
        <v>Missing role description data; for now, please see equivalent CrederaUS role type</v>
      </c>
      <c r="E256" s="2" t="s">
        <v>1672</v>
      </c>
      <c r="F256" s="357">
        <v>99</v>
      </c>
      <c r="G256" s="2" t="s">
        <v>120</v>
      </c>
      <c r="H256" s="1299">
        <v>165</v>
      </c>
      <c r="I256" s="1300">
        <v>6</v>
      </c>
      <c r="J256">
        <f>_xlfn.XLOOKUP(Table4[[#This Row],[Default Resource Title]],'Updated Rate Card Import'!E:E,'Updated Rate Card Import'!C:C)</f>
        <v>99</v>
      </c>
    </row>
    <row r="257" spans="2:10" ht="28.2" x14ac:dyDescent="0.3">
      <c r="B257" s="2" t="s">
        <v>269</v>
      </c>
      <c r="C257" s="2" t="s">
        <v>1469</v>
      </c>
      <c r="D257" s="5" t="str">
        <f>IFERROR(VLOOKUP(Table4[[#This Row],[Role Type]],'Role Descriptions'!$A$1:$E$97,2,FALSE), "Missing role description data; for now, please see equivalent CrederaUS role type")</f>
        <v>Missing role description data; for now, please see equivalent CrederaUS role type</v>
      </c>
      <c r="E257" s="2" t="s">
        <v>1507</v>
      </c>
      <c r="F257" s="357">
        <v>13</v>
      </c>
      <c r="G257" s="2" t="s">
        <v>120</v>
      </c>
      <c r="H257" s="1299">
        <v>36</v>
      </c>
      <c r="I257" s="1300">
        <v>2</v>
      </c>
      <c r="J257">
        <f>_xlfn.XLOOKUP(Table4[[#This Row],[Default Resource Title]],'Updated Rate Card Import'!E:E,'Updated Rate Card Import'!C:C)</f>
        <v>13</v>
      </c>
    </row>
    <row r="258" spans="2:10" ht="28.2" x14ac:dyDescent="0.3">
      <c r="B258" s="2" t="s">
        <v>269</v>
      </c>
      <c r="C258" s="2" t="s">
        <v>1470</v>
      </c>
      <c r="D258" s="5" t="str">
        <f>IFERROR(VLOOKUP(Table4[[#This Row],[Role Type]],'Role Descriptions'!$A$1:$E$97,2,FALSE), "Missing role description data; for now, please see equivalent CrederaUS role type")</f>
        <v>Missing role description data; for now, please see equivalent CrederaUS role type</v>
      </c>
      <c r="E258" s="2" t="s">
        <v>1508</v>
      </c>
      <c r="F258" s="357">
        <v>21</v>
      </c>
      <c r="G258" s="2" t="s">
        <v>120</v>
      </c>
      <c r="H258" s="1299">
        <v>57</v>
      </c>
      <c r="I258" s="1300">
        <v>2</v>
      </c>
      <c r="J258">
        <f>_xlfn.XLOOKUP(Table4[[#This Row],[Default Resource Title]],'Updated Rate Card Import'!E:E,'Updated Rate Card Import'!C:C)</f>
        <v>21</v>
      </c>
    </row>
    <row r="259" spans="2:10" ht="28.2" x14ac:dyDescent="0.3">
      <c r="B259" s="2" t="s">
        <v>269</v>
      </c>
      <c r="C259" s="2" t="s">
        <v>1522</v>
      </c>
      <c r="D259" s="5" t="str">
        <f>IFERROR(VLOOKUP(Table4[[#This Row],[Role Type]],'Role Descriptions'!$A$1:$E$97,2,FALSE), "Missing role description data; for now, please see equivalent CrederaUS role type")</f>
        <v>Missing role description data; for now, please see equivalent CrederaUS role type</v>
      </c>
      <c r="E259" s="2" t="s">
        <v>1564</v>
      </c>
      <c r="F259" s="357">
        <v>39</v>
      </c>
      <c r="G259" s="2" t="s">
        <v>120</v>
      </c>
      <c r="H259" s="1299">
        <v>87</v>
      </c>
      <c r="I259" s="1300">
        <v>3</v>
      </c>
      <c r="J259">
        <f>_xlfn.XLOOKUP(Table4[[#This Row],[Default Resource Title]],'Updated Rate Card Import'!E:E,'Updated Rate Card Import'!C:C)</f>
        <v>39</v>
      </c>
    </row>
    <row r="260" spans="2:10" ht="28.2" x14ac:dyDescent="0.3">
      <c r="B260" s="2" t="s">
        <v>269</v>
      </c>
      <c r="C260" s="2" t="s">
        <v>1523</v>
      </c>
      <c r="D260" s="5" t="str">
        <f>IFERROR(VLOOKUP(Table4[[#This Row],[Role Type]],'Role Descriptions'!$A$1:$E$97,2,FALSE), "Missing role description data; for now, please see equivalent CrederaUS role type")</f>
        <v>Missing role description data; for now, please see equivalent CrederaUS role type</v>
      </c>
      <c r="E260" s="2" t="s">
        <v>1565</v>
      </c>
      <c r="F260" s="357">
        <v>49</v>
      </c>
      <c r="G260" s="2" t="s">
        <v>120</v>
      </c>
      <c r="H260" s="1299">
        <v>103</v>
      </c>
      <c r="I260" s="1300">
        <v>3</v>
      </c>
      <c r="J260">
        <f>_xlfn.XLOOKUP(Table4[[#This Row],[Default Resource Title]],'Updated Rate Card Import'!E:E,'Updated Rate Card Import'!C:C)</f>
        <v>49</v>
      </c>
    </row>
    <row r="261" spans="2:10" ht="28.2" x14ac:dyDescent="0.3">
      <c r="B261" s="2" t="s">
        <v>269</v>
      </c>
      <c r="C261" s="2" t="s">
        <v>1603</v>
      </c>
      <c r="D261" s="5" t="str">
        <f>IFERROR(VLOOKUP(Table4[[#This Row],[Role Type]],'Role Descriptions'!$A$1:$E$97,2,FALSE), "Missing role description data; for now, please see equivalent CrederaUS role type")</f>
        <v>Missing role description data; for now, please see equivalent CrederaUS role type</v>
      </c>
      <c r="E261" s="2" t="s">
        <v>1594</v>
      </c>
      <c r="F261" s="357">
        <v>60</v>
      </c>
      <c r="G261" s="2" t="s">
        <v>120</v>
      </c>
      <c r="H261" s="1299">
        <v>120</v>
      </c>
      <c r="I261" s="1300">
        <v>4</v>
      </c>
      <c r="J261">
        <f>_xlfn.XLOOKUP(Table4[[#This Row],[Default Resource Title]],'Updated Rate Card Import'!E:E,'Updated Rate Card Import'!C:C)</f>
        <v>60</v>
      </c>
    </row>
    <row r="262" spans="2:10" ht="28.2" x14ac:dyDescent="0.3">
      <c r="B262" s="2" t="s">
        <v>269</v>
      </c>
      <c r="C262" s="2" t="s">
        <v>1612</v>
      </c>
      <c r="D262" s="5" t="str">
        <f>IFERROR(VLOOKUP(Table4[[#This Row],[Role Type]],'Role Descriptions'!$A$1:$E$97,2,FALSE), "Missing role description data; for now, please see equivalent CrederaUS role type")</f>
        <v>Missing role description data; for now, please see equivalent CrederaUS role type</v>
      </c>
      <c r="E262" s="2" t="s">
        <v>1635</v>
      </c>
      <c r="F262" s="357">
        <v>81</v>
      </c>
      <c r="G262" s="2" t="s">
        <v>120</v>
      </c>
      <c r="H262" s="1299">
        <v>148</v>
      </c>
      <c r="I262" s="1300">
        <v>5</v>
      </c>
      <c r="J262">
        <f>_xlfn.XLOOKUP(Table4[[#This Row],[Default Resource Title]],'Updated Rate Card Import'!E:E,'Updated Rate Card Import'!C:C)</f>
        <v>81</v>
      </c>
    </row>
    <row r="263" spans="2:10" ht="28.2" x14ac:dyDescent="0.3">
      <c r="B263" s="2" t="s">
        <v>269</v>
      </c>
      <c r="C263" s="2" t="s">
        <v>1662</v>
      </c>
      <c r="D263" s="5" t="str">
        <f>IFERROR(VLOOKUP(Table4[[#This Row],[Role Type]],'Role Descriptions'!$A$1:$E$97,2,FALSE), "Missing role description data; for now, please see equivalent CrederaUS role type")</f>
        <v>Missing role description data; for now, please see equivalent CrederaUS role type</v>
      </c>
      <c r="E263" s="2" t="s">
        <v>1654</v>
      </c>
      <c r="F263" s="357">
        <v>99</v>
      </c>
      <c r="G263" s="2" t="s">
        <v>120</v>
      </c>
      <c r="H263" s="1299">
        <v>165</v>
      </c>
      <c r="I263" s="1300">
        <v>6</v>
      </c>
      <c r="J263">
        <f>_xlfn.XLOOKUP(Table4[[#This Row],[Default Resource Title]],'Updated Rate Card Import'!E:E,'Updated Rate Card Import'!C:C)</f>
        <v>99</v>
      </c>
    </row>
    <row r="264" spans="2:10" ht="28.2" x14ac:dyDescent="0.3">
      <c r="B264" s="2" t="s">
        <v>269</v>
      </c>
      <c r="C264" s="2" t="s">
        <v>1476</v>
      </c>
      <c r="D264" s="5" t="str">
        <f>IFERROR(VLOOKUP(Table4[[#This Row],[Role Type]],'Role Descriptions'!$A$1:$E$97,2,FALSE), "Missing role description data; for now, please see equivalent CrederaUS role type")</f>
        <v>Missing role description data; for now, please see equivalent CrederaUS role type</v>
      </c>
      <c r="E264" s="2" t="s">
        <v>1509</v>
      </c>
      <c r="F264" s="357">
        <v>11</v>
      </c>
      <c r="G264" s="2" t="s">
        <v>120</v>
      </c>
      <c r="H264" s="1299">
        <v>30</v>
      </c>
      <c r="I264" s="1300">
        <v>2</v>
      </c>
      <c r="J264">
        <f>_xlfn.XLOOKUP(Table4[[#This Row],[Default Resource Title]],'Updated Rate Card Import'!E:E,'Updated Rate Card Import'!C:C)</f>
        <v>11</v>
      </c>
    </row>
    <row r="265" spans="2:10" ht="28.2" x14ac:dyDescent="0.3">
      <c r="B265" s="2" t="s">
        <v>269</v>
      </c>
      <c r="C265" s="2" t="s">
        <v>1477</v>
      </c>
      <c r="D265" s="5" t="str">
        <f>IFERROR(VLOOKUP(Table4[[#This Row],[Role Type]],'Role Descriptions'!$A$1:$E$97,2,FALSE), "Missing role description data; for now, please see equivalent CrederaUS role type")</f>
        <v>Missing role description data; for now, please see equivalent CrederaUS role type</v>
      </c>
      <c r="E265" s="2" t="s">
        <v>1510</v>
      </c>
      <c r="F265" s="357">
        <v>18</v>
      </c>
      <c r="G265" s="2" t="s">
        <v>120</v>
      </c>
      <c r="H265" s="1299">
        <v>49</v>
      </c>
      <c r="I265" s="1300">
        <v>2</v>
      </c>
      <c r="J265">
        <f>_xlfn.XLOOKUP(Table4[[#This Row],[Default Resource Title]],'Updated Rate Card Import'!E:E,'Updated Rate Card Import'!C:C)</f>
        <v>18</v>
      </c>
    </row>
    <row r="266" spans="2:10" ht="28.2" x14ac:dyDescent="0.3">
      <c r="B266" s="2" t="s">
        <v>269</v>
      </c>
      <c r="C266" s="2" t="s">
        <v>1530</v>
      </c>
      <c r="D266" s="5" t="str">
        <f>IFERROR(VLOOKUP(Table4[[#This Row],[Role Type]],'Role Descriptions'!$A$1:$E$97,2,FALSE), "Missing role description data; for now, please see equivalent CrederaUS role type")</f>
        <v>Missing role description data; for now, please see equivalent CrederaUS role type</v>
      </c>
      <c r="E266" s="2" t="s">
        <v>1566</v>
      </c>
      <c r="F266" s="357">
        <v>25</v>
      </c>
      <c r="G266" s="2" t="s">
        <v>120</v>
      </c>
      <c r="H266" s="1299">
        <v>56</v>
      </c>
      <c r="I266" s="1300">
        <v>3</v>
      </c>
      <c r="J266">
        <f>_xlfn.XLOOKUP(Table4[[#This Row],[Default Resource Title]],'Updated Rate Card Import'!E:E,'Updated Rate Card Import'!C:C)</f>
        <v>25</v>
      </c>
    </row>
    <row r="267" spans="2:10" ht="28.2" x14ac:dyDescent="0.3">
      <c r="B267" s="2" t="s">
        <v>269</v>
      </c>
      <c r="C267" s="2" t="s">
        <v>1531</v>
      </c>
      <c r="D267" s="5" t="str">
        <f>IFERROR(VLOOKUP(Table4[[#This Row],[Role Type]],'Role Descriptions'!$A$1:$E$97,2,FALSE), "Missing role description data; for now, please see equivalent CrederaUS role type")</f>
        <v>Missing role description data; for now, please see equivalent CrederaUS role type</v>
      </c>
      <c r="E267" s="2" t="s">
        <v>1567</v>
      </c>
      <c r="F267" s="357">
        <v>33</v>
      </c>
      <c r="G267" s="2" t="s">
        <v>120</v>
      </c>
      <c r="H267" s="1299">
        <v>69</v>
      </c>
      <c r="I267" s="1300">
        <v>3</v>
      </c>
      <c r="J267">
        <f>_xlfn.XLOOKUP(Table4[[#This Row],[Default Resource Title]],'Updated Rate Card Import'!E:E,'Updated Rate Card Import'!C:C)</f>
        <v>33</v>
      </c>
    </row>
    <row r="268" spans="2:10" ht="28.2" x14ac:dyDescent="0.3">
      <c r="B268" s="2" t="s">
        <v>269</v>
      </c>
      <c r="C268" s="2" t="s">
        <v>1471</v>
      </c>
      <c r="D268" s="5" t="str">
        <f>IFERROR(VLOOKUP(Table4[[#This Row],[Role Type]],'Role Descriptions'!$A$1:$E$97,2,FALSE), "Missing role description data; for now, please see equivalent CrederaUS role type")</f>
        <v>Missing role description data; for now, please see equivalent CrederaUS role type</v>
      </c>
      <c r="E268" s="2" t="s">
        <v>1511</v>
      </c>
      <c r="F268" s="357">
        <v>13</v>
      </c>
      <c r="G268" s="2" t="s">
        <v>120</v>
      </c>
      <c r="H268" s="1299">
        <v>36</v>
      </c>
      <c r="I268" s="1300">
        <v>2</v>
      </c>
      <c r="J268">
        <f>_xlfn.XLOOKUP(Table4[[#This Row],[Default Resource Title]],'Updated Rate Card Import'!E:E,'Updated Rate Card Import'!C:C)</f>
        <v>13</v>
      </c>
    </row>
    <row r="269" spans="2:10" ht="28.2" x14ac:dyDescent="0.3">
      <c r="B269" s="2" t="s">
        <v>269</v>
      </c>
      <c r="C269" s="2" t="s">
        <v>1472</v>
      </c>
      <c r="D269" s="5" t="str">
        <f>IFERROR(VLOOKUP(Table4[[#This Row],[Role Type]],'Role Descriptions'!$A$1:$E$97,2,FALSE), "Missing role description data; for now, please see equivalent CrederaUS role type")</f>
        <v>Missing role description data; for now, please see equivalent CrederaUS role type</v>
      </c>
      <c r="E269" s="2" t="s">
        <v>1512</v>
      </c>
      <c r="F269" s="357">
        <v>23</v>
      </c>
      <c r="G269" s="2" t="s">
        <v>120</v>
      </c>
      <c r="H269" s="1299">
        <v>63</v>
      </c>
      <c r="I269" s="1300">
        <v>2</v>
      </c>
      <c r="J269">
        <f>_xlfn.XLOOKUP(Table4[[#This Row],[Default Resource Title]],'Updated Rate Card Import'!E:E,'Updated Rate Card Import'!C:C)</f>
        <v>23</v>
      </c>
    </row>
    <row r="270" spans="2:10" ht="28.2" x14ac:dyDescent="0.3">
      <c r="B270" s="2" t="s">
        <v>269</v>
      </c>
      <c r="C270" s="2" t="s">
        <v>1524</v>
      </c>
      <c r="D270" s="5" t="str">
        <f>IFERROR(VLOOKUP(Table4[[#This Row],[Role Type]],'Role Descriptions'!$A$1:$E$97,2,FALSE), "Missing role description data; for now, please see equivalent CrederaUS role type")</f>
        <v>Missing role description data; for now, please see equivalent CrederaUS role type</v>
      </c>
      <c r="E270" s="2" t="s">
        <v>1568</v>
      </c>
      <c r="F270" s="357">
        <v>43</v>
      </c>
      <c r="G270" s="2" t="s">
        <v>120</v>
      </c>
      <c r="H270" s="1299">
        <v>96</v>
      </c>
      <c r="I270" s="1300">
        <v>3</v>
      </c>
      <c r="J270">
        <f>_xlfn.XLOOKUP(Table4[[#This Row],[Default Resource Title]],'Updated Rate Card Import'!E:E,'Updated Rate Card Import'!C:C)</f>
        <v>43</v>
      </c>
    </row>
    <row r="271" spans="2:10" ht="28.2" x14ac:dyDescent="0.3">
      <c r="B271" s="2" t="s">
        <v>269</v>
      </c>
      <c r="C271" s="2" t="s">
        <v>1525</v>
      </c>
      <c r="D271" s="5" t="str">
        <f>IFERROR(VLOOKUP(Table4[[#This Row],[Role Type]],'Role Descriptions'!$A$1:$E$97,2,FALSE), "Missing role description data; for now, please see equivalent CrederaUS role type")</f>
        <v>Missing role description data; for now, please see equivalent CrederaUS role type</v>
      </c>
      <c r="E271" s="2" t="s">
        <v>1569</v>
      </c>
      <c r="F271" s="357">
        <v>53</v>
      </c>
      <c r="G271" s="2" t="s">
        <v>120</v>
      </c>
      <c r="H271" s="1299">
        <v>111</v>
      </c>
      <c r="I271" s="1300">
        <v>3</v>
      </c>
      <c r="J271">
        <f>_xlfn.XLOOKUP(Table4[[#This Row],[Default Resource Title]],'Updated Rate Card Import'!E:E,'Updated Rate Card Import'!C:C)</f>
        <v>53</v>
      </c>
    </row>
    <row r="272" spans="2:10" ht="28.2" x14ac:dyDescent="0.3">
      <c r="B272" s="2" t="s">
        <v>269</v>
      </c>
      <c r="C272" s="2" t="s">
        <v>1604</v>
      </c>
      <c r="D272" s="5" t="str">
        <f>IFERROR(VLOOKUP(Table4[[#This Row],[Role Type]],'Role Descriptions'!$A$1:$E$97,2,FALSE), "Missing role description data; for now, please see equivalent CrederaUS role type")</f>
        <v>Missing role description data; for now, please see equivalent CrederaUS role type</v>
      </c>
      <c r="E272" s="2" t="s">
        <v>1595</v>
      </c>
      <c r="F272" s="357">
        <v>60</v>
      </c>
      <c r="G272" s="2" t="s">
        <v>120</v>
      </c>
      <c r="H272" s="1299">
        <v>120</v>
      </c>
      <c r="I272" s="1300">
        <v>4</v>
      </c>
      <c r="J272">
        <f>_xlfn.XLOOKUP(Table4[[#This Row],[Default Resource Title]],'Updated Rate Card Import'!E:E,'Updated Rate Card Import'!C:C)</f>
        <v>60</v>
      </c>
    </row>
    <row r="273" spans="2:10" ht="28.2" x14ac:dyDescent="0.3">
      <c r="B273" s="2" t="s">
        <v>269</v>
      </c>
      <c r="C273" s="2" t="s">
        <v>1613</v>
      </c>
      <c r="D273" s="5" t="str">
        <f>IFERROR(VLOOKUP(Table4[[#This Row],[Role Type]],'Role Descriptions'!$A$1:$E$97,2,FALSE), "Missing role description data; for now, please see equivalent CrederaUS role type")</f>
        <v>Missing role description data; for now, please see equivalent CrederaUS role type</v>
      </c>
      <c r="E273" s="2" t="s">
        <v>1636</v>
      </c>
      <c r="F273" s="357">
        <v>81</v>
      </c>
      <c r="G273" s="2" t="s">
        <v>120</v>
      </c>
      <c r="H273" s="1299">
        <v>148</v>
      </c>
      <c r="I273" s="1300">
        <v>5</v>
      </c>
      <c r="J273">
        <f>_xlfn.XLOOKUP(Table4[[#This Row],[Default Resource Title]],'Updated Rate Card Import'!E:E,'Updated Rate Card Import'!C:C)</f>
        <v>81</v>
      </c>
    </row>
    <row r="274" spans="2:10" ht="28.2" x14ac:dyDescent="0.3">
      <c r="B274" s="2" t="s">
        <v>269</v>
      </c>
      <c r="C274" s="2" t="s">
        <v>1663</v>
      </c>
      <c r="D274" s="5" t="str">
        <f>IFERROR(VLOOKUP(Table4[[#This Row],[Role Type]],'Role Descriptions'!$A$1:$E$97,2,FALSE), "Missing role description data; for now, please see equivalent CrederaUS role type")</f>
        <v>Missing role description data; for now, please see equivalent CrederaUS role type</v>
      </c>
      <c r="E274" s="2" t="s">
        <v>1655</v>
      </c>
      <c r="F274" s="357">
        <v>99</v>
      </c>
      <c r="G274" s="2" t="s">
        <v>120</v>
      </c>
      <c r="H274" s="1299">
        <v>165</v>
      </c>
      <c r="I274" s="1300">
        <v>6</v>
      </c>
      <c r="J274">
        <f>_xlfn.XLOOKUP(Table4[[#This Row],[Default Resource Title]],'Updated Rate Card Import'!E:E,'Updated Rate Card Import'!C:C)</f>
        <v>99</v>
      </c>
    </row>
    <row r="275" spans="2:10" ht="28.2" x14ac:dyDescent="0.3">
      <c r="B275" s="2" t="s">
        <v>269</v>
      </c>
      <c r="C275" s="2" t="s">
        <v>1478</v>
      </c>
      <c r="D275" s="5" t="str">
        <f>IFERROR(VLOOKUP(Table4[[#This Row],[Role Type]],'Role Descriptions'!$A$1:$E$97,2,FALSE), "Missing role description data; for now, please see equivalent CrederaUS role type")</f>
        <v>Missing role description data; for now, please see equivalent CrederaUS role type</v>
      </c>
      <c r="E275" s="2" t="s">
        <v>1513</v>
      </c>
      <c r="F275" s="357">
        <v>13</v>
      </c>
      <c r="G275" s="2" t="s">
        <v>120</v>
      </c>
      <c r="H275" s="1299">
        <v>36</v>
      </c>
      <c r="I275" s="1300">
        <v>2</v>
      </c>
      <c r="J275">
        <f>_xlfn.XLOOKUP(Table4[[#This Row],[Default Resource Title]],'Updated Rate Card Import'!E:E,'Updated Rate Card Import'!C:C)</f>
        <v>13</v>
      </c>
    </row>
    <row r="276" spans="2:10" ht="28.2" x14ac:dyDescent="0.3">
      <c r="B276" s="2" t="s">
        <v>269</v>
      </c>
      <c r="C276" s="2" t="s">
        <v>1532</v>
      </c>
      <c r="D276" s="5" t="str">
        <f>IFERROR(VLOOKUP(Table4[[#This Row],[Role Type]],'Role Descriptions'!$A$1:$E$97,2,FALSE), "Missing role description data; for now, please see equivalent CrederaUS role type")</f>
        <v>Missing role description data; for now, please see equivalent CrederaUS role type</v>
      </c>
      <c r="E276" s="2" t="s">
        <v>1570</v>
      </c>
      <c r="F276" s="357">
        <v>27</v>
      </c>
      <c r="G276" s="2" t="s">
        <v>120</v>
      </c>
      <c r="H276" s="1299">
        <v>73</v>
      </c>
      <c r="I276" s="1300">
        <v>3</v>
      </c>
      <c r="J276">
        <f>_xlfn.XLOOKUP(Table4[[#This Row],[Default Resource Title]],'Updated Rate Card Import'!E:E,'Updated Rate Card Import'!C:C)</f>
        <v>27</v>
      </c>
    </row>
    <row r="277" spans="2:10" ht="28.2" x14ac:dyDescent="0.3">
      <c r="B277" s="2" t="s">
        <v>269</v>
      </c>
      <c r="C277" s="2" t="s">
        <v>1606</v>
      </c>
      <c r="D277" s="5" t="str">
        <f>IFERROR(VLOOKUP(Table4[[#This Row],[Role Type]],'Role Descriptions'!$A$1:$E$97,2,FALSE), "Missing role description data; for now, please see equivalent CrederaUS role type")</f>
        <v>Missing role description data; for now, please see equivalent CrederaUS role type</v>
      </c>
      <c r="E277" s="2" t="s">
        <v>1596</v>
      </c>
      <c r="F277" s="357">
        <v>41</v>
      </c>
      <c r="G277" s="2" t="s">
        <v>120</v>
      </c>
      <c r="H277" s="1299">
        <v>86</v>
      </c>
      <c r="I277" s="1300">
        <v>4</v>
      </c>
      <c r="J277">
        <f>_xlfn.XLOOKUP(Table4[[#This Row],[Default Resource Title]],'Updated Rate Card Import'!E:E,'Updated Rate Card Import'!C:C)</f>
        <v>41</v>
      </c>
    </row>
    <row r="278" spans="2:10" ht="28.2" x14ac:dyDescent="0.3">
      <c r="B278" s="2" t="s">
        <v>269</v>
      </c>
      <c r="C278" s="2" t="s">
        <v>1479</v>
      </c>
      <c r="D278" s="5" t="str">
        <f>IFERROR(VLOOKUP(Table4[[#This Row],[Role Type]],'Role Descriptions'!$A$1:$E$97,2,FALSE), "Missing role description data; for now, please see equivalent CrederaUS role type")</f>
        <v>Missing role description data; for now, please see equivalent CrederaUS role type</v>
      </c>
      <c r="E278" s="2" t="s">
        <v>1514</v>
      </c>
      <c r="F278" s="357">
        <v>13</v>
      </c>
      <c r="G278" s="2" t="s">
        <v>120</v>
      </c>
      <c r="H278" s="1299">
        <v>36</v>
      </c>
      <c r="I278" s="1300">
        <v>2</v>
      </c>
      <c r="J278">
        <f>_xlfn.XLOOKUP(Table4[[#This Row],[Default Resource Title]],'Updated Rate Card Import'!E:E,'Updated Rate Card Import'!C:C)</f>
        <v>13</v>
      </c>
    </row>
    <row r="279" spans="2:10" ht="28.2" x14ac:dyDescent="0.3">
      <c r="B279" s="2" t="s">
        <v>269</v>
      </c>
      <c r="C279" s="2" t="s">
        <v>1533</v>
      </c>
      <c r="D279" s="5" t="str">
        <f>IFERROR(VLOOKUP(Table4[[#This Row],[Role Type]],'Role Descriptions'!$A$1:$E$97,2,FALSE), "Missing role description data; for now, please see equivalent CrederaUS role type")</f>
        <v>Missing role description data; for now, please see equivalent CrederaUS role type</v>
      </c>
      <c r="E279" s="2" t="s">
        <v>1571</v>
      </c>
      <c r="F279" s="357">
        <v>22</v>
      </c>
      <c r="G279" s="2" t="s">
        <v>120</v>
      </c>
      <c r="H279" s="1299">
        <v>53</v>
      </c>
      <c r="I279" s="1300">
        <v>3</v>
      </c>
      <c r="J279">
        <f>_xlfn.XLOOKUP(Table4[[#This Row],[Default Resource Title]],'Updated Rate Card Import'!E:E,'Updated Rate Card Import'!C:C)</f>
        <v>22</v>
      </c>
    </row>
    <row r="280" spans="2:10" ht="28.2" x14ac:dyDescent="0.3">
      <c r="B280" s="2" t="s">
        <v>269</v>
      </c>
      <c r="C280" s="2" t="s">
        <v>1607</v>
      </c>
      <c r="D280" s="5" t="str">
        <f>IFERROR(VLOOKUP(Table4[[#This Row],[Role Type]],'Role Descriptions'!$A$1:$E$97,2,FALSE), "Missing role description data; for now, please see equivalent CrederaUS role type")</f>
        <v>Missing role description data; for now, please see equivalent CrederaUS role type</v>
      </c>
      <c r="E280" s="2" t="s">
        <v>1597</v>
      </c>
      <c r="F280" s="357">
        <v>39</v>
      </c>
      <c r="G280" s="2" t="s">
        <v>120</v>
      </c>
      <c r="H280" s="1299">
        <v>82</v>
      </c>
      <c r="I280" s="1300">
        <v>4</v>
      </c>
      <c r="J280">
        <f>_xlfn.XLOOKUP(Table4[[#This Row],[Default Resource Title]],'Updated Rate Card Import'!E:E,'Updated Rate Card Import'!C:C)</f>
        <v>39</v>
      </c>
    </row>
    <row r="281" spans="2:10" ht="28.2" x14ac:dyDescent="0.3">
      <c r="B281" s="2" t="s">
        <v>269</v>
      </c>
      <c r="C281" s="2" t="s">
        <v>1615</v>
      </c>
      <c r="D281" s="5" t="str">
        <f>IFERROR(VLOOKUP(Table4[[#This Row],[Role Type]],'Role Descriptions'!$A$1:$E$97,2,FALSE), "Missing role description data; for now, please see equivalent CrederaUS role type")</f>
        <v>Missing role description data; for now, please see equivalent CrederaUS role type</v>
      </c>
      <c r="E281" s="2" t="s">
        <v>1637</v>
      </c>
      <c r="F281" s="357">
        <v>53</v>
      </c>
      <c r="G281" s="2" t="s">
        <v>120</v>
      </c>
      <c r="H281" s="1299">
        <v>106</v>
      </c>
      <c r="I281" s="1300">
        <v>5</v>
      </c>
      <c r="J281">
        <f>_xlfn.XLOOKUP(Table4[[#This Row],[Default Resource Title]],'Updated Rate Card Import'!E:E,'Updated Rate Card Import'!C:C)</f>
        <v>53</v>
      </c>
    </row>
    <row r="282" spans="2:10" ht="28.2" x14ac:dyDescent="0.3">
      <c r="B282" s="2" t="s">
        <v>269</v>
      </c>
      <c r="C282" s="2" t="s">
        <v>1616</v>
      </c>
      <c r="D282" s="5" t="str">
        <f>IFERROR(VLOOKUP(Table4[[#This Row],[Role Type]],'Role Descriptions'!$A$1:$E$97,2,FALSE), "Missing role description data; for now, please see equivalent CrederaUS role type")</f>
        <v>Missing role description data; for now, please see equivalent CrederaUS role type</v>
      </c>
      <c r="E282" s="2" t="s">
        <v>1671</v>
      </c>
      <c r="F282" s="357">
        <v>63</v>
      </c>
      <c r="G282" s="2" t="s">
        <v>120</v>
      </c>
      <c r="H282" s="1299">
        <v>126</v>
      </c>
      <c r="I282" s="1300">
        <v>5</v>
      </c>
      <c r="J282">
        <f>_xlfn.XLOOKUP(Table4[[#This Row],[Default Resource Title]],'Updated Rate Card Import'!E:E,'Updated Rate Card Import'!C:C)</f>
        <v>63</v>
      </c>
    </row>
    <row r="283" spans="2:10" ht="28.2" x14ac:dyDescent="0.3">
      <c r="B283" s="2" t="s">
        <v>269</v>
      </c>
      <c r="C283" s="2" t="s">
        <v>1665</v>
      </c>
      <c r="D283" s="5" t="str">
        <f>IFERROR(VLOOKUP(Table4[[#This Row],[Role Type]],'Role Descriptions'!$A$1:$E$97,2,FALSE), "Missing role description data; for now, please see equivalent CrederaUS role type")</f>
        <v>Missing role description data; for now, please see equivalent CrederaUS role type</v>
      </c>
      <c r="E283" s="2" t="s">
        <v>1656</v>
      </c>
      <c r="F283" s="357">
        <v>81</v>
      </c>
      <c r="G283" s="2" t="s">
        <v>120</v>
      </c>
      <c r="H283" s="1299">
        <v>162</v>
      </c>
      <c r="I283" s="1300">
        <v>6</v>
      </c>
      <c r="J283">
        <f>_xlfn.XLOOKUP(Table4[[#This Row],[Default Resource Title]],'Updated Rate Card Import'!E:E,'Updated Rate Card Import'!C:C)</f>
        <v>81</v>
      </c>
    </row>
    <row r="284" spans="2:10" ht="28.2" x14ac:dyDescent="0.3">
      <c r="B284" s="2" t="s">
        <v>269</v>
      </c>
      <c r="C284" s="2" t="s">
        <v>1527</v>
      </c>
      <c r="D284" s="5" t="str">
        <f>IFERROR(VLOOKUP(Table4[[#This Row],[Role Type]],'Role Descriptions'!$A$1:$E$97,2,FALSE), "Missing role description data; for now, please see equivalent CrederaUS role type")</f>
        <v>Missing role description data; for now, please see equivalent CrederaUS role type</v>
      </c>
      <c r="E284" s="2" t="s">
        <v>1572</v>
      </c>
      <c r="F284" s="357">
        <v>32</v>
      </c>
      <c r="G284" s="2" t="s">
        <v>120</v>
      </c>
      <c r="H284" s="1299">
        <v>67</v>
      </c>
      <c r="I284" s="1300">
        <v>3</v>
      </c>
      <c r="J284">
        <f>_xlfn.XLOOKUP(Table4[[#This Row],[Default Resource Title]],'Updated Rate Card Import'!E:E,'Updated Rate Card Import'!C:C)</f>
        <v>32</v>
      </c>
    </row>
    <row r="285" spans="2:10" ht="28.2" x14ac:dyDescent="0.3">
      <c r="B285" s="2" t="s">
        <v>269</v>
      </c>
      <c r="C285" s="2" t="s">
        <v>1617</v>
      </c>
      <c r="D285" s="5" t="str">
        <f>IFERROR(VLOOKUP(Table4[[#This Row],[Role Type]],'Role Descriptions'!$A$1:$E$97,2,FALSE), "Missing role description data; for now, please see equivalent CrederaUS role type")</f>
        <v>Missing role description data; for now, please see equivalent CrederaUS role type</v>
      </c>
      <c r="E285" s="2" t="s">
        <v>1638</v>
      </c>
      <c r="F285" s="357">
        <v>41</v>
      </c>
      <c r="G285" s="2" t="s">
        <v>120</v>
      </c>
      <c r="H285" s="1299">
        <v>82</v>
      </c>
      <c r="I285" s="1300">
        <v>5</v>
      </c>
      <c r="J285">
        <f>_xlfn.XLOOKUP(Table4[[#This Row],[Default Resource Title]],'Updated Rate Card Import'!E:E,'Updated Rate Card Import'!C:C)</f>
        <v>41</v>
      </c>
    </row>
    <row r="286" spans="2:10" ht="28.2" x14ac:dyDescent="0.3">
      <c r="B286" s="2" t="s">
        <v>269</v>
      </c>
      <c r="C286" s="2" t="s">
        <v>1608</v>
      </c>
      <c r="D286" s="5" t="str">
        <f>IFERROR(VLOOKUP(Table4[[#This Row],[Role Type]],'Role Descriptions'!$A$1:$E$97,2,FALSE), "Missing role description data; for now, please see equivalent CrederaUS role type")</f>
        <v>Missing role description data; for now, please see equivalent CrederaUS role type</v>
      </c>
      <c r="E286" s="2" t="s">
        <v>1598</v>
      </c>
      <c r="F286" s="357">
        <v>49</v>
      </c>
      <c r="G286" s="2" t="s">
        <v>120</v>
      </c>
      <c r="H286" s="1299">
        <v>98</v>
      </c>
      <c r="I286" s="1300">
        <v>4</v>
      </c>
      <c r="J286">
        <f>_xlfn.XLOOKUP(Table4[[#This Row],[Default Resource Title]],'Updated Rate Card Import'!E:E,'Updated Rate Card Import'!C:C)</f>
        <v>49</v>
      </c>
    </row>
    <row r="287" spans="2:10" ht="28.2" x14ac:dyDescent="0.3">
      <c r="B287" s="2" t="s">
        <v>269</v>
      </c>
      <c r="C287" s="2" t="s">
        <v>1618</v>
      </c>
      <c r="D287" s="5" t="str">
        <f>IFERROR(VLOOKUP(Table4[[#This Row],[Role Type]],'Role Descriptions'!$A$1:$E$97,2,FALSE), "Missing role description data; for now, please see equivalent CrederaUS role type")</f>
        <v>Missing role description data; for now, please see equivalent CrederaUS role type</v>
      </c>
      <c r="E287" s="2" t="s">
        <v>1639</v>
      </c>
      <c r="F287" s="357">
        <v>53</v>
      </c>
      <c r="G287" s="2" t="s">
        <v>120</v>
      </c>
      <c r="H287" s="1299">
        <v>106</v>
      </c>
      <c r="I287" s="1300">
        <v>5</v>
      </c>
      <c r="J287">
        <f>_xlfn.XLOOKUP(Table4[[#This Row],[Default Resource Title]],'Updated Rate Card Import'!E:E,'Updated Rate Card Import'!C:C)</f>
        <v>53</v>
      </c>
    </row>
    <row r="288" spans="2:10" ht="28.2" x14ac:dyDescent="0.3">
      <c r="B288" s="2" t="s">
        <v>269</v>
      </c>
      <c r="C288" s="2" t="s">
        <v>1666</v>
      </c>
      <c r="D288" s="5" t="str">
        <f>IFERROR(VLOOKUP(Table4[[#This Row],[Role Type]],'Role Descriptions'!$A$1:$E$97,2,FALSE), "Missing role description data; for now, please see equivalent CrederaUS role type")</f>
        <v>Missing role description data; for now, please see equivalent CrederaUS role type</v>
      </c>
      <c r="E288" s="2" t="s">
        <v>1657</v>
      </c>
      <c r="F288" s="357">
        <v>65</v>
      </c>
      <c r="G288" s="2" t="s">
        <v>120</v>
      </c>
      <c r="H288" s="1299">
        <v>130</v>
      </c>
      <c r="I288" s="1300">
        <v>6</v>
      </c>
      <c r="J288">
        <f>_xlfn.XLOOKUP(Table4[[#This Row],[Default Resource Title]],'Updated Rate Card Import'!E:E,'Updated Rate Card Import'!C:C)</f>
        <v>65</v>
      </c>
    </row>
    <row r="289" spans="2:10" ht="28.2" x14ac:dyDescent="0.3">
      <c r="B289" s="2" t="s">
        <v>269</v>
      </c>
      <c r="C289" s="2" t="s">
        <v>1480</v>
      </c>
      <c r="D289" s="5" t="str">
        <f>IFERROR(VLOOKUP(Table4[[#This Row],[Role Type]],'Role Descriptions'!$A$1:$E$97,2,FALSE), "Missing role description data; for now, please see equivalent CrederaUS role type")</f>
        <v>Missing role description data; for now, please see equivalent CrederaUS role type</v>
      </c>
      <c r="E289" s="2" t="s">
        <v>1515</v>
      </c>
      <c r="F289" s="357">
        <v>26</v>
      </c>
      <c r="G289" s="2" t="s">
        <v>120</v>
      </c>
      <c r="H289" s="1299">
        <v>71</v>
      </c>
      <c r="I289" s="1300">
        <v>2</v>
      </c>
      <c r="J289">
        <f>_xlfn.XLOOKUP(Table4[[#This Row],[Default Resource Title]],'Updated Rate Card Import'!E:E,'Updated Rate Card Import'!C:C)</f>
        <v>26</v>
      </c>
    </row>
    <row r="290" spans="2:10" ht="28.2" x14ac:dyDescent="0.3">
      <c r="B290" s="2" t="s">
        <v>269</v>
      </c>
      <c r="C290" s="2" t="s">
        <v>1534</v>
      </c>
      <c r="D290" s="5" t="str">
        <f>IFERROR(VLOOKUP(Table4[[#This Row],[Role Type]],'Role Descriptions'!$A$1:$E$97,2,FALSE), "Missing role description data; for now, please see equivalent CrederaUS role type")</f>
        <v>Missing role description data; for now, please see equivalent CrederaUS role type</v>
      </c>
      <c r="E290" s="2" t="s">
        <v>1573</v>
      </c>
      <c r="F290" s="357">
        <v>33</v>
      </c>
      <c r="G290" s="2" t="s">
        <v>120</v>
      </c>
      <c r="H290" s="1299">
        <v>79</v>
      </c>
      <c r="I290" s="1300">
        <v>3</v>
      </c>
      <c r="J290">
        <f>_xlfn.XLOOKUP(Table4[[#This Row],[Default Resource Title]],'Updated Rate Card Import'!E:E,'Updated Rate Card Import'!C:C)</f>
        <v>33</v>
      </c>
    </row>
    <row r="291" spans="2:10" ht="28.2" x14ac:dyDescent="0.3">
      <c r="B291" s="2" t="s">
        <v>269</v>
      </c>
      <c r="C291" s="2" t="s">
        <v>1609</v>
      </c>
      <c r="D291" s="5" t="str">
        <f>IFERROR(VLOOKUP(Table4[[#This Row],[Role Type]],'Role Descriptions'!$A$1:$E$97,2,FALSE), "Missing role description data; for now, please see equivalent CrederaUS role type")</f>
        <v>Missing role description data; for now, please see equivalent CrederaUS role type</v>
      </c>
      <c r="E291" s="2" t="s">
        <v>1599</v>
      </c>
      <c r="F291" s="357">
        <v>49</v>
      </c>
      <c r="G291" s="2" t="s">
        <v>120</v>
      </c>
      <c r="H291" s="1299">
        <v>103</v>
      </c>
      <c r="I291" s="1300">
        <v>4</v>
      </c>
      <c r="J291">
        <f>_xlfn.XLOOKUP(Table4[[#This Row],[Default Resource Title]],'Updated Rate Card Import'!E:E,'Updated Rate Card Import'!C:C)</f>
        <v>49</v>
      </c>
    </row>
    <row r="292" spans="2:10" ht="28.2" x14ac:dyDescent="0.3">
      <c r="B292" s="2" t="s">
        <v>269</v>
      </c>
      <c r="C292" s="2" t="s">
        <v>1619</v>
      </c>
      <c r="D292" s="5" t="str">
        <f>IFERROR(VLOOKUP(Table4[[#This Row],[Role Type]],'Role Descriptions'!$A$1:$E$97,2,FALSE), "Missing role description data; for now, please see equivalent CrederaUS role type")</f>
        <v>Missing role description data; for now, please see equivalent CrederaUS role type</v>
      </c>
      <c r="E292" s="2" t="s">
        <v>1640</v>
      </c>
      <c r="F292" s="357">
        <v>53</v>
      </c>
      <c r="G292" s="2" t="s">
        <v>120</v>
      </c>
      <c r="H292" s="1299">
        <v>106</v>
      </c>
      <c r="I292" s="1300">
        <v>5</v>
      </c>
      <c r="J292">
        <f>_xlfn.XLOOKUP(Table4[[#This Row],[Default Resource Title]],'Updated Rate Card Import'!E:E,'Updated Rate Card Import'!C:C)</f>
        <v>53</v>
      </c>
    </row>
    <row r="293" spans="2:10" ht="28.2" x14ac:dyDescent="0.3">
      <c r="B293" s="2" t="s">
        <v>269</v>
      </c>
      <c r="C293" s="2" t="s">
        <v>1667</v>
      </c>
      <c r="D293" s="5" t="str">
        <f>IFERROR(VLOOKUP(Table4[[#This Row],[Role Type]],'Role Descriptions'!$A$1:$E$97,2,FALSE), "Missing role description data; for now, please see equivalent CrederaUS role type")</f>
        <v>Missing role description data; for now, please see equivalent CrederaUS role type</v>
      </c>
      <c r="E293" s="2" t="s">
        <v>1658</v>
      </c>
      <c r="F293" s="357">
        <v>65</v>
      </c>
      <c r="G293" s="2" t="s">
        <v>120</v>
      </c>
      <c r="H293" s="1299">
        <v>130</v>
      </c>
      <c r="I293" s="1300">
        <v>6</v>
      </c>
      <c r="J293">
        <f>_xlfn.XLOOKUP(Table4[[#This Row],[Default Resource Title]],'Updated Rate Card Import'!E:E,'Updated Rate Card Import'!C:C)</f>
        <v>65</v>
      </c>
    </row>
    <row r="294" spans="2:10" ht="28.2" x14ac:dyDescent="0.3">
      <c r="B294" s="2" t="s">
        <v>269</v>
      </c>
      <c r="C294" s="2" t="s">
        <v>1474</v>
      </c>
      <c r="D294" s="5" t="str">
        <f>IFERROR(VLOOKUP(Table4[[#This Row],[Role Type]],'Role Descriptions'!$A$1:$E$97,2,FALSE), "Missing role description data; for now, please see equivalent CrederaUS role type")</f>
        <v>Missing role description data; for now, please see equivalent CrederaUS role type</v>
      </c>
      <c r="E294" s="2" t="s">
        <v>1516</v>
      </c>
      <c r="F294" s="357">
        <v>11</v>
      </c>
      <c r="G294" s="2" t="s">
        <v>120</v>
      </c>
      <c r="H294" s="1299">
        <v>30</v>
      </c>
      <c r="I294" s="1300">
        <v>2</v>
      </c>
      <c r="J294" t="e">
        <f>_xlfn.XLOOKUP(Table4[[#This Row],[Default Resource Title]],'Updated Rate Card Import'!E:E,'Updated Rate Card Import'!C:C)</f>
        <v>#N/A</v>
      </c>
    </row>
    <row r="295" spans="2:10" ht="28.2" x14ac:dyDescent="0.3">
      <c r="B295" s="2" t="s">
        <v>269</v>
      </c>
      <c r="C295" s="2" t="s">
        <v>1475</v>
      </c>
      <c r="D295" s="5" t="str">
        <f>IFERROR(VLOOKUP(Table4[[#This Row],[Role Type]],'Role Descriptions'!$A$1:$E$97,2,FALSE), "Missing role description data; for now, please see equivalent CrederaUS role type")</f>
        <v>Missing role description data; for now, please see equivalent CrederaUS role type</v>
      </c>
      <c r="E295" s="2" t="s">
        <v>1517</v>
      </c>
      <c r="F295" s="357">
        <v>18</v>
      </c>
      <c r="G295" s="2" t="s">
        <v>120</v>
      </c>
      <c r="H295" s="1299">
        <v>49</v>
      </c>
      <c r="I295" s="1300">
        <v>2</v>
      </c>
      <c r="J295" t="e">
        <f>_xlfn.XLOOKUP(Table4[[#This Row],[Default Resource Title]],'Updated Rate Card Import'!E:E,'Updated Rate Card Import'!C:C)</f>
        <v>#N/A</v>
      </c>
    </row>
    <row r="296" spans="2:10" ht="28.2" x14ac:dyDescent="0.3">
      <c r="B296" s="2" t="s">
        <v>269</v>
      </c>
      <c r="C296" s="2" t="s">
        <v>1528</v>
      </c>
      <c r="D296" s="5" t="str">
        <f>IFERROR(VLOOKUP(Table4[[#This Row],[Role Type]],'Role Descriptions'!$A$1:$E$97,2,FALSE), "Missing role description data; for now, please see equivalent CrederaUS role type")</f>
        <v>Missing role description data; for now, please see equivalent CrederaUS role type</v>
      </c>
      <c r="E296" s="2" t="s">
        <v>1574</v>
      </c>
      <c r="F296" s="357">
        <v>25</v>
      </c>
      <c r="G296" s="2" t="s">
        <v>120</v>
      </c>
      <c r="H296" s="1299">
        <v>56</v>
      </c>
      <c r="I296" s="1300">
        <v>3</v>
      </c>
      <c r="J296">
        <f>_xlfn.XLOOKUP(Table4[[#This Row],[Default Resource Title]],'Updated Rate Card Import'!E:E,'Updated Rate Card Import'!C:C)</f>
        <v>25</v>
      </c>
    </row>
    <row r="297" spans="2:10" ht="28.2" x14ac:dyDescent="0.3">
      <c r="B297" s="2" t="s">
        <v>269</v>
      </c>
      <c r="C297" s="2" t="s">
        <v>1529</v>
      </c>
      <c r="D297" s="5" t="str">
        <f>IFERROR(VLOOKUP(Table4[[#This Row],[Role Type]],'Role Descriptions'!$A$1:$E$97,2,FALSE), "Missing role description data; for now, please see equivalent CrederaUS role type")</f>
        <v>Missing role description data; for now, please see equivalent CrederaUS role type</v>
      </c>
      <c r="E297" s="2" t="s">
        <v>1575</v>
      </c>
      <c r="F297" s="357">
        <v>33</v>
      </c>
      <c r="G297" s="2" t="s">
        <v>120</v>
      </c>
      <c r="H297" s="1299">
        <v>69</v>
      </c>
      <c r="I297" s="1300">
        <v>3</v>
      </c>
      <c r="J297">
        <f>_xlfn.XLOOKUP(Table4[[#This Row],[Default Resource Title]],'Updated Rate Card Import'!E:E,'Updated Rate Card Import'!C:C)</f>
        <v>33</v>
      </c>
    </row>
    <row r="298" spans="2:10" ht="28.2" x14ac:dyDescent="0.3">
      <c r="B298" s="2" t="s">
        <v>269</v>
      </c>
      <c r="C298" s="2" t="s">
        <v>1605</v>
      </c>
      <c r="D298" s="5" t="str">
        <f>IFERROR(VLOOKUP(Table4[[#This Row],[Role Type]],'Role Descriptions'!$A$1:$E$97,2,FALSE), "Missing role description data; for now, please see equivalent CrederaUS role type")</f>
        <v>Missing role description data; for now, please see equivalent CrederaUS role type</v>
      </c>
      <c r="E298" s="2" t="s">
        <v>1600</v>
      </c>
      <c r="F298" s="357">
        <v>39</v>
      </c>
      <c r="G298" s="2" t="s">
        <v>120</v>
      </c>
      <c r="H298" s="1299">
        <v>78</v>
      </c>
      <c r="I298" s="1300">
        <v>4</v>
      </c>
      <c r="J298">
        <f>_xlfn.XLOOKUP(Table4[[#This Row],[Default Resource Title]],'Updated Rate Card Import'!E:E,'Updated Rate Card Import'!C:C)</f>
        <v>39</v>
      </c>
    </row>
    <row r="299" spans="2:10" ht="28.2" x14ac:dyDescent="0.3">
      <c r="B299" s="2" t="s">
        <v>269</v>
      </c>
      <c r="C299" s="2" t="s">
        <v>1614</v>
      </c>
      <c r="D299" s="5" t="str">
        <f>IFERROR(VLOOKUP(Table4[[#This Row],[Role Type]],'Role Descriptions'!$A$1:$E$97,2,FALSE), "Missing role description data; for now, please see equivalent CrederaUS role type")</f>
        <v>Missing role description data; for now, please see equivalent CrederaUS role type</v>
      </c>
      <c r="E299" s="2" t="s">
        <v>1641</v>
      </c>
      <c r="F299" s="357">
        <v>51</v>
      </c>
      <c r="G299" s="2" t="s">
        <v>120</v>
      </c>
      <c r="H299" s="1299">
        <v>93</v>
      </c>
      <c r="I299" s="1300">
        <v>5</v>
      </c>
      <c r="J299">
        <f>_xlfn.XLOOKUP(Table4[[#This Row],[Default Resource Title]],'Updated Rate Card Import'!E:E,'Updated Rate Card Import'!C:C)</f>
        <v>51</v>
      </c>
    </row>
    <row r="300" spans="2:10" ht="28.2" x14ac:dyDescent="0.3">
      <c r="B300" s="2" t="s">
        <v>269</v>
      </c>
      <c r="C300" s="2" t="s">
        <v>1664</v>
      </c>
      <c r="D300" s="5" t="str">
        <f>IFERROR(VLOOKUP(Table4[[#This Row],[Role Type]],'Role Descriptions'!$A$1:$E$97,2,FALSE), "Missing role description data; for now, please see equivalent CrederaUS role type")</f>
        <v>Missing role description data; for now, please see equivalent CrederaUS role type</v>
      </c>
      <c r="E300" s="2" t="s">
        <v>1659</v>
      </c>
      <c r="F300" s="357">
        <v>63</v>
      </c>
      <c r="G300" s="2" t="s">
        <v>120</v>
      </c>
      <c r="H300" s="1299">
        <v>105</v>
      </c>
      <c r="I300" s="1300">
        <v>6</v>
      </c>
      <c r="J300">
        <f>_xlfn.XLOOKUP(Table4[[#This Row],[Default Resource Title]],'Updated Rate Card Import'!E:E,'Updated Rate Card Import'!C:C)</f>
        <v>63</v>
      </c>
    </row>
    <row r="301" spans="2:10" ht="28.2" x14ac:dyDescent="0.3">
      <c r="B301" s="2" t="s">
        <v>269</v>
      </c>
      <c r="C301" s="2" t="s">
        <v>1481</v>
      </c>
      <c r="D301" s="5" t="str">
        <f>IFERROR(VLOOKUP(Table4[[#This Row],[Role Type]],'Role Descriptions'!$A$1:$E$97,2,FALSE), "Missing role description data; for now, please see equivalent CrederaUS role type")</f>
        <v>Missing role description data; for now, please see equivalent CrederaUS role type</v>
      </c>
      <c r="E301" s="2" t="s">
        <v>1518</v>
      </c>
      <c r="F301" s="357">
        <v>13</v>
      </c>
      <c r="G301" s="2" t="s">
        <v>120</v>
      </c>
      <c r="H301" s="1299">
        <v>36</v>
      </c>
      <c r="I301" s="1300">
        <v>2</v>
      </c>
      <c r="J301" t="e">
        <f>_xlfn.XLOOKUP(Table4[[#This Row],[Default Resource Title]],'Updated Rate Card Import'!E:E,'Updated Rate Card Import'!C:C)</f>
        <v>#N/A</v>
      </c>
    </row>
    <row r="302" spans="2:10" ht="28.2" x14ac:dyDescent="0.3">
      <c r="B302" s="2" t="s">
        <v>269</v>
      </c>
      <c r="C302" s="2" t="s">
        <v>1482</v>
      </c>
      <c r="D302" s="5" t="str">
        <f>IFERROR(VLOOKUP(Table4[[#This Row],[Role Type]],'Role Descriptions'!$A$1:$E$97,2,FALSE), "Missing role description data; for now, please see equivalent CrederaUS role type")</f>
        <v>Missing role description data; for now, please see equivalent CrederaUS role type</v>
      </c>
      <c r="E302" s="2" t="s">
        <v>1519</v>
      </c>
      <c r="F302" s="357">
        <v>20</v>
      </c>
      <c r="G302" s="2" t="s">
        <v>120</v>
      </c>
      <c r="H302" s="1299">
        <v>55</v>
      </c>
      <c r="I302" s="1300">
        <v>2</v>
      </c>
      <c r="J302" t="e">
        <f>_xlfn.XLOOKUP(Table4[[#This Row],[Default Resource Title]],'Updated Rate Card Import'!E:E,'Updated Rate Card Import'!C:C)</f>
        <v>#N/A</v>
      </c>
    </row>
    <row r="303" spans="2:10" ht="28.2" x14ac:dyDescent="0.3">
      <c r="B303" s="2" t="s">
        <v>269</v>
      </c>
      <c r="C303" s="2" t="s">
        <v>1535</v>
      </c>
      <c r="D303" s="5" t="str">
        <f>IFERROR(VLOOKUP(Table4[[#This Row],[Role Type]],'Role Descriptions'!$A$1:$E$97,2,FALSE), "Missing role description data; for now, please see equivalent CrederaUS role type")</f>
        <v>Missing role description data; for now, please see equivalent CrederaUS role type</v>
      </c>
      <c r="E303" s="2" t="s">
        <v>1576</v>
      </c>
      <c r="F303" s="357">
        <v>35</v>
      </c>
      <c r="G303" s="2" t="s">
        <v>120</v>
      </c>
      <c r="H303" s="1299">
        <v>78</v>
      </c>
      <c r="I303" s="1300">
        <v>3</v>
      </c>
      <c r="J303">
        <f>_xlfn.XLOOKUP(Table4[[#This Row],[Default Resource Title]],'Updated Rate Card Import'!E:E,'Updated Rate Card Import'!C:C)</f>
        <v>35</v>
      </c>
    </row>
    <row r="304" spans="2:10" ht="28.2" x14ac:dyDescent="0.3">
      <c r="B304" s="2" t="s">
        <v>269</v>
      </c>
      <c r="C304" s="2" t="s">
        <v>1536</v>
      </c>
      <c r="D304" s="5" t="str">
        <f>IFERROR(VLOOKUP(Table4[[#This Row],[Role Type]],'Role Descriptions'!$A$1:$E$97,2,FALSE), "Missing role description data; for now, please see equivalent CrederaUS role type")</f>
        <v>Missing role description data; for now, please see equivalent CrederaUS role type</v>
      </c>
      <c r="E304" s="2" t="s">
        <v>1577</v>
      </c>
      <c r="F304" s="357">
        <v>45</v>
      </c>
      <c r="G304" s="2" t="s">
        <v>120</v>
      </c>
      <c r="H304" s="1299">
        <v>94</v>
      </c>
      <c r="I304" s="1300">
        <v>3</v>
      </c>
      <c r="J304">
        <f>_xlfn.XLOOKUP(Table4[[#This Row],[Default Resource Title]],'Updated Rate Card Import'!E:E,'Updated Rate Card Import'!C:C)</f>
        <v>45</v>
      </c>
    </row>
    <row r="305" spans="2:10" ht="28.2" x14ac:dyDescent="0.3">
      <c r="B305" s="2" t="s">
        <v>269</v>
      </c>
      <c r="C305" s="2" t="s">
        <v>1610</v>
      </c>
      <c r="D305" s="5" t="str">
        <f>IFERROR(VLOOKUP(Table4[[#This Row],[Role Type]],'Role Descriptions'!$A$1:$E$97,2,FALSE), "Missing role description data; for now, please see equivalent CrederaUS role type")</f>
        <v>Missing role description data; for now, please see equivalent CrederaUS role type</v>
      </c>
      <c r="E305" s="2" t="s">
        <v>1601</v>
      </c>
      <c r="F305" s="357">
        <v>57</v>
      </c>
      <c r="G305" s="2" t="s">
        <v>120</v>
      </c>
      <c r="H305" s="1299">
        <v>114</v>
      </c>
      <c r="I305" s="1300">
        <v>4</v>
      </c>
      <c r="J305">
        <f>_xlfn.XLOOKUP(Table4[[#This Row],[Default Resource Title]],'Updated Rate Card Import'!E:E,'Updated Rate Card Import'!C:C)</f>
        <v>57</v>
      </c>
    </row>
    <row r="306" spans="2:10" ht="28.2" x14ac:dyDescent="0.3">
      <c r="B306" s="2" t="s">
        <v>269</v>
      </c>
      <c r="C306" s="2" t="s">
        <v>1620</v>
      </c>
      <c r="D306" s="5" t="str">
        <f>IFERROR(VLOOKUP(Table4[[#This Row],[Role Type]],'Role Descriptions'!$A$1:$E$97,2,FALSE), "Missing role description data; for now, please see equivalent CrederaUS role type")</f>
        <v>Missing role description data; for now, please see equivalent CrederaUS role type</v>
      </c>
      <c r="E306" s="2" t="s">
        <v>1642</v>
      </c>
      <c r="F306" s="357">
        <v>69</v>
      </c>
      <c r="G306" s="2" t="s">
        <v>120</v>
      </c>
      <c r="H306" s="1299">
        <v>126</v>
      </c>
      <c r="I306" s="1300">
        <v>5</v>
      </c>
      <c r="J306">
        <f>_xlfn.XLOOKUP(Table4[[#This Row],[Default Resource Title]],'Updated Rate Card Import'!E:E,'Updated Rate Card Import'!C:C)</f>
        <v>69</v>
      </c>
    </row>
    <row r="307" spans="2:10" ht="28.2" x14ac:dyDescent="0.3">
      <c r="B307" s="2" t="s">
        <v>269</v>
      </c>
      <c r="C307" s="2" t="s">
        <v>1668</v>
      </c>
      <c r="D307" s="5" t="str">
        <f>IFERROR(VLOOKUP(Table4[[#This Row],[Role Type]],'Role Descriptions'!$A$1:$E$97,2,FALSE), "Missing role description data; for now, please see equivalent CrederaUS role type")</f>
        <v>Missing role description data; for now, please see equivalent CrederaUS role type</v>
      </c>
      <c r="E307" s="2" t="s">
        <v>1660</v>
      </c>
      <c r="F307" s="357">
        <v>81</v>
      </c>
      <c r="G307" s="2" t="s">
        <v>120</v>
      </c>
      <c r="H307" s="1299">
        <v>135</v>
      </c>
      <c r="I307" s="1300">
        <v>6</v>
      </c>
      <c r="J307">
        <f>_xlfn.XLOOKUP(Table4[[#This Row],[Default Resource Title]],'Updated Rate Card Import'!E:E,'Updated Rate Card Import'!C:C)</f>
        <v>81</v>
      </c>
    </row>
    <row r="308" spans="2:10" ht="28.2" x14ac:dyDescent="0.3">
      <c r="B308" s="2" t="s">
        <v>269</v>
      </c>
      <c r="C308" s="2" t="s">
        <v>1483</v>
      </c>
      <c r="D308" s="5" t="str">
        <f>IFERROR(VLOOKUP(Table4[[#This Row],[Role Type]],'Role Descriptions'!$A$1:$E$97,2,FALSE), "Missing role description data; for now, please see equivalent CrederaUS role type")</f>
        <v>Missing role description data; for now, please see equivalent CrederaUS role type</v>
      </c>
      <c r="E308" s="2" t="s">
        <v>1520</v>
      </c>
      <c r="F308" s="357">
        <v>13</v>
      </c>
      <c r="G308" s="2" t="s">
        <v>120</v>
      </c>
      <c r="H308" s="1299">
        <v>36</v>
      </c>
      <c r="I308" s="1300">
        <v>2</v>
      </c>
      <c r="J308" t="e">
        <f>_xlfn.XLOOKUP(Table4[[#This Row],[Default Resource Title]],'Updated Rate Card Import'!E:E,'Updated Rate Card Import'!C:C)</f>
        <v>#N/A</v>
      </c>
    </row>
    <row r="309" spans="2:10" ht="28.2" x14ac:dyDescent="0.3">
      <c r="B309" s="2" t="s">
        <v>269</v>
      </c>
      <c r="C309" s="2" t="s">
        <v>1484</v>
      </c>
      <c r="D309" s="5" t="str">
        <f>IFERROR(VLOOKUP(Table4[[#This Row],[Role Type]],'Role Descriptions'!$A$1:$E$97,2,FALSE), "Missing role description data; for now, please see equivalent CrederaUS role type")</f>
        <v>Missing role description data; for now, please see equivalent CrederaUS role type</v>
      </c>
      <c r="E309" s="2" t="s">
        <v>1521</v>
      </c>
      <c r="F309" s="357">
        <v>24</v>
      </c>
      <c r="G309" s="2" t="s">
        <v>120</v>
      </c>
      <c r="H309" s="1299">
        <v>65</v>
      </c>
      <c r="I309" s="1300">
        <v>2</v>
      </c>
      <c r="J309" t="e">
        <f>_xlfn.XLOOKUP(Table4[[#This Row],[Default Resource Title]],'Updated Rate Card Import'!E:E,'Updated Rate Card Import'!C:C)</f>
        <v>#N/A</v>
      </c>
    </row>
    <row r="310" spans="2:10" ht="28.2" x14ac:dyDescent="0.3">
      <c r="B310" s="2" t="s">
        <v>269</v>
      </c>
      <c r="C310" s="2" t="s">
        <v>1537</v>
      </c>
      <c r="D310" s="5" t="str">
        <f>IFERROR(VLOOKUP(Table4[[#This Row],[Role Type]],'Role Descriptions'!$A$1:$E$97,2,FALSE), "Missing role description data; for now, please see equivalent CrederaUS role type")</f>
        <v>Missing role description data; for now, please see equivalent CrederaUS role type</v>
      </c>
      <c r="E310" s="2" t="s">
        <v>1578</v>
      </c>
      <c r="F310" s="357">
        <v>43</v>
      </c>
      <c r="G310" s="2" t="s">
        <v>120</v>
      </c>
      <c r="H310" s="1299">
        <v>96</v>
      </c>
      <c r="I310" s="1300">
        <v>3</v>
      </c>
      <c r="J310">
        <f>_xlfn.XLOOKUP(Table4[[#This Row],[Default Resource Title]],'Updated Rate Card Import'!E:E,'Updated Rate Card Import'!C:C)</f>
        <v>43</v>
      </c>
    </row>
    <row r="311" spans="2:10" ht="28.2" x14ac:dyDescent="0.3">
      <c r="B311" s="2" t="s">
        <v>269</v>
      </c>
      <c r="C311" s="2" t="s">
        <v>1538</v>
      </c>
      <c r="D311" s="5" t="str">
        <f>IFERROR(VLOOKUP(Table4[[#This Row],[Role Type]],'Role Descriptions'!$A$1:$E$97,2,FALSE), "Missing role description data; for now, please see equivalent CrederaUS role type")</f>
        <v>Missing role description data; for now, please see equivalent CrederaUS role type</v>
      </c>
      <c r="E311" s="2" t="s">
        <v>1579</v>
      </c>
      <c r="F311" s="357">
        <v>56</v>
      </c>
      <c r="G311" s="2" t="s">
        <v>120</v>
      </c>
      <c r="H311" s="1299">
        <v>117</v>
      </c>
      <c r="I311" s="1300">
        <v>3</v>
      </c>
      <c r="J311">
        <f>_xlfn.XLOOKUP(Table4[[#This Row],[Default Resource Title]],'Updated Rate Card Import'!E:E,'Updated Rate Card Import'!C:C)</f>
        <v>56</v>
      </c>
    </row>
    <row r="312" spans="2:10" ht="28.2" x14ac:dyDescent="0.3">
      <c r="B312" s="2" t="s">
        <v>269</v>
      </c>
      <c r="C312" s="2" t="s">
        <v>1611</v>
      </c>
      <c r="D312" s="5" t="str">
        <f>IFERROR(VLOOKUP(Table4[[#This Row],[Role Type]],'Role Descriptions'!$A$1:$E$97,2,FALSE), "Missing role description data; for now, please see equivalent CrederaUS role type")</f>
        <v>Missing role description data; for now, please see equivalent CrederaUS role type</v>
      </c>
      <c r="E312" s="2" t="s">
        <v>1602</v>
      </c>
      <c r="F312" s="357">
        <v>69</v>
      </c>
      <c r="G312" s="2" t="s">
        <v>120</v>
      </c>
      <c r="H312" s="1299">
        <v>138</v>
      </c>
      <c r="I312" s="1300">
        <v>4</v>
      </c>
      <c r="J312">
        <f>_xlfn.XLOOKUP(Table4[[#This Row],[Default Resource Title]],'Updated Rate Card Import'!E:E,'Updated Rate Card Import'!C:C)</f>
        <v>69</v>
      </c>
    </row>
    <row r="313" spans="2:10" ht="28.2" x14ac:dyDescent="0.3">
      <c r="B313" s="2" t="s">
        <v>269</v>
      </c>
      <c r="C313" s="2" t="s">
        <v>1621</v>
      </c>
      <c r="D313" s="5" t="str">
        <f>IFERROR(VLOOKUP(Table4[[#This Row],[Role Type]],'Role Descriptions'!$A$1:$E$97,2,FALSE), "Missing role description data; for now, please see equivalent CrederaUS role type")</f>
        <v>Missing role description data; for now, please see equivalent CrederaUS role type</v>
      </c>
      <c r="E313" s="2" t="s">
        <v>1643</v>
      </c>
      <c r="F313" s="357">
        <v>81</v>
      </c>
      <c r="G313" s="2" t="s">
        <v>120</v>
      </c>
      <c r="H313" s="1299">
        <v>148</v>
      </c>
      <c r="I313" s="1300">
        <v>5</v>
      </c>
      <c r="J313">
        <f>_xlfn.XLOOKUP(Table4[[#This Row],[Default Resource Title]],'Updated Rate Card Import'!E:E,'Updated Rate Card Import'!C:C)</f>
        <v>81</v>
      </c>
    </row>
    <row r="314" spans="2:10" ht="28.2" x14ac:dyDescent="0.3">
      <c r="B314" s="2" t="s">
        <v>269</v>
      </c>
      <c r="C314" s="2" t="s">
        <v>1669</v>
      </c>
      <c r="D314" s="5" t="str">
        <f>IFERROR(VLOOKUP(Table4[[#This Row],[Role Type]],'Role Descriptions'!$A$1:$E$97,2,FALSE), "Missing role description data; for now, please see equivalent CrederaUS role type")</f>
        <v>Missing role description data; for now, please see equivalent CrederaUS role type</v>
      </c>
      <c r="E314" s="2" t="s">
        <v>1661</v>
      </c>
      <c r="F314" s="357">
        <v>99</v>
      </c>
      <c r="G314" s="2" t="s">
        <v>120</v>
      </c>
      <c r="H314" s="1299">
        <v>165</v>
      </c>
      <c r="I314" s="1300">
        <v>6</v>
      </c>
      <c r="J314">
        <f>_xlfn.XLOOKUP(Table4[[#This Row],[Default Resource Title]],'Updated Rate Card Import'!E:E,'Updated Rate Card Import'!C:C)</f>
        <v>99</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8E05D-2DAE-473E-AE9C-703DB97CF6E3}">
  <sheetPr codeName="Sheet14">
    <pageSetUpPr autoPageBreaks="0"/>
  </sheetPr>
  <dimension ref="A1:F673"/>
  <sheetViews>
    <sheetView topLeftCell="A220" workbookViewId="0">
      <selection activeCell="A2" sqref="A2:C673"/>
    </sheetView>
  </sheetViews>
  <sheetFormatPr defaultColWidth="8.77734375" defaultRowHeight="14.4" x14ac:dyDescent="0.3"/>
  <cols>
    <col min="1" max="2" width="25.44140625" customWidth="1"/>
    <col min="3" max="4" width="13.44140625" customWidth="1"/>
    <col min="5" max="5" width="73.44140625" bestFit="1" customWidth="1"/>
  </cols>
  <sheetData>
    <row r="1" spans="1:6" x14ac:dyDescent="0.3">
      <c r="A1" s="112" t="s">
        <v>598</v>
      </c>
      <c r="B1" s="112" t="s">
        <v>599</v>
      </c>
      <c r="C1" s="112" t="s">
        <v>600</v>
      </c>
      <c r="D1" s="112" t="s">
        <v>601</v>
      </c>
      <c r="E1" s="111" t="s">
        <v>602</v>
      </c>
      <c r="F1" s="111" t="s">
        <v>173</v>
      </c>
    </row>
    <row r="2" spans="1:6" x14ac:dyDescent="0.3">
      <c r="A2" s="113" t="s">
        <v>603</v>
      </c>
      <c r="B2" s="113" t="s">
        <v>604</v>
      </c>
      <c r="C2" s="114">
        <v>0</v>
      </c>
      <c r="D2" s="114">
        <v>0</v>
      </c>
      <c r="E2" t="str">
        <f t="shared" ref="E2:E22" si="0">CONCATENATE(A2," - ",B2)</f>
        <v>* Client Custom - Client Rate Level 01</v>
      </c>
    </row>
    <row r="3" spans="1:6" x14ac:dyDescent="0.3">
      <c r="A3" s="113" t="s">
        <v>603</v>
      </c>
      <c r="B3" s="113" t="s">
        <v>605</v>
      </c>
      <c r="C3" s="114">
        <v>0</v>
      </c>
      <c r="D3" s="114">
        <v>0</v>
      </c>
      <c r="E3" t="str">
        <f t="shared" si="0"/>
        <v>* Client Custom - Client Rate Level 02</v>
      </c>
    </row>
    <row r="4" spans="1:6" x14ac:dyDescent="0.3">
      <c r="A4" s="113" t="s">
        <v>603</v>
      </c>
      <c r="B4" s="113" t="s">
        <v>606</v>
      </c>
      <c r="C4" s="114">
        <v>0</v>
      </c>
      <c r="D4" s="114">
        <v>0</v>
      </c>
      <c r="E4" t="str">
        <f t="shared" si="0"/>
        <v>* Client Custom - Client Rate Level 03</v>
      </c>
    </row>
    <row r="5" spans="1:6" x14ac:dyDescent="0.3">
      <c r="A5" s="113" t="s">
        <v>603</v>
      </c>
      <c r="B5" s="113" t="s">
        <v>607</v>
      </c>
      <c r="C5" s="114">
        <v>0</v>
      </c>
      <c r="D5" s="114">
        <v>0</v>
      </c>
      <c r="E5" t="str">
        <f t="shared" si="0"/>
        <v>* Client Custom - Client Rate Level 04</v>
      </c>
    </row>
    <row r="6" spans="1:6" x14ac:dyDescent="0.3">
      <c r="A6" s="113" t="s">
        <v>603</v>
      </c>
      <c r="B6" s="113" t="s">
        <v>608</v>
      </c>
      <c r="C6" s="114">
        <v>0</v>
      </c>
      <c r="D6" s="114">
        <v>0</v>
      </c>
      <c r="E6" t="str">
        <f t="shared" si="0"/>
        <v>* Client Custom - Client Rate Level 05</v>
      </c>
    </row>
    <row r="7" spans="1:6" x14ac:dyDescent="0.3">
      <c r="A7" s="113" t="s">
        <v>603</v>
      </c>
      <c r="B7" s="113" t="s">
        <v>609</v>
      </c>
      <c r="C7" s="114">
        <v>0</v>
      </c>
      <c r="D7" s="114">
        <v>0</v>
      </c>
      <c r="E7" t="str">
        <f t="shared" si="0"/>
        <v>* Client Custom - Client Rate Level 06</v>
      </c>
    </row>
    <row r="8" spans="1:6" x14ac:dyDescent="0.3">
      <c r="A8" s="113" t="s">
        <v>603</v>
      </c>
      <c r="B8" s="113" t="s">
        <v>610</v>
      </c>
      <c r="C8" s="114">
        <v>0</v>
      </c>
      <c r="D8" s="114">
        <v>0</v>
      </c>
      <c r="E8" t="str">
        <f t="shared" si="0"/>
        <v>* Client Custom - Client Rate Level 07</v>
      </c>
    </row>
    <row r="9" spans="1:6" x14ac:dyDescent="0.3">
      <c r="A9" s="113" t="s">
        <v>603</v>
      </c>
      <c r="B9" s="113" t="s">
        <v>611</v>
      </c>
      <c r="C9" s="114">
        <v>0</v>
      </c>
      <c r="D9" s="114">
        <v>0</v>
      </c>
      <c r="E9" t="str">
        <f t="shared" si="0"/>
        <v>* Client Custom - Client Rate Level 08</v>
      </c>
    </row>
    <row r="10" spans="1:6" x14ac:dyDescent="0.3">
      <c r="A10" s="113" t="s">
        <v>603</v>
      </c>
      <c r="B10" s="113" t="s">
        <v>612</v>
      </c>
      <c r="C10" s="114">
        <v>0</v>
      </c>
      <c r="D10" s="114">
        <v>0</v>
      </c>
      <c r="E10" t="str">
        <f t="shared" si="0"/>
        <v>* Client Custom - Client Rate Level 09</v>
      </c>
    </row>
    <row r="11" spans="1:6" x14ac:dyDescent="0.3">
      <c r="A11" s="113" t="s">
        <v>603</v>
      </c>
      <c r="B11" s="113" t="s">
        <v>613</v>
      </c>
      <c r="C11" s="114">
        <v>0</v>
      </c>
      <c r="D11" s="114">
        <v>0</v>
      </c>
      <c r="E11" t="str">
        <f t="shared" si="0"/>
        <v>* Client Custom - Client Rate Level 10</v>
      </c>
    </row>
    <row r="12" spans="1:6" x14ac:dyDescent="0.3">
      <c r="A12" s="113" t="s">
        <v>603</v>
      </c>
      <c r="B12" s="113" t="s">
        <v>614</v>
      </c>
      <c r="C12" s="114">
        <v>0</v>
      </c>
      <c r="D12" s="114">
        <v>0</v>
      </c>
      <c r="E12" t="str">
        <f t="shared" si="0"/>
        <v>* Client Custom - Client Rate Level 11</v>
      </c>
    </row>
    <row r="13" spans="1:6" x14ac:dyDescent="0.3">
      <c r="A13" s="113" t="s">
        <v>603</v>
      </c>
      <c r="B13" s="113" t="s">
        <v>615</v>
      </c>
      <c r="C13" s="114">
        <v>0</v>
      </c>
      <c r="D13" s="114">
        <v>0</v>
      </c>
      <c r="E13" t="str">
        <f t="shared" si="0"/>
        <v>* Client Custom - Client Rate Level 12</v>
      </c>
    </row>
    <row r="14" spans="1:6" x14ac:dyDescent="0.3">
      <c r="A14" s="113" t="s">
        <v>603</v>
      </c>
      <c r="B14" s="113" t="s">
        <v>616</v>
      </c>
      <c r="C14" s="114">
        <v>0</v>
      </c>
      <c r="D14" s="114">
        <v>0</v>
      </c>
      <c r="E14" t="str">
        <f t="shared" si="0"/>
        <v>* Client Custom - Client Rate Level 13</v>
      </c>
    </row>
    <row r="15" spans="1:6" x14ac:dyDescent="0.3">
      <c r="A15" s="113" t="s">
        <v>603</v>
      </c>
      <c r="B15" s="113" t="s">
        <v>617</v>
      </c>
      <c r="C15" s="114">
        <v>0</v>
      </c>
      <c r="D15" s="114">
        <v>0</v>
      </c>
      <c r="E15" t="str">
        <f t="shared" si="0"/>
        <v>* Client Custom - Client Rate Level 14</v>
      </c>
    </row>
    <row r="16" spans="1:6" x14ac:dyDescent="0.3">
      <c r="A16" s="113" t="s">
        <v>603</v>
      </c>
      <c r="B16" s="113" t="s">
        <v>618</v>
      </c>
      <c r="C16" s="114">
        <v>0</v>
      </c>
      <c r="D16" s="114">
        <v>0</v>
      </c>
      <c r="E16" t="str">
        <f t="shared" si="0"/>
        <v>* Client Custom - Client Rate Level 15</v>
      </c>
    </row>
    <row r="17" spans="1:5" x14ac:dyDescent="0.3">
      <c r="A17" s="113" t="s">
        <v>619</v>
      </c>
      <c r="B17" s="113" t="s">
        <v>620</v>
      </c>
      <c r="C17" s="114">
        <v>0</v>
      </c>
      <c r="D17" s="114">
        <v>0</v>
      </c>
      <c r="E17" t="str">
        <f t="shared" si="0"/>
        <v>* Role Type Rates - Data Scientist (inactive)</v>
      </c>
    </row>
    <row r="18" spans="1:5" x14ac:dyDescent="0.3">
      <c r="A18" s="113" t="s">
        <v>621</v>
      </c>
      <c r="B18" s="113" t="s">
        <v>622</v>
      </c>
      <c r="C18" s="114">
        <v>0</v>
      </c>
      <c r="D18" s="114">
        <v>0</v>
      </c>
      <c r="E18" t="str">
        <f t="shared" si="0"/>
        <v>Areteans US - A | Areteans US Personnel</v>
      </c>
    </row>
    <row r="19" spans="1:5" x14ac:dyDescent="0.3">
      <c r="A19" s="113" t="s">
        <v>621</v>
      </c>
      <c r="B19" s="113" t="s">
        <v>623</v>
      </c>
      <c r="C19" s="114">
        <v>0</v>
      </c>
      <c r="D19" s="114">
        <v>0</v>
      </c>
      <c r="E19" t="str">
        <f t="shared" si="0"/>
        <v>Areteans US - A | Areteans India Personnel</v>
      </c>
    </row>
    <row r="20" spans="1:5" x14ac:dyDescent="0.3">
      <c r="A20" s="113" t="s">
        <v>205</v>
      </c>
      <c r="B20" s="113" t="s">
        <v>624</v>
      </c>
      <c r="C20" s="114">
        <v>0</v>
      </c>
      <c r="D20" s="114">
        <v>0</v>
      </c>
      <c r="E20" t="str">
        <f t="shared" si="0"/>
        <v>BrightGen - BrightGen Resource</v>
      </c>
    </row>
    <row r="21" spans="1:5" x14ac:dyDescent="0.3">
      <c r="A21" s="113" t="s">
        <v>625</v>
      </c>
      <c r="B21" s="113" t="s">
        <v>626</v>
      </c>
      <c r="C21" s="114">
        <v>0</v>
      </c>
      <c r="D21" s="114">
        <v>0</v>
      </c>
      <c r="E21" t="str">
        <f t="shared" si="0"/>
        <v>Credera DE - Credera DE Resource</v>
      </c>
    </row>
    <row r="22" spans="1:5" x14ac:dyDescent="0.3">
      <c r="A22" s="113" t="s">
        <v>627</v>
      </c>
      <c r="B22" s="113" t="s">
        <v>628</v>
      </c>
      <c r="C22" s="114">
        <v>0</v>
      </c>
      <c r="D22" s="114">
        <v>0</v>
      </c>
      <c r="E22" t="str">
        <f t="shared" si="0"/>
        <v>Credera India Business Enablement - C | Corporate Staff</v>
      </c>
    </row>
    <row r="23" spans="1:5" x14ac:dyDescent="0.3">
      <c r="A23" s="113" t="s">
        <v>629</v>
      </c>
      <c r="B23" s="113" t="s">
        <v>3214</v>
      </c>
      <c r="C23" s="114">
        <v>13</v>
      </c>
      <c r="D23" s="114">
        <v>288</v>
      </c>
      <c r="E23" t="str">
        <f>CONCATENATE(A23," - ",B23)</f>
        <v>Credera India Consulting | Cloud &amp; Engineering - L2 / B1-B2 | Associate Engineer</v>
      </c>
    </row>
    <row r="24" spans="1:5" x14ac:dyDescent="0.3">
      <c r="A24" s="113" t="s">
        <v>629</v>
      </c>
      <c r="B24" s="113" t="s">
        <v>3215</v>
      </c>
      <c r="C24" s="114">
        <v>21</v>
      </c>
      <c r="D24" s="114">
        <v>456</v>
      </c>
      <c r="E24" t="str">
        <f t="shared" ref="E24:E87" si="1">CONCATENATE(A24," - ",B24)</f>
        <v>Credera India Consulting | Cloud &amp; Engineering - L2 / B1-B2 | Engineer</v>
      </c>
    </row>
    <row r="25" spans="1:5" x14ac:dyDescent="0.3">
      <c r="A25" s="113" t="s">
        <v>629</v>
      </c>
      <c r="B25" s="113" t="s">
        <v>1681</v>
      </c>
      <c r="C25" s="114">
        <v>39</v>
      </c>
      <c r="D25" s="114">
        <v>696</v>
      </c>
      <c r="E25" t="str">
        <f t="shared" si="1"/>
        <v>Credera India Consulting | Cloud &amp; Engineering - L3 / C1-C2 | Senior Engineer</v>
      </c>
    </row>
    <row r="26" spans="1:5" x14ac:dyDescent="0.3">
      <c r="A26" s="113" t="s">
        <v>629</v>
      </c>
      <c r="B26" s="113" t="s">
        <v>1682</v>
      </c>
      <c r="C26" s="114">
        <v>49</v>
      </c>
      <c r="D26" s="114">
        <v>824</v>
      </c>
      <c r="E26" t="str">
        <f t="shared" si="1"/>
        <v>Credera India Consulting | Cloud &amp; Engineering - L3 / C1-C2 | Lead Engineer</v>
      </c>
    </row>
    <row r="27" spans="1:5" x14ac:dyDescent="0.3">
      <c r="A27" s="113" t="s">
        <v>629</v>
      </c>
      <c r="B27" s="113" t="s">
        <v>1683</v>
      </c>
      <c r="C27" s="114">
        <v>60</v>
      </c>
      <c r="D27" s="114">
        <v>960</v>
      </c>
      <c r="E27" t="str">
        <f t="shared" si="1"/>
        <v>Credera India Consulting | Cloud &amp; Engineering - L4 / D1 | Architect</v>
      </c>
    </row>
    <row r="28" spans="1:5" x14ac:dyDescent="0.3">
      <c r="A28" s="113" t="s">
        <v>629</v>
      </c>
      <c r="B28" s="113" t="s">
        <v>1684</v>
      </c>
      <c r="C28" s="114">
        <v>81</v>
      </c>
      <c r="D28" s="114">
        <v>1184</v>
      </c>
      <c r="E28" t="str">
        <f t="shared" si="1"/>
        <v>Credera India Consulting | Cloud &amp; Engineering - L5 / D2-E1 | Senior Architect</v>
      </c>
    </row>
    <row r="29" spans="1:5" x14ac:dyDescent="0.3">
      <c r="A29" s="113" t="s">
        <v>629</v>
      </c>
      <c r="B29" s="113" t="s">
        <v>1685</v>
      </c>
      <c r="C29" s="114">
        <v>99</v>
      </c>
      <c r="D29" s="114">
        <v>1320</v>
      </c>
      <c r="E29" t="str">
        <f t="shared" si="1"/>
        <v>Credera India Consulting | Cloud &amp; Engineering - L6 / E2-S1 | Principal Architect</v>
      </c>
    </row>
    <row r="30" spans="1:5" x14ac:dyDescent="0.3">
      <c r="A30" s="113" t="s">
        <v>637</v>
      </c>
      <c r="B30" s="113" t="s">
        <v>3216</v>
      </c>
      <c r="C30" s="114">
        <v>11</v>
      </c>
      <c r="D30" s="114">
        <v>240</v>
      </c>
      <c r="E30" t="str">
        <f t="shared" si="1"/>
        <v>Credera India Consulting | Content - L2 / B1-B2 | Associate Content Engineer</v>
      </c>
    </row>
    <row r="31" spans="1:5" x14ac:dyDescent="0.3">
      <c r="A31" s="113" t="s">
        <v>637</v>
      </c>
      <c r="B31" s="113" t="s">
        <v>3217</v>
      </c>
      <c r="C31" s="114">
        <v>18</v>
      </c>
      <c r="D31" s="114">
        <v>392</v>
      </c>
      <c r="E31" t="str">
        <f t="shared" si="1"/>
        <v>Credera India Consulting | Content - L2 / B1-B2 | Content Engineer</v>
      </c>
    </row>
    <row r="32" spans="1:5" x14ac:dyDescent="0.3">
      <c r="A32" s="113" t="s">
        <v>637</v>
      </c>
      <c r="B32" s="113" t="s">
        <v>1688</v>
      </c>
      <c r="C32" s="114">
        <v>25</v>
      </c>
      <c r="D32" s="114">
        <v>448</v>
      </c>
      <c r="E32" t="str">
        <f t="shared" si="1"/>
        <v>Credera India Consulting | Content - L3 / C1-C2 | Senior Content Engineer</v>
      </c>
    </row>
    <row r="33" spans="1:5" x14ac:dyDescent="0.3">
      <c r="A33" s="113" t="s">
        <v>637</v>
      </c>
      <c r="B33" s="113" t="s">
        <v>1689</v>
      </c>
      <c r="C33" s="114">
        <v>33</v>
      </c>
      <c r="D33" s="114">
        <v>552</v>
      </c>
      <c r="E33" t="str">
        <f t="shared" si="1"/>
        <v>Credera India Consulting | Content - L3 / C1-C2 | Lead Content Engineer</v>
      </c>
    </row>
    <row r="34" spans="1:5" x14ac:dyDescent="0.3">
      <c r="A34" s="113" t="s">
        <v>638</v>
      </c>
      <c r="B34" s="113" t="s">
        <v>3214</v>
      </c>
      <c r="C34" s="114">
        <v>13</v>
      </c>
      <c r="D34" s="114">
        <v>288</v>
      </c>
      <c r="E34" t="str">
        <f t="shared" si="1"/>
        <v>Credera India Consulting | Data &amp; AI - L2 / B1-B2 | Associate Engineer</v>
      </c>
    </row>
    <row r="35" spans="1:5" x14ac:dyDescent="0.3">
      <c r="A35" s="113" t="s">
        <v>638</v>
      </c>
      <c r="B35" s="113" t="s">
        <v>3215</v>
      </c>
      <c r="C35" s="114">
        <v>23</v>
      </c>
      <c r="D35" s="114">
        <v>504</v>
      </c>
      <c r="E35" t="str">
        <f t="shared" si="1"/>
        <v>Credera India Consulting | Data &amp; AI - L2 / B1-B2 | Engineer</v>
      </c>
    </row>
    <row r="36" spans="1:5" x14ac:dyDescent="0.3">
      <c r="A36" s="113" t="s">
        <v>638</v>
      </c>
      <c r="B36" s="113" t="s">
        <v>1681</v>
      </c>
      <c r="C36" s="114">
        <v>43</v>
      </c>
      <c r="D36" s="114">
        <v>768</v>
      </c>
      <c r="E36" t="str">
        <f t="shared" si="1"/>
        <v>Credera India Consulting | Data &amp; AI - L3 / C1-C2 | Senior Engineer</v>
      </c>
    </row>
    <row r="37" spans="1:5" x14ac:dyDescent="0.3">
      <c r="A37" s="113" t="s">
        <v>638</v>
      </c>
      <c r="B37" s="113" t="s">
        <v>1682</v>
      </c>
      <c r="C37" s="114">
        <v>53</v>
      </c>
      <c r="D37" s="114">
        <v>888</v>
      </c>
      <c r="E37" t="str">
        <f t="shared" si="1"/>
        <v>Credera India Consulting | Data &amp; AI - L3 / C1-C2 | Lead Engineer</v>
      </c>
    </row>
    <row r="38" spans="1:5" x14ac:dyDescent="0.3">
      <c r="A38" s="113" t="s">
        <v>638</v>
      </c>
      <c r="B38" s="113" t="s">
        <v>1683</v>
      </c>
      <c r="C38" s="114">
        <v>60</v>
      </c>
      <c r="D38" s="114">
        <v>960</v>
      </c>
      <c r="E38" t="str">
        <f t="shared" si="1"/>
        <v>Credera India Consulting | Data &amp; AI - L4 / D1 | Architect</v>
      </c>
    </row>
    <row r="39" spans="1:5" x14ac:dyDescent="0.3">
      <c r="A39" s="113" t="s">
        <v>638</v>
      </c>
      <c r="B39" s="113" t="s">
        <v>1684</v>
      </c>
      <c r="C39" s="114">
        <v>81</v>
      </c>
      <c r="D39" s="114">
        <v>1184</v>
      </c>
      <c r="E39" t="str">
        <f t="shared" si="1"/>
        <v>Credera India Consulting | Data &amp; AI - L5 / D2-E1 | Senior Architect</v>
      </c>
    </row>
    <row r="40" spans="1:5" x14ac:dyDescent="0.3">
      <c r="A40" s="113" t="s">
        <v>638</v>
      </c>
      <c r="B40" s="113" t="s">
        <v>1685</v>
      </c>
      <c r="C40" s="114">
        <v>99</v>
      </c>
      <c r="D40" s="114">
        <v>1320</v>
      </c>
      <c r="E40" t="str">
        <f t="shared" si="1"/>
        <v>Credera India Consulting | Data &amp; AI - L6 / E2-S1 | Principal Architect</v>
      </c>
    </row>
    <row r="41" spans="1:5" x14ac:dyDescent="0.3">
      <c r="A41" s="113" t="s">
        <v>639</v>
      </c>
      <c r="B41" s="113" t="s">
        <v>3218</v>
      </c>
      <c r="C41" s="114">
        <v>13</v>
      </c>
      <c r="D41" s="114">
        <v>288</v>
      </c>
      <c r="E41" t="str">
        <f t="shared" si="1"/>
        <v>Credera India Consulting | Experience Design - L2 / B1-B2 | Strategist</v>
      </c>
    </row>
    <row r="42" spans="1:5" x14ac:dyDescent="0.3">
      <c r="A42" s="113" t="s">
        <v>639</v>
      </c>
      <c r="B42" s="113" t="s">
        <v>1691</v>
      </c>
      <c r="C42" s="114">
        <v>27</v>
      </c>
      <c r="D42" s="114">
        <v>584</v>
      </c>
      <c r="E42" t="str">
        <f t="shared" si="1"/>
        <v>Credera India Consulting | Experience Design - L3 / C1-C2 | Senior Strategist</v>
      </c>
    </row>
    <row r="43" spans="1:5" x14ac:dyDescent="0.3">
      <c r="A43" s="113" t="s">
        <v>639</v>
      </c>
      <c r="B43" s="113" t="s">
        <v>1692</v>
      </c>
      <c r="C43" s="114">
        <v>41</v>
      </c>
      <c r="D43" s="114">
        <v>688</v>
      </c>
      <c r="E43" t="str">
        <f t="shared" si="1"/>
        <v>Credera India Consulting | Experience Design - L4 / D1 | Strategy Manager</v>
      </c>
    </row>
    <row r="44" spans="1:5" x14ac:dyDescent="0.3">
      <c r="A44" s="113" t="s">
        <v>639</v>
      </c>
      <c r="B44" s="113" t="s">
        <v>3102</v>
      </c>
      <c r="C44" s="114">
        <v>13</v>
      </c>
      <c r="D44" s="114">
        <v>288</v>
      </c>
      <c r="E44" t="str">
        <f t="shared" si="1"/>
        <v>Credera India Consulting | Experience Design - L2 / B1-B2 | Designer</v>
      </c>
    </row>
    <row r="45" spans="1:5" x14ac:dyDescent="0.3">
      <c r="A45" s="113" t="s">
        <v>639</v>
      </c>
      <c r="B45" s="113" t="s">
        <v>1694</v>
      </c>
      <c r="C45" s="114">
        <v>22</v>
      </c>
      <c r="D45" s="114">
        <v>424</v>
      </c>
      <c r="E45" t="str">
        <f t="shared" si="1"/>
        <v>Credera India Consulting | Experience Design - L3 / C1-C2 | Senior Designer</v>
      </c>
    </row>
    <row r="46" spans="1:5" x14ac:dyDescent="0.3">
      <c r="A46" s="113" t="s">
        <v>639</v>
      </c>
      <c r="B46" s="113" t="s">
        <v>1695</v>
      </c>
      <c r="C46" s="114">
        <v>39</v>
      </c>
      <c r="D46" s="114">
        <v>656</v>
      </c>
      <c r="E46" t="str">
        <f t="shared" si="1"/>
        <v>Credera India Consulting | Experience Design - L4 / D1 | Associate Design Director</v>
      </c>
    </row>
    <row r="47" spans="1:5" x14ac:dyDescent="0.3">
      <c r="A47" s="113" t="s">
        <v>639</v>
      </c>
      <c r="B47" s="113" t="s">
        <v>1696</v>
      </c>
      <c r="C47" s="114">
        <v>53</v>
      </c>
      <c r="D47" s="114">
        <v>848</v>
      </c>
      <c r="E47" t="str">
        <f t="shared" si="1"/>
        <v>Credera India Consulting | Experience Design - L5 / D2-E1 | Lead Design Director</v>
      </c>
    </row>
    <row r="48" spans="1:5" x14ac:dyDescent="0.3">
      <c r="A48" s="113" t="s">
        <v>639</v>
      </c>
      <c r="B48" s="113" t="s">
        <v>1697</v>
      </c>
      <c r="C48" s="114">
        <v>63</v>
      </c>
      <c r="D48" s="114">
        <v>1008</v>
      </c>
      <c r="E48" t="str">
        <f t="shared" si="1"/>
        <v>Credera India Consulting | Experience Design - L5 / D2-E1 | Principal Design Director</v>
      </c>
    </row>
    <row r="49" spans="1:5" x14ac:dyDescent="0.3">
      <c r="A49" s="113" t="s">
        <v>639</v>
      </c>
      <c r="B49" s="113" t="s">
        <v>1698</v>
      </c>
      <c r="C49" s="114">
        <v>81</v>
      </c>
      <c r="D49" s="114">
        <v>1296</v>
      </c>
      <c r="E49" t="str">
        <f t="shared" si="1"/>
        <v>Credera India Consulting | Experience Design - L6 / E2-S1 | Director</v>
      </c>
    </row>
    <row r="50" spans="1:5" x14ac:dyDescent="0.3">
      <c r="A50" s="113" t="s">
        <v>645</v>
      </c>
      <c r="B50" s="113" t="s">
        <v>1699</v>
      </c>
      <c r="C50" s="114">
        <v>32</v>
      </c>
      <c r="D50" s="114">
        <v>536</v>
      </c>
      <c r="E50" t="str">
        <f t="shared" si="1"/>
        <v>Credera India Consulting | Management Consulting - L3 / C1-C2 | Scrum Master</v>
      </c>
    </row>
    <row r="51" spans="1:5" x14ac:dyDescent="0.3">
      <c r="A51" s="113" t="s">
        <v>645</v>
      </c>
      <c r="B51" s="113" t="s">
        <v>1700</v>
      </c>
      <c r="C51" s="114">
        <v>41</v>
      </c>
      <c r="D51" s="114">
        <v>656</v>
      </c>
      <c r="E51" t="str">
        <f t="shared" si="1"/>
        <v>Credera India Consulting | Management Consulting - L5 / D2-E1 | Senior Scrum Master</v>
      </c>
    </row>
    <row r="52" spans="1:5" x14ac:dyDescent="0.3">
      <c r="A52" s="113" t="s">
        <v>645</v>
      </c>
      <c r="B52" s="113" t="s">
        <v>1701</v>
      </c>
      <c r="C52" s="114">
        <v>49</v>
      </c>
      <c r="D52" s="114">
        <v>784</v>
      </c>
      <c r="E52" t="str">
        <f t="shared" si="1"/>
        <v>Credera India Consulting | Management Consulting - L4 / D1 | Project Manager</v>
      </c>
    </row>
    <row r="53" spans="1:5" x14ac:dyDescent="0.3">
      <c r="A53" s="113" t="s">
        <v>645</v>
      </c>
      <c r="B53" s="113" t="s">
        <v>1702</v>
      </c>
      <c r="C53" s="114">
        <v>53</v>
      </c>
      <c r="D53" s="114">
        <v>848</v>
      </c>
      <c r="E53" t="str">
        <f t="shared" si="1"/>
        <v>Credera India Consulting | Management Consulting - L5 / D2-E1 | Senior Project Manager</v>
      </c>
    </row>
    <row r="54" spans="1:5" x14ac:dyDescent="0.3">
      <c r="A54" s="113" t="s">
        <v>645</v>
      </c>
      <c r="B54" s="113" t="s">
        <v>1703</v>
      </c>
      <c r="C54" s="114">
        <v>65</v>
      </c>
      <c r="D54" s="114">
        <v>1040</v>
      </c>
      <c r="E54" t="str">
        <f t="shared" si="1"/>
        <v>Credera India Consulting | Management Consulting - L6 / E2-S1 | Delivery Manager</v>
      </c>
    </row>
    <row r="55" spans="1:5" x14ac:dyDescent="0.3">
      <c r="A55" s="113" t="s">
        <v>645</v>
      </c>
      <c r="B55" s="113" t="s">
        <v>3219</v>
      </c>
      <c r="C55" s="114">
        <v>26</v>
      </c>
      <c r="D55" s="114">
        <v>568</v>
      </c>
      <c r="E55" t="str">
        <f t="shared" si="1"/>
        <v>Credera India Consulting | Management Consulting - L2 / B1-B2 | Consultant</v>
      </c>
    </row>
    <row r="56" spans="1:5" x14ac:dyDescent="0.3">
      <c r="A56" s="113" t="s">
        <v>645</v>
      </c>
      <c r="B56" s="113" t="s">
        <v>1705</v>
      </c>
      <c r="C56" s="114">
        <v>33</v>
      </c>
      <c r="D56" s="114">
        <v>632</v>
      </c>
      <c r="E56" t="str">
        <f t="shared" si="1"/>
        <v>Credera India Consulting | Management Consulting - L3 / C1-C2 | Senior Consultant</v>
      </c>
    </row>
    <row r="57" spans="1:5" x14ac:dyDescent="0.3">
      <c r="A57" s="113" t="s">
        <v>645</v>
      </c>
      <c r="B57" s="113" t="s">
        <v>1706</v>
      </c>
      <c r="C57" s="114">
        <v>49</v>
      </c>
      <c r="D57" s="114">
        <v>824</v>
      </c>
      <c r="E57" t="str">
        <f t="shared" si="1"/>
        <v>Credera India Consulting | Management Consulting - L4 / D1 | Manager</v>
      </c>
    </row>
    <row r="58" spans="1:5" x14ac:dyDescent="0.3">
      <c r="A58" s="113" t="s">
        <v>645</v>
      </c>
      <c r="B58" s="113" t="s">
        <v>1707</v>
      </c>
      <c r="C58" s="114">
        <v>53</v>
      </c>
      <c r="D58" s="114">
        <v>848</v>
      </c>
      <c r="E58" t="str">
        <f t="shared" si="1"/>
        <v>Credera India Consulting | Management Consulting - L5 / D2-E1 | Senior Manager</v>
      </c>
    </row>
    <row r="59" spans="1:5" x14ac:dyDescent="0.3">
      <c r="A59" s="113" t="s">
        <v>645</v>
      </c>
      <c r="B59" s="113" t="s">
        <v>1708</v>
      </c>
      <c r="C59" s="114">
        <v>65</v>
      </c>
      <c r="D59" s="114">
        <v>1040</v>
      </c>
      <c r="E59" t="str">
        <f t="shared" si="1"/>
        <v>Credera India Consulting | Management Consulting - L6 / E2-S1 | Principal</v>
      </c>
    </row>
    <row r="60" spans="1:5" x14ac:dyDescent="0.3">
      <c r="A60" s="113" t="s">
        <v>652</v>
      </c>
      <c r="B60" s="113" t="s">
        <v>3220</v>
      </c>
      <c r="C60" s="114">
        <v>11</v>
      </c>
      <c r="D60" s="114">
        <v>240</v>
      </c>
      <c r="E60" t="str">
        <f t="shared" si="1"/>
        <v>Credera India Consulting | Quality Assurance - L2 / B1-B2 | Associate QA Engineer</v>
      </c>
    </row>
    <row r="61" spans="1:5" x14ac:dyDescent="0.3">
      <c r="A61" s="113" t="s">
        <v>652</v>
      </c>
      <c r="B61" s="113" t="s">
        <v>2474</v>
      </c>
      <c r="C61" s="114">
        <v>18</v>
      </c>
      <c r="D61" s="114">
        <v>392</v>
      </c>
      <c r="E61" t="str">
        <f t="shared" si="1"/>
        <v>Credera India Consulting | Quality Assurance - L2 / B1-B2 | QA Engineer</v>
      </c>
    </row>
    <row r="62" spans="1:5" x14ac:dyDescent="0.3">
      <c r="A62" s="113" t="s">
        <v>652</v>
      </c>
      <c r="B62" s="113" t="s">
        <v>1709</v>
      </c>
      <c r="C62" s="114">
        <v>25</v>
      </c>
      <c r="D62" s="114">
        <v>448</v>
      </c>
      <c r="E62" t="str">
        <f t="shared" si="1"/>
        <v>Credera India Consulting | Quality Assurance - L3 / C1-C2 | Senior QA Engineer</v>
      </c>
    </row>
    <row r="63" spans="1:5" x14ac:dyDescent="0.3">
      <c r="A63" s="113" t="s">
        <v>652</v>
      </c>
      <c r="B63" s="113" t="s">
        <v>1710</v>
      </c>
      <c r="C63" s="114">
        <v>33</v>
      </c>
      <c r="D63" s="114">
        <v>552</v>
      </c>
      <c r="E63" t="str">
        <f t="shared" si="1"/>
        <v>Credera India Consulting | Quality Assurance - L3 / C1-C2 | Lead QA Engineer</v>
      </c>
    </row>
    <row r="64" spans="1:5" x14ac:dyDescent="0.3">
      <c r="A64" s="113" t="s">
        <v>652</v>
      </c>
      <c r="B64" s="113" t="s">
        <v>1711</v>
      </c>
      <c r="C64" s="114">
        <v>39</v>
      </c>
      <c r="D64" s="114">
        <v>624</v>
      </c>
      <c r="E64" t="str">
        <f t="shared" si="1"/>
        <v>Credera India Consulting | Quality Assurance - L4 / D1 | QA Architect</v>
      </c>
    </row>
    <row r="65" spans="1:5" x14ac:dyDescent="0.3">
      <c r="A65" s="113" t="s">
        <v>652</v>
      </c>
      <c r="B65" s="113" t="s">
        <v>1712</v>
      </c>
      <c r="C65" s="114">
        <v>51</v>
      </c>
      <c r="D65" s="114">
        <v>744</v>
      </c>
      <c r="E65" t="str">
        <f t="shared" si="1"/>
        <v>Credera India Consulting | Quality Assurance - L5 / D2-E1 | Senior QA Architect</v>
      </c>
    </row>
    <row r="66" spans="1:5" x14ac:dyDescent="0.3">
      <c r="A66" s="113" t="s">
        <v>652</v>
      </c>
      <c r="B66" s="113" t="s">
        <v>1713</v>
      </c>
      <c r="C66" s="114">
        <v>63</v>
      </c>
      <c r="D66" s="114">
        <v>840</v>
      </c>
      <c r="E66" t="str">
        <f t="shared" si="1"/>
        <v>Credera India Consulting | Quality Assurance - L6 / E2-S1 | Principal QA Architect</v>
      </c>
    </row>
    <row r="67" spans="1:5" x14ac:dyDescent="0.3">
      <c r="A67" s="113" t="s">
        <v>660</v>
      </c>
      <c r="B67" s="113" t="s">
        <v>3214</v>
      </c>
      <c r="C67" s="114">
        <v>13</v>
      </c>
      <c r="D67" s="114">
        <v>288</v>
      </c>
      <c r="E67" t="str">
        <f t="shared" si="1"/>
        <v>Credera India Digital | MarTech - L2 / B1-B2 | Associate Engineer</v>
      </c>
    </row>
    <row r="68" spans="1:5" x14ac:dyDescent="0.3">
      <c r="A68" s="113" t="s">
        <v>660</v>
      </c>
      <c r="B68" s="113" t="s">
        <v>3215</v>
      </c>
      <c r="C68" s="114">
        <v>20</v>
      </c>
      <c r="D68" s="114">
        <v>440</v>
      </c>
      <c r="E68" t="str">
        <f t="shared" si="1"/>
        <v>Credera India Digital | MarTech - L2 / B1-B2 | Engineer</v>
      </c>
    </row>
    <row r="69" spans="1:5" x14ac:dyDescent="0.3">
      <c r="A69" s="113" t="s">
        <v>660</v>
      </c>
      <c r="B69" s="113" t="s">
        <v>1681</v>
      </c>
      <c r="C69" s="114">
        <v>35</v>
      </c>
      <c r="D69" s="114">
        <v>624</v>
      </c>
      <c r="E69" t="str">
        <f t="shared" si="1"/>
        <v>Credera India Digital | MarTech - L3 / C1-C2 | Senior Engineer</v>
      </c>
    </row>
    <row r="70" spans="1:5" x14ac:dyDescent="0.3">
      <c r="A70" s="113" t="s">
        <v>660</v>
      </c>
      <c r="B70" s="113" t="s">
        <v>1682</v>
      </c>
      <c r="C70" s="114">
        <v>45</v>
      </c>
      <c r="D70" s="114">
        <v>752</v>
      </c>
      <c r="E70" t="str">
        <f t="shared" si="1"/>
        <v>Credera India Digital | MarTech - L3 / C1-C2 | Lead Engineer</v>
      </c>
    </row>
    <row r="71" spans="1:5" x14ac:dyDescent="0.3">
      <c r="A71" s="113" t="s">
        <v>660</v>
      </c>
      <c r="B71" s="113" t="s">
        <v>1683</v>
      </c>
      <c r="C71" s="114">
        <v>57</v>
      </c>
      <c r="D71" s="114">
        <v>912</v>
      </c>
      <c r="E71" t="str">
        <f t="shared" si="1"/>
        <v>Credera India Digital | MarTech - L4 / D1 | Architect</v>
      </c>
    </row>
    <row r="72" spans="1:5" x14ac:dyDescent="0.3">
      <c r="A72" s="113" t="s">
        <v>660</v>
      </c>
      <c r="B72" s="113" t="s">
        <v>1684</v>
      </c>
      <c r="C72" s="114">
        <v>69</v>
      </c>
      <c r="D72" s="114">
        <v>1008</v>
      </c>
      <c r="E72" t="str">
        <f t="shared" si="1"/>
        <v>Credera India Digital | MarTech - L5 / D2-E1 | Senior Architect</v>
      </c>
    </row>
    <row r="73" spans="1:5" x14ac:dyDescent="0.3">
      <c r="A73" s="113" t="s">
        <v>660</v>
      </c>
      <c r="B73" s="113" t="s">
        <v>1685</v>
      </c>
      <c r="C73" s="114">
        <v>81</v>
      </c>
      <c r="D73" s="114">
        <v>1080</v>
      </c>
      <c r="E73" t="str">
        <f t="shared" si="1"/>
        <v>Credera India Digital | MarTech - L6 / E2-S1 | Principal Architect</v>
      </c>
    </row>
    <row r="74" spans="1:5" x14ac:dyDescent="0.3">
      <c r="A74" s="113" t="s">
        <v>661</v>
      </c>
      <c r="B74" s="113" t="s">
        <v>3214</v>
      </c>
      <c r="C74" s="114">
        <v>13</v>
      </c>
      <c r="D74" s="114">
        <v>288</v>
      </c>
      <c r="E74" t="str">
        <f t="shared" si="1"/>
        <v>Credera India Digital | Premium MarTech - L2 / B1-B2 | Associate Engineer</v>
      </c>
    </row>
    <row r="75" spans="1:5" x14ac:dyDescent="0.3">
      <c r="A75" s="113" t="s">
        <v>661</v>
      </c>
      <c r="B75" s="113" t="s">
        <v>3215</v>
      </c>
      <c r="C75" s="114">
        <v>24</v>
      </c>
      <c r="D75" s="114">
        <v>520</v>
      </c>
      <c r="E75" t="str">
        <f t="shared" si="1"/>
        <v>Credera India Digital | Premium MarTech - L2 / B1-B2 | Engineer</v>
      </c>
    </row>
    <row r="76" spans="1:5" x14ac:dyDescent="0.3">
      <c r="A76" s="113" t="s">
        <v>661</v>
      </c>
      <c r="B76" s="113" t="s">
        <v>1681</v>
      </c>
      <c r="C76" s="114">
        <v>43</v>
      </c>
      <c r="D76" s="114">
        <v>768</v>
      </c>
      <c r="E76" t="str">
        <f t="shared" si="1"/>
        <v>Credera India Digital | Premium MarTech - L3 / C1-C2 | Senior Engineer</v>
      </c>
    </row>
    <row r="77" spans="1:5" x14ac:dyDescent="0.3">
      <c r="A77" s="113" t="s">
        <v>661</v>
      </c>
      <c r="B77" s="113" t="s">
        <v>1682</v>
      </c>
      <c r="C77" s="114">
        <v>56</v>
      </c>
      <c r="D77" s="114">
        <v>936</v>
      </c>
      <c r="E77" t="str">
        <f t="shared" si="1"/>
        <v>Credera India Digital | Premium MarTech - L3 / C1-C2 | Lead Engineer</v>
      </c>
    </row>
    <row r="78" spans="1:5" x14ac:dyDescent="0.3">
      <c r="A78" s="113" t="s">
        <v>661</v>
      </c>
      <c r="B78" s="113" t="s">
        <v>1683</v>
      </c>
      <c r="C78" s="114">
        <v>69</v>
      </c>
      <c r="D78" s="114">
        <v>1104</v>
      </c>
      <c r="E78" t="str">
        <f t="shared" si="1"/>
        <v>Credera India Digital | Premium MarTech - L4 / D1 | Architect</v>
      </c>
    </row>
    <row r="79" spans="1:5" x14ac:dyDescent="0.3">
      <c r="A79" s="113" t="s">
        <v>661</v>
      </c>
      <c r="B79" s="113" t="s">
        <v>1684</v>
      </c>
      <c r="C79" s="114">
        <v>81</v>
      </c>
      <c r="D79" s="114">
        <v>1184</v>
      </c>
      <c r="E79" t="str">
        <f t="shared" si="1"/>
        <v>Credera India Digital | Premium MarTech - L5 / D2-E1 | Senior Architect</v>
      </c>
    </row>
    <row r="80" spans="1:5" x14ac:dyDescent="0.3">
      <c r="A80" s="113" t="s">
        <v>661</v>
      </c>
      <c r="B80" s="113" t="s">
        <v>1685</v>
      </c>
      <c r="C80" s="114">
        <v>99</v>
      </c>
      <c r="D80" s="114">
        <v>1320</v>
      </c>
      <c r="E80" t="str">
        <f t="shared" si="1"/>
        <v>Credera India Digital | Premium MarTech - L6 / E2-S1 | Principal Architect</v>
      </c>
    </row>
    <row r="81" spans="1:5" x14ac:dyDescent="0.3">
      <c r="A81" s="113" t="s">
        <v>662</v>
      </c>
      <c r="B81" s="113" t="s">
        <v>628</v>
      </c>
      <c r="C81" s="114">
        <v>0</v>
      </c>
      <c r="D81" s="114">
        <v>0</v>
      </c>
      <c r="E81" t="str">
        <f t="shared" si="1"/>
        <v>Credera LATAM Business Enablement - C | Corporate Staff</v>
      </c>
    </row>
    <row r="82" spans="1:5" x14ac:dyDescent="0.3">
      <c r="A82" s="113" t="s">
        <v>663</v>
      </c>
      <c r="B82" s="113" t="s">
        <v>3214</v>
      </c>
      <c r="C82" s="114">
        <v>45</v>
      </c>
      <c r="D82" s="114">
        <v>960</v>
      </c>
      <c r="E82" t="str">
        <f t="shared" si="1"/>
        <v>Credera LATAM Consulting | Cloud &amp; Engineering - L2 / B1-B2 | Associate Engineer</v>
      </c>
    </row>
    <row r="83" spans="1:5" x14ac:dyDescent="0.3">
      <c r="A83" s="113" t="s">
        <v>663</v>
      </c>
      <c r="B83" s="113" t="s">
        <v>3215</v>
      </c>
      <c r="C83" s="114">
        <v>45</v>
      </c>
      <c r="D83" s="114">
        <v>960</v>
      </c>
      <c r="E83" t="str">
        <f t="shared" si="1"/>
        <v>Credera LATAM Consulting | Cloud &amp; Engineering - L2 / B1-B2 | Engineer</v>
      </c>
    </row>
    <row r="84" spans="1:5" x14ac:dyDescent="0.3">
      <c r="A84" s="113" t="s">
        <v>663</v>
      </c>
      <c r="B84" s="113" t="s">
        <v>1681</v>
      </c>
      <c r="C84" s="114">
        <v>45</v>
      </c>
      <c r="D84" s="114">
        <v>960</v>
      </c>
      <c r="E84" t="str">
        <f t="shared" si="1"/>
        <v>Credera LATAM Consulting | Cloud &amp; Engineering - L3 / C1-C2 | Senior Engineer</v>
      </c>
    </row>
    <row r="85" spans="1:5" x14ac:dyDescent="0.3">
      <c r="A85" s="113" t="s">
        <v>663</v>
      </c>
      <c r="B85" s="113" t="s">
        <v>1682</v>
      </c>
      <c r="C85" s="114">
        <v>45</v>
      </c>
      <c r="D85" s="114">
        <v>960</v>
      </c>
      <c r="E85" t="str">
        <f t="shared" si="1"/>
        <v>Credera LATAM Consulting | Cloud &amp; Engineering - L3 / C1-C2 | Lead Engineer</v>
      </c>
    </row>
    <row r="86" spans="1:5" x14ac:dyDescent="0.3">
      <c r="A86" s="113" t="s">
        <v>663</v>
      </c>
      <c r="B86" s="113" t="s">
        <v>1683</v>
      </c>
      <c r="C86" s="114">
        <v>60</v>
      </c>
      <c r="D86" s="114">
        <v>1072</v>
      </c>
      <c r="E86" t="str">
        <f t="shared" si="1"/>
        <v>Credera LATAM Consulting | Cloud &amp; Engineering - L4 / D1 | Architect</v>
      </c>
    </row>
    <row r="87" spans="1:5" x14ac:dyDescent="0.3">
      <c r="A87" s="113" t="s">
        <v>663</v>
      </c>
      <c r="B87" s="113" t="s">
        <v>1684</v>
      </c>
      <c r="C87" s="114">
        <v>70</v>
      </c>
      <c r="D87" s="114">
        <v>1120</v>
      </c>
      <c r="E87" t="str">
        <f t="shared" si="1"/>
        <v>Credera LATAM Consulting | Cloud &amp; Engineering - L5 / D2-E1 | Senior Architect</v>
      </c>
    </row>
    <row r="88" spans="1:5" x14ac:dyDescent="0.3">
      <c r="A88" s="113" t="s">
        <v>663</v>
      </c>
      <c r="B88" s="113" t="s">
        <v>1685</v>
      </c>
      <c r="C88" s="114">
        <v>85</v>
      </c>
      <c r="D88" s="114">
        <v>1240</v>
      </c>
      <c r="E88" t="str">
        <f t="shared" ref="E88:E151" si="2">CONCATENATE(A88," - ",B88)</f>
        <v>Credera LATAM Consulting | Cloud &amp; Engineering - L6 / E2-S1 | Principal Architect</v>
      </c>
    </row>
    <row r="89" spans="1:5" x14ac:dyDescent="0.3">
      <c r="A89" s="113" t="s">
        <v>664</v>
      </c>
      <c r="B89" s="113" t="s">
        <v>3214</v>
      </c>
      <c r="C89" s="114">
        <v>45</v>
      </c>
      <c r="D89" s="114">
        <v>960</v>
      </c>
      <c r="E89" t="str">
        <f t="shared" si="2"/>
        <v>Credera LATAM Consulting | Data &amp; AI - L2 / B1-B2 | Associate Engineer</v>
      </c>
    </row>
    <row r="90" spans="1:5" x14ac:dyDescent="0.3">
      <c r="A90" s="113" t="s">
        <v>664</v>
      </c>
      <c r="B90" s="113" t="s">
        <v>3215</v>
      </c>
      <c r="C90" s="114">
        <v>45</v>
      </c>
      <c r="D90" s="114">
        <v>960</v>
      </c>
      <c r="E90" t="str">
        <f t="shared" si="2"/>
        <v>Credera LATAM Consulting | Data &amp; AI - L2 / B1-B2 | Engineer</v>
      </c>
    </row>
    <row r="91" spans="1:5" x14ac:dyDescent="0.3">
      <c r="A91" s="113" t="s">
        <v>664</v>
      </c>
      <c r="B91" s="113" t="s">
        <v>1681</v>
      </c>
      <c r="C91" s="114">
        <v>45</v>
      </c>
      <c r="D91" s="114">
        <v>960</v>
      </c>
      <c r="E91" t="str">
        <f t="shared" si="2"/>
        <v>Credera LATAM Consulting | Data &amp; AI - L3 / C1-C2 | Senior Engineer</v>
      </c>
    </row>
    <row r="92" spans="1:5" x14ac:dyDescent="0.3">
      <c r="A92" s="113" t="s">
        <v>664</v>
      </c>
      <c r="B92" s="113" t="s">
        <v>1682</v>
      </c>
      <c r="C92" s="114">
        <v>45</v>
      </c>
      <c r="D92" s="114">
        <v>960</v>
      </c>
      <c r="E92" t="str">
        <f t="shared" si="2"/>
        <v>Credera LATAM Consulting | Data &amp; AI - L3 / C1-C2 | Lead Engineer</v>
      </c>
    </row>
    <row r="93" spans="1:5" x14ac:dyDescent="0.3">
      <c r="A93" s="113" t="s">
        <v>664</v>
      </c>
      <c r="B93" s="113" t="s">
        <v>1683</v>
      </c>
      <c r="C93" s="114">
        <v>60</v>
      </c>
      <c r="D93" s="114">
        <v>1072</v>
      </c>
      <c r="E93" t="str">
        <f t="shared" si="2"/>
        <v>Credera LATAM Consulting | Data &amp; AI - L4 / D1 | Architect</v>
      </c>
    </row>
    <row r="94" spans="1:5" x14ac:dyDescent="0.3">
      <c r="A94" s="113" t="s">
        <v>664</v>
      </c>
      <c r="B94" s="113" t="s">
        <v>1684</v>
      </c>
      <c r="C94" s="114">
        <v>70</v>
      </c>
      <c r="D94" s="114">
        <v>1120</v>
      </c>
      <c r="E94" t="str">
        <f t="shared" si="2"/>
        <v>Credera LATAM Consulting | Data &amp; AI - L5 / D2-E1 | Senior Architect</v>
      </c>
    </row>
    <row r="95" spans="1:5" x14ac:dyDescent="0.3">
      <c r="A95" s="113" t="s">
        <v>664</v>
      </c>
      <c r="B95" s="113" t="s">
        <v>1685</v>
      </c>
      <c r="C95" s="114">
        <v>85</v>
      </c>
      <c r="D95" s="114">
        <v>1240</v>
      </c>
      <c r="E95" t="str">
        <f t="shared" si="2"/>
        <v>Credera LATAM Consulting | Data &amp; AI - L6 / E2-S1 | Principal Architect</v>
      </c>
    </row>
    <row r="96" spans="1:5" x14ac:dyDescent="0.3">
      <c r="A96" s="113" t="s">
        <v>665</v>
      </c>
      <c r="B96" s="113" t="s">
        <v>3221</v>
      </c>
      <c r="C96" s="114">
        <v>45</v>
      </c>
      <c r="D96" s="114">
        <v>976</v>
      </c>
      <c r="E96" t="str">
        <f t="shared" si="2"/>
        <v>Credera LATAM Consulting | Management Consulting - L2 / B1-B2 | Business Analyst</v>
      </c>
    </row>
    <row r="97" spans="1:5" x14ac:dyDescent="0.3">
      <c r="A97" s="113" t="s">
        <v>665</v>
      </c>
      <c r="B97" s="113" t="s">
        <v>1714</v>
      </c>
      <c r="C97" s="114">
        <v>50</v>
      </c>
      <c r="D97" s="114">
        <v>1088</v>
      </c>
      <c r="E97" t="str">
        <f t="shared" si="2"/>
        <v>Credera LATAM Consulting | Management Consulting - L3 / C1-C2 | Sr Business Analyst</v>
      </c>
    </row>
    <row r="98" spans="1:5" x14ac:dyDescent="0.3">
      <c r="A98" s="113" t="s">
        <v>665</v>
      </c>
      <c r="B98" s="113" t="s">
        <v>1699</v>
      </c>
      <c r="C98" s="114">
        <v>50</v>
      </c>
      <c r="D98" s="114">
        <v>1088</v>
      </c>
      <c r="E98" t="str">
        <f t="shared" si="2"/>
        <v>Credera LATAM Consulting | Management Consulting - L3 / C1-C2 | Scrum Master</v>
      </c>
    </row>
    <row r="99" spans="1:5" x14ac:dyDescent="0.3">
      <c r="A99" s="113" t="s">
        <v>665</v>
      </c>
      <c r="B99" s="113" t="s">
        <v>1715</v>
      </c>
      <c r="C99" s="114">
        <v>55</v>
      </c>
      <c r="D99" s="114">
        <v>1104</v>
      </c>
      <c r="E99" t="str">
        <f t="shared" si="2"/>
        <v>Credera LATAM Consulting | Management Consulting - L4 / D1 | Senior Scrum Master</v>
      </c>
    </row>
    <row r="100" spans="1:5" x14ac:dyDescent="0.3">
      <c r="A100" s="113" t="s">
        <v>665</v>
      </c>
      <c r="B100" s="113" t="s">
        <v>1716</v>
      </c>
      <c r="C100" s="114">
        <v>50</v>
      </c>
      <c r="D100" s="114">
        <v>1088</v>
      </c>
      <c r="E100" t="str">
        <f t="shared" si="2"/>
        <v>Credera LATAM Consulting | Management Consulting - L3 / C1-C2 | Project Manager</v>
      </c>
    </row>
    <row r="101" spans="1:5" x14ac:dyDescent="0.3">
      <c r="A101" s="113" t="s">
        <v>665</v>
      </c>
      <c r="B101" s="113" t="s">
        <v>1717</v>
      </c>
      <c r="C101" s="114">
        <v>55</v>
      </c>
      <c r="D101" s="114">
        <v>1104</v>
      </c>
      <c r="E101" t="str">
        <f t="shared" si="2"/>
        <v>Credera LATAM Consulting | Management Consulting - L4 / D1 | Senior Project Manager</v>
      </c>
    </row>
    <row r="102" spans="1:5" x14ac:dyDescent="0.3">
      <c r="A102" s="113" t="s">
        <v>671</v>
      </c>
      <c r="B102" s="113" t="s">
        <v>3220</v>
      </c>
      <c r="C102" s="114">
        <v>45</v>
      </c>
      <c r="D102" s="114">
        <v>960</v>
      </c>
      <c r="E102" t="str">
        <f t="shared" si="2"/>
        <v>Credera LATAM Consulting | Quality Assurance - L2 / B1-B2 | Associate QA Engineer</v>
      </c>
    </row>
    <row r="103" spans="1:5" x14ac:dyDescent="0.3">
      <c r="A103" s="113" t="s">
        <v>671</v>
      </c>
      <c r="B103" s="113" t="s">
        <v>2474</v>
      </c>
      <c r="C103" s="114">
        <v>45</v>
      </c>
      <c r="D103" s="114">
        <v>960</v>
      </c>
      <c r="E103" t="str">
        <f t="shared" si="2"/>
        <v>Credera LATAM Consulting | Quality Assurance - L2 / B1-B2 | QA Engineer</v>
      </c>
    </row>
    <row r="104" spans="1:5" x14ac:dyDescent="0.3">
      <c r="A104" s="113" t="s">
        <v>671</v>
      </c>
      <c r="B104" s="113" t="s">
        <v>1709</v>
      </c>
      <c r="C104" s="114">
        <v>45</v>
      </c>
      <c r="D104" s="114">
        <v>960</v>
      </c>
      <c r="E104" t="str">
        <f t="shared" si="2"/>
        <v>Credera LATAM Consulting | Quality Assurance - L3 / C1-C2 | Senior QA Engineer</v>
      </c>
    </row>
    <row r="105" spans="1:5" x14ac:dyDescent="0.3">
      <c r="A105" s="113" t="s">
        <v>671</v>
      </c>
      <c r="B105" s="113" t="s">
        <v>1710</v>
      </c>
      <c r="C105" s="114">
        <v>45</v>
      </c>
      <c r="D105" s="114">
        <v>960</v>
      </c>
      <c r="E105" t="str">
        <f t="shared" si="2"/>
        <v>Credera LATAM Consulting | Quality Assurance - L3 / C1-C2 | Lead QA Engineer</v>
      </c>
    </row>
    <row r="106" spans="1:5" x14ac:dyDescent="0.3">
      <c r="A106" s="113" t="s">
        <v>671</v>
      </c>
      <c r="B106" s="113" t="s">
        <v>1711</v>
      </c>
      <c r="C106" s="114">
        <v>60</v>
      </c>
      <c r="D106" s="114">
        <v>1072</v>
      </c>
      <c r="E106" t="str">
        <f t="shared" si="2"/>
        <v>Credera LATAM Consulting | Quality Assurance - L4 / D1 | QA Architect</v>
      </c>
    </row>
    <row r="107" spans="1:5" x14ac:dyDescent="0.3">
      <c r="A107" s="113" t="s">
        <v>671</v>
      </c>
      <c r="B107" s="113" t="s">
        <v>1712</v>
      </c>
      <c r="C107" s="114">
        <v>70</v>
      </c>
      <c r="D107" s="114">
        <v>1120</v>
      </c>
      <c r="E107" t="str">
        <f t="shared" si="2"/>
        <v>Credera LATAM Consulting | Quality Assurance - L5 / D2-E1 | Senior QA Architect</v>
      </c>
    </row>
    <row r="108" spans="1:5" x14ac:dyDescent="0.3">
      <c r="A108" s="113" t="s">
        <v>671</v>
      </c>
      <c r="B108" s="113" t="s">
        <v>1713</v>
      </c>
      <c r="C108" s="114">
        <v>85</v>
      </c>
      <c r="D108" s="114">
        <v>1240</v>
      </c>
      <c r="E108" t="str">
        <f t="shared" si="2"/>
        <v>Credera LATAM Consulting | Quality Assurance - L6 / E2-S1 | Principal QA Architect</v>
      </c>
    </row>
    <row r="109" spans="1:5" x14ac:dyDescent="0.3">
      <c r="A109" s="113" t="s">
        <v>206</v>
      </c>
      <c r="B109" s="113" t="s">
        <v>672</v>
      </c>
      <c r="C109" s="114">
        <v>0</v>
      </c>
      <c r="D109" s="114">
        <v>0</v>
      </c>
      <c r="E109" t="str">
        <f t="shared" si="2"/>
        <v>Credera UK - E0 | Engineer</v>
      </c>
    </row>
    <row r="110" spans="1:5" x14ac:dyDescent="0.3">
      <c r="A110" s="113" t="s">
        <v>206</v>
      </c>
      <c r="B110" s="113" t="s">
        <v>673</v>
      </c>
      <c r="C110" s="114">
        <v>0</v>
      </c>
      <c r="D110" s="114">
        <v>0</v>
      </c>
      <c r="E110" t="str">
        <f t="shared" si="2"/>
        <v>Credera UK - E1 | Engineer</v>
      </c>
    </row>
    <row r="111" spans="1:5" x14ac:dyDescent="0.3">
      <c r="A111" s="113" t="s">
        <v>206</v>
      </c>
      <c r="B111" s="113" t="s">
        <v>674</v>
      </c>
      <c r="C111" s="114">
        <v>0</v>
      </c>
      <c r="D111" s="114">
        <v>0</v>
      </c>
      <c r="E111" t="str">
        <f t="shared" si="2"/>
        <v>Credera UK - E2 | Engineer</v>
      </c>
    </row>
    <row r="112" spans="1:5" x14ac:dyDescent="0.3">
      <c r="A112" s="113" t="s">
        <v>206</v>
      </c>
      <c r="B112" s="113" t="s">
        <v>675</v>
      </c>
      <c r="C112" s="114">
        <v>0</v>
      </c>
      <c r="D112" s="114">
        <v>0</v>
      </c>
      <c r="E112" t="str">
        <f t="shared" si="2"/>
        <v>Credera UK - E3 | Engineer</v>
      </c>
    </row>
    <row r="113" spans="1:5" x14ac:dyDescent="0.3">
      <c r="A113" s="113" t="s">
        <v>206</v>
      </c>
      <c r="B113" s="113" t="s">
        <v>676</v>
      </c>
      <c r="C113" s="114">
        <v>0</v>
      </c>
      <c r="D113" s="114">
        <v>0</v>
      </c>
      <c r="E113" t="str">
        <f t="shared" si="2"/>
        <v>Credera UK - E4 | Engineer</v>
      </c>
    </row>
    <row r="114" spans="1:5" x14ac:dyDescent="0.3">
      <c r="A114" s="113" t="s">
        <v>206</v>
      </c>
      <c r="B114" s="113" t="s">
        <v>677</v>
      </c>
      <c r="C114" s="114">
        <v>0</v>
      </c>
      <c r="D114" s="114">
        <v>0</v>
      </c>
      <c r="E114" t="str">
        <f t="shared" si="2"/>
        <v>Credera UK - E5 | Principal Engineer</v>
      </c>
    </row>
    <row r="115" spans="1:5" x14ac:dyDescent="0.3">
      <c r="A115" s="113" t="s">
        <v>206</v>
      </c>
      <c r="B115" s="113" t="s">
        <v>678</v>
      </c>
      <c r="C115" s="114">
        <v>0</v>
      </c>
      <c r="D115" s="114">
        <v>0</v>
      </c>
      <c r="E115" t="str">
        <f t="shared" si="2"/>
        <v>Credera UK - C0 | Analyst</v>
      </c>
    </row>
    <row r="116" spans="1:5" x14ac:dyDescent="0.3">
      <c r="A116" s="113" t="s">
        <v>206</v>
      </c>
      <c r="B116" s="113" t="s">
        <v>679</v>
      </c>
      <c r="C116" s="114">
        <v>0</v>
      </c>
      <c r="D116" s="114">
        <v>0</v>
      </c>
      <c r="E116" t="str">
        <f t="shared" si="2"/>
        <v>Credera UK - C1 | Consultant</v>
      </c>
    </row>
    <row r="117" spans="1:5" x14ac:dyDescent="0.3">
      <c r="A117" s="113" t="s">
        <v>206</v>
      </c>
      <c r="B117" s="113" t="s">
        <v>680</v>
      </c>
      <c r="C117" s="114">
        <v>0</v>
      </c>
      <c r="D117" s="114">
        <v>0</v>
      </c>
      <c r="E117" t="str">
        <f t="shared" si="2"/>
        <v>Credera UK - C2 | Senior Consultant</v>
      </c>
    </row>
    <row r="118" spans="1:5" x14ac:dyDescent="0.3">
      <c r="A118" s="113" t="s">
        <v>206</v>
      </c>
      <c r="B118" s="113" t="s">
        <v>681</v>
      </c>
      <c r="C118" s="114">
        <v>0</v>
      </c>
      <c r="D118" s="114">
        <v>0</v>
      </c>
      <c r="E118" t="str">
        <f t="shared" si="2"/>
        <v>Credera UK - MC3 | Managing Consultant</v>
      </c>
    </row>
    <row r="119" spans="1:5" x14ac:dyDescent="0.3">
      <c r="A119" s="113" t="s">
        <v>206</v>
      </c>
      <c r="B119" s="113" t="s">
        <v>682</v>
      </c>
      <c r="C119" s="114">
        <v>0</v>
      </c>
      <c r="D119" s="114">
        <v>0</v>
      </c>
      <c r="E119" t="str">
        <f t="shared" si="2"/>
        <v>Credera UK - MC4 | Managing Consultant</v>
      </c>
    </row>
    <row r="120" spans="1:5" x14ac:dyDescent="0.3">
      <c r="A120" s="113" t="s">
        <v>206</v>
      </c>
      <c r="B120" s="113" t="s">
        <v>683</v>
      </c>
      <c r="C120" s="114">
        <v>0</v>
      </c>
      <c r="D120" s="114">
        <v>0</v>
      </c>
      <c r="E120" t="str">
        <f t="shared" si="2"/>
        <v>Credera UK - MC5 | Managing Consultant</v>
      </c>
    </row>
    <row r="121" spans="1:5" x14ac:dyDescent="0.3">
      <c r="A121" s="113" t="s">
        <v>206</v>
      </c>
      <c r="B121" s="113" t="s">
        <v>684</v>
      </c>
      <c r="C121" s="114">
        <v>0</v>
      </c>
      <c r="D121" s="114">
        <v>0</v>
      </c>
      <c r="E121" t="str">
        <f t="shared" si="2"/>
        <v>Credera UK - PR6 | Principal</v>
      </c>
    </row>
    <row r="122" spans="1:5" x14ac:dyDescent="0.3">
      <c r="A122" s="113" t="s">
        <v>206</v>
      </c>
      <c r="B122" s="113" t="s">
        <v>685</v>
      </c>
      <c r="C122" s="114">
        <v>0</v>
      </c>
      <c r="D122" s="114">
        <v>0</v>
      </c>
      <c r="E122" t="str">
        <f t="shared" si="2"/>
        <v>Credera UK - DR1 | Director</v>
      </c>
    </row>
    <row r="123" spans="1:5" x14ac:dyDescent="0.3">
      <c r="A123" s="113" t="s">
        <v>206</v>
      </c>
      <c r="B123" s="113" t="s">
        <v>686</v>
      </c>
      <c r="C123" s="114">
        <v>0</v>
      </c>
      <c r="D123" s="114">
        <v>0</v>
      </c>
      <c r="E123" t="str">
        <f t="shared" si="2"/>
        <v>Credera UK - DR2 | Managing Director</v>
      </c>
    </row>
    <row r="124" spans="1:5" x14ac:dyDescent="0.3">
      <c r="A124" s="113" t="s">
        <v>206</v>
      </c>
      <c r="B124" s="113" t="s">
        <v>687</v>
      </c>
      <c r="C124" s="114">
        <v>0</v>
      </c>
      <c r="D124" s="114">
        <v>0</v>
      </c>
      <c r="E124" t="str">
        <f t="shared" si="2"/>
        <v>Credera UK - DR3 | Managing Director</v>
      </c>
    </row>
    <row r="125" spans="1:5" x14ac:dyDescent="0.3">
      <c r="A125" s="113" t="s">
        <v>206</v>
      </c>
      <c r="B125" s="113" t="s">
        <v>688</v>
      </c>
      <c r="C125" s="114">
        <v>0</v>
      </c>
      <c r="D125" s="114">
        <v>0</v>
      </c>
      <c r="E125" t="str">
        <f t="shared" si="2"/>
        <v>Credera UK - ED | Executive Director</v>
      </c>
    </row>
    <row r="126" spans="1:5" x14ac:dyDescent="0.3">
      <c r="A126" s="113" t="s">
        <v>206</v>
      </c>
      <c r="B126" s="113" t="s">
        <v>689</v>
      </c>
      <c r="C126" s="114">
        <v>0</v>
      </c>
      <c r="D126" s="114">
        <v>0</v>
      </c>
      <c r="E126" t="str">
        <f t="shared" si="2"/>
        <v>Credera UK - 00 | Unknown UK Title</v>
      </c>
    </row>
    <row r="127" spans="1:5" x14ac:dyDescent="0.3">
      <c r="A127" s="113" t="s">
        <v>690</v>
      </c>
      <c r="B127" s="113" t="s">
        <v>628</v>
      </c>
      <c r="C127" s="114">
        <v>0</v>
      </c>
      <c r="D127" s="114">
        <v>0</v>
      </c>
      <c r="E127" t="str">
        <f t="shared" si="2"/>
        <v>Credera US Business Enablement - C | Corporate Staff</v>
      </c>
    </row>
    <row r="128" spans="1:5" x14ac:dyDescent="0.3">
      <c r="A128" s="113" t="s">
        <v>691</v>
      </c>
      <c r="B128" s="113" t="s">
        <v>692</v>
      </c>
      <c r="C128" s="114">
        <v>0</v>
      </c>
      <c r="D128" s="114">
        <v>0</v>
      </c>
      <c r="E128" t="str">
        <f t="shared" si="2"/>
        <v>Credera US Consulting - 0 | Contractor</v>
      </c>
    </row>
    <row r="129" spans="1:6" x14ac:dyDescent="0.3">
      <c r="A129" s="113" t="s">
        <v>691</v>
      </c>
      <c r="B129" s="113" t="s">
        <v>1718</v>
      </c>
      <c r="C129" s="114">
        <v>65</v>
      </c>
      <c r="D129" s="114">
        <v>720</v>
      </c>
      <c r="E129" t="str">
        <f t="shared" si="2"/>
        <v>Credera US Consulting - L0 / A1 | Intern</v>
      </c>
      <c r="F129">
        <v>0</v>
      </c>
    </row>
    <row r="130" spans="1:6" x14ac:dyDescent="0.3">
      <c r="A130" s="113" t="s">
        <v>691</v>
      </c>
      <c r="B130" s="113" t="s">
        <v>1719</v>
      </c>
      <c r="C130" s="114">
        <v>72</v>
      </c>
      <c r="D130" s="114">
        <v>1560</v>
      </c>
      <c r="E130" t="str">
        <f t="shared" si="2"/>
        <v>Credera US Consulting - L1 / A2-A3 | Analyst</v>
      </c>
      <c r="F130">
        <v>1</v>
      </c>
    </row>
    <row r="131" spans="1:6" x14ac:dyDescent="0.3">
      <c r="A131" s="113" t="s">
        <v>691</v>
      </c>
      <c r="B131" s="113" t="s">
        <v>3219</v>
      </c>
      <c r="C131" s="114">
        <v>77</v>
      </c>
      <c r="D131" s="114">
        <v>1600</v>
      </c>
      <c r="E131" t="str">
        <f t="shared" si="2"/>
        <v>Credera US Consulting - L2 / B1-B2 | Consultant</v>
      </c>
      <c r="F131">
        <v>2</v>
      </c>
    </row>
    <row r="132" spans="1:6" x14ac:dyDescent="0.3">
      <c r="A132" s="113" t="s">
        <v>691</v>
      </c>
      <c r="B132" s="113" t="s">
        <v>1705</v>
      </c>
      <c r="C132" s="114">
        <v>96</v>
      </c>
      <c r="D132" s="114">
        <v>1920</v>
      </c>
      <c r="E132" t="str">
        <f t="shared" si="2"/>
        <v>Credera US Consulting - L3 / C1-C2 | Senior Consultant</v>
      </c>
      <c r="F132">
        <v>3</v>
      </c>
    </row>
    <row r="133" spans="1:6" x14ac:dyDescent="0.3">
      <c r="A133" s="113" t="s">
        <v>691</v>
      </c>
      <c r="B133" s="113" t="s">
        <v>1683</v>
      </c>
      <c r="C133" s="114">
        <v>128</v>
      </c>
      <c r="D133" s="114">
        <v>2400</v>
      </c>
      <c r="E133" t="str">
        <f t="shared" si="2"/>
        <v>Credera US Consulting - L4 / D1 | Architect</v>
      </c>
      <c r="F133">
        <v>4</v>
      </c>
    </row>
    <row r="134" spans="1:6" x14ac:dyDescent="0.3">
      <c r="A134" s="113" t="s">
        <v>691</v>
      </c>
      <c r="B134" s="113" t="s">
        <v>1706</v>
      </c>
      <c r="C134" s="114">
        <v>128</v>
      </c>
      <c r="D134" s="114">
        <v>2400</v>
      </c>
      <c r="E134" t="str">
        <f t="shared" si="2"/>
        <v>Credera US Consulting - L4 / D1 | Manager</v>
      </c>
      <c r="F134">
        <v>4</v>
      </c>
    </row>
    <row r="135" spans="1:6" x14ac:dyDescent="0.3">
      <c r="A135" s="113" t="s">
        <v>691</v>
      </c>
      <c r="B135" s="113" t="s">
        <v>1684</v>
      </c>
      <c r="C135" s="114">
        <v>172</v>
      </c>
      <c r="D135" s="114">
        <v>2800</v>
      </c>
      <c r="E135" t="str">
        <f t="shared" si="2"/>
        <v>Credera US Consulting - L5 / D2-E1 | Senior Architect</v>
      </c>
      <c r="F135">
        <v>5</v>
      </c>
    </row>
    <row r="136" spans="1:6" x14ac:dyDescent="0.3">
      <c r="A136" s="113" t="s">
        <v>691</v>
      </c>
      <c r="B136" s="113" t="s">
        <v>1707</v>
      </c>
      <c r="C136" s="114">
        <v>172</v>
      </c>
      <c r="D136" s="114">
        <v>2800</v>
      </c>
      <c r="E136" t="str">
        <f t="shared" si="2"/>
        <v>Credera US Consulting - L5 / D2-E1 | Senior Manager</v>
      </c>
      <c r="F136">
        <v>5</v>
      </c>
    </row>
    <row r="137" spans="1:6" x14ac:dyDescent="0.3">
      <c r="A137" s="113" t="s">
        <v>691</v>
      </c>
      <c r="B137" s="113" t="s">
        <v>1685</v>
      </c>
      <c r="C137" s="114">
        <v>257</v>
      </c>
      <c r="D137" s="114">
        <v>3120</v>
      </c>
      <c r="E137" t="str">
        <f t="shared" si="2"/>
        <v>Credera US Consulting - L6 / E2-S1 | Principal Architect</v>
      </c>
      <c r="F137">
        <v>6</v>
      </c>
    </row>
    <row r="138" spans="1:6" x14ac:dyDescent="0.3">
      <c r="A138" s="113" t="s">
        <v>691</v>
      </c>
      <c r="B138" s="113" t="s">
        <v>1708</v>
      </c>
      <c r="C138" s="114">
        <v>257</v>
      </c>
      <c r="D138" s="114">
        <v>3120</v>
      </c>
      <c r="E138" t="str">
        <f t="shared" si="2"/>
        <v>Credera US Consulting - L6 / E2-S1 | Principal</v>
      </c>
      <c r="F138">
        <v>6</v>
      </c>
    </row>
    <row r="139" spans="1:6" x14ac:dyDescent="0.3">
      <c r="A139" s="113" t="s">
        <v>694</v>
      </c>
      <c r="B139" s="113" t="s">
        <v>692</v>
      </c>
      <c r="C139" s="114">
        <v>0</v>
      </c>
      <c r="D139" s="114">
        <v>0</v>
      </c>
      <c r="E139" t="str">
        <f t="shared" si="2"/>
        <v>Credera US Digital - 0 | Contractor</v>
      </c>
    </row>
    <row r="140" spans="1:6" x14ac:dyDescent="0.3">
      <c r="A140" s="113" t="s">
        <v>694</v>
      </c>
      <c r="B140" s="113" t="s">
        <v>1718</v>
      </c>
      <c r="C140" s="114">
        <v>65</v>
      </c>
      <c r="D140" s="114">
        <v>720</v>
      </c>
      <c r="E140" t="str">
        <f t="shared" si="2"/>
        <v>Credera US Digital - L0 / A1 | Intern</v>
      </c>
      <c r="F140">
        <v>0</v>
      </c>
    </row>
    <row r="141" spans="1:6" x14ac:dyDescent="0.3">
      <c r="A141" s="113" t="s">
        <v>694</v>
      </c>
      <c r="B141" s="113" t="s">
        <v>1719</v>
      </c>
      <c r="C141" s="114">
        <v>72</v>
      </c>
      <c r="D141" s="114">
        <v>1560</v>
      </c>
      <c r="E141" t="str">
        <f t="shared" si="2"/>
        <v>Credera US Digital - L1 / A2-A3 | Analyst</v>
      </c>
      <c r="F141">
        <v>1</v>
      </c>
    </row>
    <row r="142" spans="1:6" x14ac:dyDescent="0.3">
      <c r="A142" s="113" t="s">
        <v>694</v>
      </c>
      <c r="B142" s="113" t="s">
        <v>3219</v>
      </c>
      <c r="C142" s="114">
        <v>77</v>
      </c>
      <c r="D142" s="114">
        <v>1600</v>
      </c>
      <c r="E142" t="str">
        <f t="shared" si="2"/>
        <v>Credera US Digital - L2 / B1-B2 | Consultant</v>
      </c>
      <c r="F142">
        <v>2</v>
      </c>
    </row>
    <row r="143" spans="1:6" x14ac:dyDescent="0.3">
      <c r="A143" s="113" t="s">
        <v>694</v>
      </c>
      <c r="B143" s="113" t="s">
        <v>1705</v>
      </c>
      <c r="C143" s="114">
        <v>96</v>
      </c>
      <c r="D143" s="114">
        <v>1920</v>
      </c>
      <c r="E143" t="str">
        <f t="shared" si="2"/>
        <v>Credera US Digital - L3 / C1-C2 | Senior Consultant</v>
      </c>
      <c r="F143">
        <v>3</v>
      </c>
    </row>
    <row r="144" spans="1:6" x14ac:dyDescent="0.3">
      <c r="A144" s="113" t="s">
        <v>694</v>
      </c>
      <c r="B144" s="113" t="s">
        <v>1683</v>
      </c>
      <c r="C144" s="114">
        <v>128</v>
      </c>
      <c r="D144" s="114">
        <v>2400</v>
      </c>
      <c r="E144" t="str">
        <f t="shared" si="2"/>
        <v>Credera US Digital - L4 / D1 | Architect</v>
      </c>
      <c r="F144">
        <v>4</v>
      </c>
    </row>
    <row r="145" spans="1:6" x14ac:dyDescent="0.3">
      <c r="A145" s="113" t="s">
        <v>694</v>
      </c>
      <c r="B145" s="113" t="s">
        <v>1706</v>
      </c>
      <c r="C145" s="114">
        <v>128</v>
      </c>
      <c r="D145" s="114">
        <v>2400</v>
      </c>
      <c r="E145" t="str">
        <f t="shared" si="2"/>
        <v>Credera US Digital - L4 / D1 | Manager</v>
      </c>
      <c r="F145">
        <v>4</v>
      </c>
    </row>
    <row r="146" spans="1:6" x14ac:dyDescent="0.3">
      <c r="A146" s="113" t="s">
        <v>694</v>
      </c>
      <c r="B146" s="113" t="s">
        <v>1684</v>
      </c>
      <c r="C146" s="114">
        <v>172</v>
      </c>
      <c r="D146" s="114">
        <v>2800</v>
      </c>
      <c r="E146" t="str">
        <f t="shared" si="2"/>
        <v>Credera US Digital - L5 / D2-E1 | Senior Architect</v>
      </c>
      <c r="F146">
        <v>5</v>
      </c>
    </row>
    <row r="147" spans="1:6" x14ac:dyDescent="0.3">
      <c r="A147" s="113" t="s">
        <v>694</v>
      </c>
      <c r="B147" s="113" t="s">
        <v>1707</v>
      </c>
      <c r="C147" s="114">
        <v>172</v>
      </c>
      <c r="D147" s="114">
        <v>2800</v>
      </c>
      <c r="E147" t="str">
        <f t="shared" si="2"/>
        <v>Credera US Digital - L5 / D2-E1 | Senior Manager</v>
      </c>
      <c r="F147">
        <v>5</v>
      </c>
    </row>
    <row r="148" spans="1:6" x14ac:dyDescent="0.3">
      <c r="A148" s="113" t="s">
        <v>694</v>
      </c>
      <c r="B148" s="113" t="s">
        <v>1685</v>
      </c>
      <c r="C148" s="114">
        <v>257</v>
      </c>
      <c r="D148" s="114">
        <v>3120</v>
      </c>
      <c r="E148" t="str">
        <f t="shared" si="2"/>
        <v>Credera US Digital - L6 / E2-S1 | Principal Architect</v>
      </c>
      <c r="F148">
        <v>6</v>
      </c>
    </row>
    <row r="149" spans="1:6" x14ac:dyDescent="0.3">
      <c r="A149" s="113" t="s">
        <v>694</v>
      </c>
      <c r="B149" s="113" t="s">
        <v>1708</v>
      </c>
      <c r="C149" s="114">
        <v>257</v>
      </c>
      <c r="D149" s="114">
        <v>3120</v>
      </c>
      <c r="E149" t="str">
        <f t="shared" si="2"/>
        <v>Credera US Digital - L6 / E2-S1 | Principal</v>
      </c>
      <c r="F149">
        <v>6</v>
      </c>
    </row>
    <row r="150" spans="1:6" x14ac:dyDescent="0.3">
      <c r="A150" s="113" t="s">
        <v>695</v>
      </c>
      <c r="B150" s="113" t="s">
        <v>1720</v>
      </c>
      <c r="C150" s="114">
        <v>289</v>
      </c>
      <c r="D150" s="114">
        <v>3720</v>
      </c>
      <c r="E150" t="str">
        <f t="shared" si="2"/>
        <v>Credera US Partner - L7 / S2-EX3 | Partner</v>
      </c>
      <c r="F150">
        <v>7</v>
      </c>
    </row>
    <row r="151" spans="1:6" x14ac:dyDescent="0.3">
      <c r="A151" s="113" t="s">
        <v>695</v>
      </c>
      <c r="B151" s="113" t="s">
        <v>1721</v>
      </c>
      <c r="C151" s="114">
        <v>289</v>
      </c>
      <c r="D151" s="114">
        <v>3720</v>
      </c>
      <c r="E151" t="str">
        <f t="shared" si="2"/>
        <v>Credera US Partner - L7 / S2-EX3 | Corporate Executive</v>
      </c>
      <c r="F151">
        <v>7</v>
      </c>
    </row>
    <row r="152" spans="1:6" x14ac:dyDescent="0.3">
      <c r="A152" s="113" t="s">
        <v>695</v>
      </c>
      <c r="B152" s="113" t="s">
        <v>1722</v>
      </c>
      <c r="C152" s="114">
        <v>289</v>
      </c>
      <c r="D152" s="114">
        <v>3720</v>
      </c>
      <c r="E152" t="str">
        <f t="shared" ref="E152:E215" si="3">CONCATENATE(A152," - ",B152)</f>
        <v>Credera US Partner - L7 / S2-EX3 | Partner &amp; Chief Data Scientist</v>
      </c>
      <c r="F152">
        <v>7</v>
      </c>
    </row>
    <row r="153" spans="1:6" x14ac:dyDescent="0.3">
      <c r="A153" s="113" t="s">
        <v>695</v>
      </c>
      <c r="B153" s="113" t="s">
        <v>1723</v>
      </c>
      <c r="C153" s="114">
        <v>289</v>
      </c>
      <c r="D153" s="114">
        <v>3720</v>
      </c>
      <c r="E153" t="str">
        <f t="shared" si="3"/>
        <v>Credera US Partner - L7 / S2-EX3 | Partner &amp; Chief Diversity Officer</v>
      </c>
      <c r="F153">
        <v>7</v>
      </c>
    </row>
    <row r="154" spans="1:6" x14ac:dyDescent="0.3">
      <c r="A154" s="113" t="s">
        <v>695</v>
      </c>
      <c r="B154" s="113" t="s">
        <v>1724</v>
      </c>
      <c r="C154" s="114">
        <v>289</v>
      </c>
      <c r="D154" s="114">
        <v>3720</v>
      </c>
      <c r="E154" t="str">
        <f t="shared" si="3"/>
        <v>Credera US Partner - L7 / S2-EX3 | Partner &amp; Chief Technology Officer</v>
      </c>
      <c r="F154">
        <v>7</v>
      </c>
    </row>
    <row r="155" spans="1:6" x14ac:dyDescent="0.3">
      <c r="A155" s="113" t="s">
        <v>695</v>
      </c>
      <c r="B155" s="113" t="s">
        <v>1725</v>
      </c>
      <c r="C155" s="114">
        <v>289</v>
      </c>
      <c r="D155" s="114">
        <v>3720</v>
      </c>
      <c r="E155" t="str">
        <f t="shared" si="3"/>
        <v>Credera US Partner - L7 / S2-EX3 | Global COO</v>
      </c>
      <c r="F155">
        <v>7</v>
      </c>
    </row>
    <row r="156" spans="1:6" x14ac:dyDescent="0.3">
      <c r="A156" s="113" t="s">
        <v>695</v>
      </c>
      <c r="B156" s="113" t="s">
        <v>1726</v>
      </c>
      <c r="C156" s="114">
        <v>289</v>
      </c>
      <c r="D156" s="114">
        <v>3720</v>
      </c>
      <c r="E156" t="str">
        <f t="shared" si="3"/>
        <v>Credera US Partner - L7 / S2-EX3 | Global Chief People Officer</v>
      </c>
      <c r="F156">
        <v>7</v>
      </c>
    </row>
    <row r="157" spans="1:6" x14ac:dyDescent="0.3">
      <c r="A157" s="113" t="s">
        <v>695</v>
      </c>
      <c r="B157" s="113" t="s">
        <v>1727</v>
      </c>
      <c r="C157" s="114">
        <v>289</v>
      </c>
      <c r="D157" s="114">
        <v>3720</v>
      </c>
      <c r="E157" t="str">
        <f t="shared" si="3"/>
        <v>Credera US Partner - L7 / S2-EX3 | Global CFO</v>
      </c>
      <c r="F157">
        <v>7</v>
      </c>
    </row>
    <row r="158" spans="1:6" x14ac:dyDescent="0.3">
      <c r="A158" s="113" t="s">
        <v>695</v>
      </c>
      <c r="B158" s="113" t="s">
        <v>1728</v>
      </c>
      <c r="C158" s="114">
        <v>289</v>
      </c>
      <c r="D158" s="114">
        <v>3720</v>
      </c>
      <c r="E158" t="str">
        <f t="shared" si="3"/>
        <v>Credera US Partner - L7 / S2-EX3 | US Chief Operations Officer</v>
      </c>
      <c r="F158">
        <v>7</v>
      </c>
    </row>
    <row r="159" spans="1:6" x14ac:dyDescent="0.3">
      <c r="A159" s="113" t="s">
        <v>695</v>
      </c>
      <c r="B159" s="113" t="s">
        <v>1729</v>
      </c>
      <c r="C159" s="114">
        <v>289</v>
      </c>
      <c r="D159" s="114">
        <v>3720</v>
      </c>
      <c r="E159" t="str">
        <f t="shared" si="3"/>
        <v>Credera US Partner - L7 / S2-EX3 | President &amp; CEO</v>
      </c>
      <c r="F159">
        <v>7</v>
      </c>
    </row>
    <row r="160" spans="1:6" x14ac:dyDescent="0.3">
      <c r="A160" s="113" t="s">
        <v>695</v>
      </c>
      <c r="B160" s="113" t="s">
        <v>1730</v>
      </c>
      <c r="C160" s="114">
        <v>289</v>
      </c>
      <c r="D160" s="114">
        <v>3720</v>
      </c>
      <c r="E160" t="str">
        <f t="shared" si="3"/>
        <v>Credera US Partner - L7 / S2-EX3 | Global Chief Growth Officer</v>
      </c>
      <c r="F160">
        <v>7</v>
      </c>
    </row>
    <row r="161" spans="1:6" x14ac:dyDescent="0.3">
      <c r="A161" s="113" t="s">
        <v>695</v>
      </c>
      <c r="B161" s="113" t="s">
        <v>1731</v>
      </c>
      <c r="C161" s="114">
        <v>289</v>
      </c>
      <c r="D161" s="114">
        <v>3720</v>
      </c>
      <c r="E161" t="str">
        <f t="shared" si="3"/>
        <v>Credera US Partner - L7 / S2-EX3 | Partner &amp; Chief Innovation Officer</v>
      </c>
      <c r="F161">
        <v>7</v>
      </c>
    </row>
    <row r="162" spans="1:6" x14ac:dyDescent="0.3">
      <c r="A162" s="113" t="s">
        <v>695</v>
      </c>
      <c r="B162" s="113" t="s">
        <v>1732</v>
      </c>
      <c r="C162" s="114">
        <v>289</v>
      </c>
      <c r="D162" s="114">
        <v>3720</v>
      </c>
      <c r="E162" t="str">
        <f t="shared" si="3"/>
        <v>Credera US Partner - L7 / S2-EX3 | Partner &amp; Chief Digital Officer</v>
      </c>
      <c r="F162">
        <v>7</v>
      </c>
    </row>
    <row r="163" spans="1:6" x14ac:dyDescent="0.3">
      <c r="A163" s="113" t="s">
        <v>695</v>
      </c>
      <c r="B163" s="113" t="s">
        <v>1733</v>
      </c>
      <c r="C163" s="114">
        <v>289</v>
      </c>
      <c r="D163" s="114">
        <v>3720</v>
      </c>
      <c r="E163" t="str">
        <f t="shared" si="3"/>
        <v>Credera US Partner - L7 / S2-EX3 | CEO, Asia Pacific</v>
      </c>
      <c r="F163">
        <v>7</v>
      </c>
    </row>
    <row r="164" spans="1:6" x14ac:dyDescent="0.3">
      <c r="A164" s="113" t="s">
        <v>695</v>
      </c>
      <c r="B164" s="113" t="s">
        <v>1734</v>
      </c>
      <c r="C164" s="114">
        <v>289</v>
      </c>
      <c r="D164" s="114">
        <v>3720</v>
      </c>
      <c r="E164" t="str">
        <f t="shared" si="3"/>
        <v>Credera US Partner - L7 / S2-EX3 | Partner &amp; Global Digital Lead</v>
      </c>
      <c r="F164">
        <v>7</v>
      </c>
    </row>
    <row r="165" spans="1:6" x14ac:dyDescent="0.3">
      <c r="A165" s="113" t="s">
        <v>706</v>
      </c>
      <c r="B165" s="113" t="s">
        <v>707</v>
      </c>
      <c r="C165" s="114">
        <v>0</v>
      </c>
      <c r="D165" s="114">
        <v>0</v>
      </c>
      <c r="E165" t="str">
        <f t="shared" si="3"/>
        <v>LeapPoint - LeapPoint Resource</v>
      </c>
    </row>
    <row r="166" spans="1:6" x14ac:dyDescent="0.3">
      <c r="A166" s="113" t="s">
        <v>708</v>
      </c>
      <c r="B166" s="113" t="s">
        <v>709</v>
      </c>
      <c r="C166" s="114">
        <v>0</v>
      </c>
      <c r="D166" s="114">
        <v>0</v>
      </c>
      <c r="E166" t="str">
        <f t="shared" si="3"/>
        <v>Other Intercompany - OMC Resource</v>
      </c>
    </row>
    <row r="167" spans="1:6" x14ac:dyDescent="0.3">
      <c r="A167" s="113" t="s">
        <v>710</v>
      </c>
      <c r="B167" s="113" t="s">
        <v>628</v>
      </c>
      <c r="C167" s="114">
        <v>0</v>
      </c>
      <c r="D167" s="114">
        <v>0</v>
      </c>
      <c r="E167" t="str">
        <f t="shared" si="3"/>
        <v>TADigital Business Enablement - C | Corporate Staff</v>
      </c>
    </row>
    <row r="168" spans="1:6" x14ac:dyDescent="0.3">
      <c r="A168" s="113" t="s">
        <v>711</v>
      </c>
      <c r="B168" s="113" t="s">
        <v>1679</v>
      </c>
      <c r="C168" s="114">
        <v>13</v>
      </c>
      <c r="D168" s="114">
        <v>288</v>
      </c>
      <c r="E168" t="str">
        <f t="shared" si="3"/>
        <v>TADigital India Consulting | Cloud &amp; Engineering - L2 / B1-B3 | Associate Engineer</v>
      </c>
    </row>
    <row r="169" spans="1:6" x14ac:dyDescent="0.3">
      <c r="A169" s="113" t="s">
        <v>711</v>
      </c>
      <c r="B169" s="113" t="s">
        <v>1680</v>
      </c>
      <c r="C169" s="114">
        <v>21</v>
      </c>
      <c r="D169" s="114">
        <v>456</v>
      </c>
      <c r="E169" t="str">
        <f t="shared" si="3"/>
        <v>TADigital India Consulting | Cloud &amp; Engineering - L2 / B1-B3 | Engineer</v>
      </c>
    </row>
    <row r="170" spans="1:6" x14ac:dyDescent="0.3">
      <c r="A170" s="113" t="s">
        <v>711</v>
      </c>
      <c r="B170" s="113" t="s">
        <v>1681</v>
      </c>
      <c r="C170" s="114">
        <v>39</v>
      </c>
      <c r="D170" s="114">
        <v>696</v>
      </c>
      <c r="E170" t="str">
        <f t="shared" si="3"/>
        <v>TADigital India Consulting | Cloud &amp; Engineering - L3 / C1-C2 | Senior Engineer</v>
      </c>
    </row>
    <row r="171" spans="1:6" x14ac:dyDescent="0.3">
      <c r="A171" s="113" t="s">
        <v>711</v>
      </c>
      <c r="B171" s="113" t="s">
        <v>1682</v>
      </c>
      <c r="C171" s="114">
        <v>49</v>
      </c>
      <c r="D171" s="114">
        <v>824</v>
      </c>
      <c r="E171" t="str">
        <f t="shared" si="3"/>
        <v>TADigital India Consulting | Cloud &amp; Engineering - L3 / C1-C2 | Lead Engineer</v>
      </c>
    </row>
    <row r="172" spans="1:6" x14ac:dyDescent="0.3">
      <c r="A172" s="113" t="s">
        <v>711</v>
      </c>
      <c r="B172" s="113" t="s">
        <v>1683</v>
      </c>
      <c r="C172" s="114">
        <v>60</v>
      </c>
      <c r="D172" s="114">
        <v>960</v>
      </c>
      <c r="E172" t="str">
        <f t="shared" si="3"/>
        <v>TADigital India Consulting | Cloud &amp; Engineering - L4 / D1 | Architect</v>
      </c>
    </row>
    <row r="173" spans="1:6" x14ac:dyDescent="0.3">
      <c r="A173" s="113" t="s">
        <v>711</v>
      </c>
      <c r="B173" s="113" t="s">
        <v>1684</v>
      </c>
      <c r="C173" s="114">
        <v>81</v>
      </c>
      <c r="D173" s="114">
        <v>1184</v>
      </c>
      <c r="E173" t="str">
        <f t="shared" si="3"/>
        <v>TADigital India Consulting | Cloud &amp; Engineering - L5 / D2-E1 | Senior Architect</v>
      </c>
    </row>
    <row r="174" spans="1:6" x14ac:dyDescent="0.3">
      <c r="A174" s="113" t="s">
        <v>711</v>
      </c>
      <c r="B174" s="113" t="s">
        <v>1685</v>
      </c>
      <c r="C174" s="114">
        <v>99</v>
      </c>
      <c r="D174" s="114">
        <v>1320</v>
      </c>
      <c r="E174" t="str">
        <f t="shared" si="3"/>
        <v>TADigital India Consulting | Cloud &amp; Engineering - L6 / E2-S1 | Principal Architect</v>
      </c>
    </row>
    <row r="175" spans="1:6" x14ac:dyDescent="0.3">
      <c r="A175" s="113" t="s">
        <v>712</v>
      </c>
      <c r="B175" s="113" t="s">
        <v>1686</v>
      </c>
      <c r="C175" s="114">
        <v>11</v>
      </c>
      <c r="D175" s="114">
        <v>240</v>
      </c>
      <c r="E175" t="str">
        <f t="shared" si="3"/>
        <v>TADigital India Consulting | Content - L2 / B1-B3 | Associate Content Engineer</v>
      </c>
    </row>
    <row r="176" spans="1:6" x14ac:dyDescent="0.3">
      <c r="A176" s="113" t="s">
        <v>712</v>
      </c>
      <c r="B176" s="113" t="s">
        <v>1687</v>
      </c>
      <c r="C176" s="114">
        <v>18</v>
      </c>
      <c r="D176" s="114">
        <v>392</v>
      </c>
      <c r="E176" t="str">
        <f t="shared" si="3"/>
        <v>TADigital India Consulting | Content - L2 / B1-B3 | Content Engineer</v>
      </c>
    </row>
    <row r="177" spans="1:5" x14ac:dyDescent="0.3">
      <c r="A177" s="113" t="s">
        <v>712</v>
      </c>
      <c r="B177" s="113" t="s">
        <v>1688</v>
      </c>
      <c r="C177" s="114">
        <v>25</v>
      </c>
      <c r="D177" s="114">
        <v>448</v>
      </c>
      <c r="E177" t="str">
        <f t="shared" si="3"/>
        <v>TADigital India Consulting | Content - L3 / C1-C2 | Senior Content Engineer</v>
      </c>
    </row>
    <row r="178" spans="1:5" x14ac:dyDescent="0.3">
      <c r="A178" s="113" t="s">
        <v>712</v>
      </c>
      <c r="B178" s="113" t="s">
        <v>1689</v>
      </c>
      <c r="C178" s="114">
        <v>33</v>
      </c>
      <c r="D178" s="114">
        <v>552</v>
      </c>
      <c r="E178" t="str">
        <f t="shared" si="3"/>
        <v>TADigital India Consulting | Content - L3 / C1-C2 | Lead Content Engineer</v>
      </c>
    </row>
    <row r="179" spans="1:5" x14ac:dyDescent="0.3">
      <c r="A179" s="113" t="s">
        <v>713</v>
      </c>
      <c r="B179" s="113" t="s">
        <v>1679</v>
      </c>
      <c r="C179" s="114">
        <v>13</v>
      </c>
      <c r="D179" s="114">
        <v>288</v>
      </c>
      <c r="E179" t="str">
        <f t="shared" si="3"/>
        <v>TADigital India Consulting | Data &amp; AI - L2 / B1-B3 | Associate Engineer</v>
      </c>
    </row>
    <row r="180" spans="1:5" x14ac:dyDescent="0.3">
      <c r="A180" s="113" t="s">
        <v>713</v>
      </c>
      <c r="B180" s="113" t="s">
        <v>1680</v>
      </c>
      <c r="C180" s="114">
        <v>23</v>
      </c>
      <c r="D180" s="114">
        <v>504</v>
      </c>
      <c r="E180" t="str">
        <f t="shared" si="3"/>
        <v>TADigital India Consulting | Data &amp; AI - L2 / B1-B3 | Engineer</v>
      </c>
    </row>
    <row r="181" spans="1:5" x14ac:dyDescent="0.3">
      <c r="A181" s="113" t="s">
        <v>713</v>
      </c>
      <c r="B181" s="113" t="s">
        <v>1681</v>
      </c>
      <c r="C181" s="114">
        <v>43</v>
      </c>
      <c r="D181" s="114">
        <v>768</v>
      </c>
      <c r="E181" t="str">
        <f t="shared" si="3"/>
        <v>TADigital India Consulting | Data &amp; AI - L3 / C1-C2 | Senior Engineer</v>
      </c>
    </row>
    <row r="182" spans="1:5" x14ac:dyDescent="0.3">
      <c r="A182" s="113" t="s">
        <v>713</v>
      </c>
      <c r="B182" s="113" t="s">
        <v>1682</v>
      </c>
      <c r="C182" s="114">
        <v>53</v>
      </c>
      <c r="D182" s="114">
        <v>888</v>
      </c>
      <c r="E182" t="str">
        <f t="shared" si="3"/>
        <v>TADigital India Consulting | Data &amp; AI - L3 / C1-C2 | Lead Engineer</v>
      </c>
    </row>
    <row r="183" spans="1:5" x14ac:dyDescent="0.3">
      <c r="A183" s="113" t="s">
        <v>713</v>
      </c>
      <c r="B183" s="113" t="s">
        <v>1683</v>
      </c>
      <c r="C183" s="114">
        <v>60</v>
      </c>
      <c r="D183" s="114">
        <v>960</v>
      </c>
      <c r="E183" t="str">
        <f t="shared" si="3"/>
        <v>TADigital India Consulting | Data &amp; AI - L4 / D1 | Architect</v>
      </c>
    </row>
    <row r="184" spans="1:5" x14ac:dyDescent="0.3">
      <c r="A184" s="113" t="s">
        <v>713</v>
      </c>
      <c r="B184" s="113" t="s">
        <v>1684</v>
      </c>
      <c r="C184" s="114">
        <v>81</v>
      </c>
      <c r="D184" s="114">
        <v>1184</v>
      </c>
      <c r="E184" t="str">
        <f t="shared" si="3"/>
        <v>TADigital India Consulting | Data &amp; AI - L5 / D2-E1 | Senior Architect</v>
      </c>
    </row>
    <row r="185" spans="1:5" x14ac:dyDescent="0.3">
      <c r="A185" s="113" t="s">
        <v>713</v>
      </c>
      <c r="B185" s="113" t="s">
        <v>1685</v>
      </c>
      <c r="C185" s="114">
        <v>99</v>
      </c>
      <c r="D185" s="114">
        <v>1320</v>
      </c>
      <c r="E185" t="str">
        <f t="shared" si="3"/>
        <v>TADigital India Consulting | Data &amp; AI - L6 / E2-S1 | Principal Architect</v>
      </c>
    </row>
    <row r="186" spans="1:5" x14ac:dyDescent="0.3">
      <c r="A186" s="113" t="s">
        <v>714</v>
      </c>
      <c r="B186" s="113" t="s">
        <v>1690</v>
      </c>
      <c r="C186" s="114">
        <v>13</v>
      </c>
      <c r="D186" s="114">
        <v>288</v>
      </c>
      <c r="E186" t="str">
        <f t="shared" si="3"/>
        <v>TADigital India Consulting | Experience Design - L2 / B1-B3 | Strategist</v>
      </c>
    </row>
    <row r="187" spans="1:5" x14ac:dyDescent="0.3">
      <c r="A187" s="113" t="s">
        <v>714</v>
      </c>
      <c r="B187" s="113" t="s">
        <v>1691</v>
      </c>
      <c r="C187" s="114">
        <v>27</v>
      </c>
      <c r="D187" s="114">
        <v>584</v>
      </c>
      <c r="E187" t="str">
        <f t="shared" si="3"/>
        <v>TADigital India Consulting | Experience Design - L3 / C1-C2 | Senior Strategist</v>
      </c>
    </row>
    <row r="188" spans="1:5" x14ac:dyDescent="0.3">
      <c r="A188" s="113" t="s">
        <v>714</v>
      </c>
      <c r="B188" s="113" t="s">
        <v>1692</v>
      </c>
      <c r="C188" s="114">
        <v>41</v>
      </c>
      <c r="D188" s="114">
        <v>688</v>
      </c>
      <c r="E188" t="str">
        <f t="shared" si="3"/>
        <v>TADigital India Consulting | Experience Design - L4 / D1 | Strategy Manager</v>
      </c>
    </row>
    <row r="189" spans="1:5" x14ac:dyDescent="0.3">
      <c r="A189" s="113" t="s">
        <v>714</v>
      </c>
      <c r="B189" s="113" t="s">
        <v>1693</v>
      </c>
      <c r="C189" s="114">
        <v>13</v>
      </c>
      <c r="D189" s="114">
        <v>288</v>
      </c>
      <c r="E189" t="str">
        <f t="shared" si="3"/>
        <v>TADigital India Consulting | Experience Design - L2 / B1-B3 | Designer</v>
      </c>
    </row>
    <row r="190" spans="1:5" x14ac:dyDescent="0.3">
      <c r="A190" s="113" t="s">
        <v>714</v>
      </c>
      <c r="B190" s="113" t="s">
        <v>1694</v>
      </c>
      <c r="C190" s="114">
        <v>22</v>
      </c>
      <c r="D190" s="114">
        <v>424</v>
      </c>
      <c r="E190" t="str">
        <f t="shared" si="3"/>
        <v>TADigital India Consulting | Experience Design - L3 / C1-C2 | Senior Designer</v>
      </c>
    </row>
    <row r="191" spans="1:5" x14ac:dyDescent="0.3">
      <c r="A191" s="113" t="s">
        <v>714</v>
      </c>
      <c r="B191" s="113" t="s">
        <v>1695</v>
      </c>
      <c r="C191" s="114">
        <v>39</v>
      </c>
      <c r="D191" s="114">
        <v>656</v>
      </c>
      <c r="E191" t="str">
        <f t="shared" si="3"/>
        <v>TADigital India Consulting | Experience Design - L4 / D1 | Associate Design Director</v>
      </c>
    </row>
    <row r="192" spans="1:5" x14ac:dyDescent="0.3">
      <c r="A192" s="113" t="s">
        <v>714</v>
      </c>
      <c r="B192" s="113" t="s">
        <v>1696</v>
      </c>
      <c r="C192" s="114">
        <v>53</v>
      </c>
      <c r="D192" s="114">
        <v>848</v>
      </c>
      <c r="E192" t="str">
        <f t="shared" si="3"/>
        <v>TADigital India Consulting | Experience Design - L5 / D2-E1 | Lead Design Director</v>
      </c>
    </row>
    <row r="193" spans="1:5" x14ac:dyDescent="0.3">
      <c r="A193" s="113" t="s">
        <v>714</v>
      </c>
      <c r="B193" s="113" t="s">
        <v>1697</v>
      </c>
      <c r="C193" s="114">
        <v>63</v>
      </c>
      <c r="D193" s="114">
        <v>1008</v>
      </c>
      <c r="E193" t="str">
        <f t="shared" si="3"/>
        <v>TADigital India Consulting | Experience Design - L5 / D2-E1 | Principal Design Director</v>
      </c>
    </row>
    <row r="194" spans="1:5" x14ac:dyDescent="0.3">
      <c r="A194" s="113" t="s">
        <v>714</v>
      </c>
      <c r="B194" s="113" t="s">
        <v>1698</v>
      </c>
      <c r="C194" s="114">
        <v>81</v>
      </c>
      <c r="D194" s="114">
        <v>1296</v>
      </c>
      <c r="E194" t="str">
        <f t="shared" si="3"/>
        <v>TADigital India Consulting | Experience Design - L6 / E2-S1 | Director</v>
      </c>
    </row>
    <row r="195" spans="1:5" x14ac:dyDescent="0.3">
      <c r="A195" s="113" t="s">
        <v>715</v>
      </c>
      <c r="B195" s="113" t="s">
        <v>1699</v>
      </c>
      <c r="C195" s="114">
        <v>32</v>
      </c>
      <c r="D195" s="114">
        <v>536</v>
      </c>
      <c r="E195" t="str">
        <f t="shared" si="3"/>
        <v>TADigital India Consulting | Management Consulting - L3 / C1-C2 | Scrum Master</v>
      </c>
    </row>
    <row r="196" spans="1:5" x14ac:dyDescent="0.3">
      <c r="A196" s="113" t="s">
        <v>715</v>
      </c>
      <c r="B196" s="113" t="s">
        <v>1700</v>
      </c>
      <c r="C196" s="114">
        <v>41</v>
      </c>
      <c r="D196" s="114">
        <v>656</v>
      </c>
      <c r="E196" t="str">
        <f t="shared" si="3"/>
        <v>TADigital India Consulting | Management Consulting - L5 / D2-E1 | Senior Scrum Master</v>
      </c>
    </row>
    <row r="197" spans="1:5" x14ac:dyDescent="0.3">
      <c r="A197" s="113" t="s">
        <v>715</v>
      </c>
      <c r="B197" s="113" t="s">
        <v>1701</v>
      </c>
      <c r="C197" s="114">
        <v>49</v>
      </c>
      <c r="D197" s="114">
        <v>784</v>
      </c>
      <c r="E197" t="str">
        <f t="shared" si="3"/>
        <v>TADigital India Consulting | Management Consulting - L4 / D1 | Project Manager</v>
      </c>
    </row>
    <row r="198" spans="1:5" x14ac:dyDescent="0.3">
      <c r="A198" s="113" t="s">
        <v>715</v>
      </c>
      <c r="B198" s="113" t="s">
        <v>1702</v>
      </c>
      <c r="C198" s="114">
        <v>53</v>
      </c>
      <c r="D198" s="114">
        <v>848</v>
      </c>
      <c r="E198" t="str">
        <f t="shared" si="3"/>
        <v>TADigital India Consulting | Management Consulting - L5 / D2-E1 | Senior Project Manager</v>
      </c>
    </row>
    <row r="199" spans="1:5" x14ac:dyDescent="0.3">
      <c r="A199" s="113" t="s">
        <v>715</v>
      </c>
      <c r="B199" s="113" t="s">
        <v>1703</v>
      </c>
      <c r="C199" s="114">
        <v>65</v>
      </c>
      <c r="D199" s="114">
        <v>1040</v>
      </c>
      <c r="E199" t="str">
        <f t="shared" si="3"/>
        <v>TADigital India Consulting | Management Consulting - L6 / E2-S1 | Delivery Manager</v>
      </c>
    </row>
    <row r="200" spans="1:5" x14ac:dyDescent="0.3">
      <c r="A200" s="113" t="s">
        <v>715</v>
      </c>
      <c r="B200" s="113" t="s">
        <v>1704</v>
      </c>
      <c r="C200" s="114">
        <v>26</v>
      </c>
      <c r="D200" s="114">
        <v>568</v>
      </c>
      <c r="E200" t="str">
        <f t="shared" si="3"/>
        <v>TADigital India Consulting | Management Consulting - L2 / B1-B3 | Consultant</v>
      </c>
    </row>
    <row r="201" spans="1:5" x14ac:dyDescent="0.3">
      <c r="A201" s="113" t="s">
        <v>715</v>
      </c>
      <c r="B201" s="113" t="s">
        <v>1705</v>
      </c>
      <c r="C201" s="114">
        <v>33</v>
      </c>
      <c r="D201" s="114">
        <v>632</v>
      </c>
      <c r="E201" t="str">
        <f t="shared" si="3"/>
        <v>TADigital India Consulting | Management Consulting - L3 / C1-C2 | Senior Consultant</v>
      </c>
    </row>
    <row r="202" spans="1:5" x14ac:dyDescent="0.3">
      <c r="A202" s="113" t="s">
        <v>715</v>
      </c>
      <c r="B202" s="113" t="s">
        <v>1706</v>
      </c>
      <c r="C202" s="114">
        <v>49</v>
      </c>
      <c r="D202" s="114">
        <v>824</v>
      </c>
      <c r="E202" t="str">
        <f t="shared" si="3"/>
        <v>TADigital India Consulting | Management Consulting - L4 / D1 | Manager</v>
      </c>
    </row>
    <row r="203" spans="1:5" x14ac:dyDescent="0.3">
      <c r="A203" s="113" t="s">
        <v>715</v>
      </c>
      <c r="B203" s="113" t="s">
        <v>1707</v>
      </c>
      <c r="C203" s="114">
        <v>53</v>
      </c>
      <c r="D203" s="114">
        <v>848</v>
      </c>
      <c r="E203" t="str">
        <f t="shared" si="3"/>
        <v>TADigital India Consulting | Management Consulting - L5 / D2-E1 | Senior Manager</v>
      </c>
    </row>
    <row r="204" spans="1:5" x14ac:dyDescent="0.3">
      <c r="A204" s="113" t="s">
        <v>715</v>
      </c>
      <c r="B204" s="113" t="s">
        <v>1708</v>
      </c>
      <c r="C204" s="114">
        <v>65</v>
      </c>
      <c r="D204" s="114">
        <v>1040</v>
      </c>
      <c r="E204" t="str">
        <f t="shared" si="3"/>
        <v>TADigital India Consulting | Management Consulting - L6 / E2-S1 | Principal</v>
      </c>
    </row>
    <row r="205" spans="1:5" x14ac:dyDescent="0.3">
      <c r="A205" s="113" t="s">
        <v>716</v>
      </c>
      <c r="B205" s="113" t="s">
        <v>3220</v>
      </c>
      <c r="C205" s="114">
        <v>11</v>
      </c>
      <c r="D205" s="114">
        <v>240</v>
      </c>
      <c r="E205" t="str">
        <f t="shared" si="3"/>
        <v>TADigital India Consulting | Quality Assurance - L2 / B1-B2 | Associate QA Engineer</v>
      </c>
    </row>
    <row r="206" spans="1:5" x14ac:dyDescent="0.3">
      <c r="A206" s="113" t="s">
        <v>716</v>
      </c>
      <c r="B206" s="113" t="s">
        <v>2474</v>
      </c>
      <c r="C206" s="114">
        <v>18</v>
      </c>
      <c r="D206" s="114">
        <v>392</v>
      </c>
      <c r="E206" t="str">
        <f t="shared" si="3"/>
        <v>TADigital India Consulting | Quality Assurance - L2 / B1-B2 | QA Engineer</v>
      </c>
    </row>
    <row r="207" spans="1:5" x14ac:dyDescent="0.3">
      <c r="A207" s="113" t="s">
        <v>716</v>
      </c>
      <c r="B207" s="113" t="s">
        <v>1709</v>
      </c>
      <c r="C207" s="114">
        <v>25</v>
      </c>
      <c r="D207" s="114">
        <v>448</v>
      </c>
      <c r="E207" t="str">
        <f t="shared" si="3"/>
        <v>TADigital India Consulting | Quality Assurance - L3 / C1-C2 | Senior QA Engineer</v>
      </c>
    </row>
    <row r="208" spans="1:5" x14ac:dyDescent="0.3">
      <c r="A208" s="113" t="s">
        <v>716</v>
      </c>
      <c r="B208" s="113" t="s">
        <v>1710</v>
      </c>
      <c r="C208" s="114">
        <v>33</v>
      </c>
      <c r="D208" s="114">
        <v>552</v>
      </c>
      <c r="E208" t="str">
        <f t="shared" si="3"/>
        <v>TADigital India Consulting | Quality Assurance - L3 / C1-C2 | Lead QA Engineer</v>
      </c>
    </row>
    <row r="209" spans="1:5" x14ac:dyDescent="0.3">
      <c r="A209" s="113" t="s">
        <v>716</v>
      </c>
      <c r="B209" s="113" t="s">
        <v>1711</v>
      </c>
      <c r="C209" s="114">
        <v>39</v>
      </c>
      <c r="D209" s="114">
        <v>624</v>
      </c>
      <c r="E209" t="str">
        <f t="shared" si="3"/>
        <v>TADigital India Consulting | Quality Assurance - L4 / D1 | QA Architect</v>
      </c>
    </row>
    <row r="210" spans="1:5" x14ac:dyDescent="0.3">
      <c r="A210" s="113" t="s">
        <v>716</v>
      </c>
      <c r="B210" s="113" t="s">
        <v>1712</v>
      </c>
      <c r="C210" s="114">
        <v>51</v>
      </c>
      <c r="D210" s="114">
        <v>744</v>
      </c>
      <c r="E210" t="str">
        <f t="shared" si="3"/>
        <v>TADigital India Consulting | Quality Assurance - L5 / D2-E1 | Senior QA Architect</v>
      </c>
    </row>
    <row r="211" spans="1:5" x14ac:dyDescent="0.3">
      <c r="A211" s="113" t="s">
        <v>716</v>
      </c>
      <c r="B211" s="113" t="s">
        <v>1713</v>
      </c>
      <c r="C211" s="114">
        <v>63</v>
      </c>
      <c r="D211" s="114">
        <v>840</v>
      </c>
      <c r="E211" t="str">
        <f t="shared" si="3"/>
        <v>TADigital India Consulting | Quality Assurance - L6 / E2-S1 | Principal QA Architect</v>
      </c>
    </row>
    <row r="212" spans="1:5" x14ac:dyDescent="0.3">
      <c r="A212" s="113" t="s">
        <v>717</v>
      </c>
      <c r="B212" s="113" t="s">
        <v>3214</v>
      </c>
      <c r="C212" s="114">
        <v>13</v>
      </c>
      <c r="D212" s="114">
        <v>288</v>
      </c>
      <c r="E212" t="str">
        <f t="shared" si="3"/>
        <v>TADigital India Digital | MarTech - L2 / B1-B2 | Associate Engineer</v>
      </c>
    </row>
    <row r="213" spans="1:5" x14ac:dyDescent="0.3">
      <c r="A213" s="113" t="s">
        <v>717</v>
      </c>
      <c r="B213" s="113" t="s">
        <v>3215</v>
      </c>
      <c r="C213" s="114">
        <v>20</v>
      </c>
      <c r="D213" s="114">
        <v>440</v>
      </c>
      <c r="E213" t="str">
        <f t="shared" si="3"/>
        <v>TADigital India Digital | MarTech - L2 / B1-B2 | Engineer</v>
      </c>
    </row>
    <row r="214" spans="1:5" x14ac:dyDescent="0.3">
      <c r="A214" s="113" t="s">
        <v>717</v>
      </c>
      <c r="B214" s="113" t="s">
        <v>1681</v>
      </c>
      <c r="C214" s="114">
        <v>35</v>
      </c>
      <c r="D214" s="114">
        <v>624</v>
      </c>
      <c r="E214" t="str">
        <f t="shared" si="3"/>
        <v>TADigital India Digital | MarTech - L3 / C1-C2 | Senior Engineer</v>
      </c>
    </row>
    <row r="215" spans="1:5" x14ac:dyDescent="0.3">
      <c r="A215" s="113" t="s">
        <v>717</v>
      </c>
      <c r="B215" s="113" t="s">
        <v>1682</v>
      </c>
      <c r="C215" s="114">
        <v>45</v>
      </c>
      <c r="D215" s="114">
        <v>752</v>
      </c>
      <c r="E215" t="str">
        <f t="shared" si="3"/>
        <v>TADigital India Digital | MarTech - L3 / C1-C2 | Lead Engineer</v>
      </c>
    </row>
    <row r="216" spans="1:5" x14ac:dyDescent="0.3">
      <c r="A216" s="113" t="s">
        <v>717</v>
      </c>
      <c r="B216" s="113" t="s">
        <v>1683</v>
      </c>
      <c r="C216" s="114">
        <v>57</v>
      </c>
      <c r="D216" s="114">
        <v>912</v>
      </c>
      <c r="E216" t="str">
        <f t="shared" ref="E216:E279" si="4">CONCATENATE(A216," - ",B216)</f>
        <v>TADigital India Digital | MarTech - L4 / D1 | Architect</v>
      </c>
    </row>
    <row r="217" spans="1:5" x14ac:dyDescent="0.3">
      <c r="A217" s="113" t="s">
        <v>717</v>
      </c>
      <c r="B217" s="113" t="s">
        <v>1684</v>
      </c>
      <c r="C217" s="114">
        <v>69</v>
      </c>
      <c r="D217" s="114">
        <v>1008</v>
      </c>
      <c r="E217" t="str">
        <f t="shared" si="4"/>
        <v>TADigital India Digital | MarTech - L5 / D2-E1 | Senior Architect</v>
      </c>
    </row>
    <row r="218" spans="1:5" x14ac:dyDescent="0.3">
      <c r="A218" s="113" t="s">
        <v>717</v>
      </c>
      <c r="B218" s="113" t="s">
        <v>1685</v>
      </c>
      <c r="C218" s="114">
        <v>81</v>
      </c>
      <c r="D218" s="114">
        <v>1080</v>
      </c>
      <c r="E218" t="str">
        <f t="shared" si="4"/>
        <v>TADigital India Digital | MarTech - L6 / E2-S1 | Principal Architect</v>
      </c>
    </row>
    <row r="219" spans="1:5" x14ac:dyDescent="0.3">
      <c r="A219" s="113" t="s">
        <v>718</v>
      </c>
      <c r="B219" s="113" t="s">
        <v>3214</v>
      </c>
      <c r="C219" s="114">
        <v>13</v>
      </c>
      <c r="D219" s="114">
        <v>288</v>
      </c>
      <c r="E219" t="str">
        <f t="shared" si="4"/>
        <v>TADigital India Digital | Premium MarTech - L2 / B1-B2 | Associate Engineer</v>
      </c>
    </row>
    <row r="220" spans="1:5" x14ac:dyDescent="0.3">
      <c r="A220" s="113" t="s">
        <v>718</v>
      </c>
      <c r="B220" s="113" t="s">
        <v>3215</v>
      </c>
      <c r="C220" s="114">
        <v>24</v>
      </c>
      <c r="D220" s="114">
        <v>520</v>
      </c>
      <c r="E220" t="str">
        <f t="shared" si="4"/>
        <v>TADigital India Digital | Premium MarTech - L2 / B1-B2 | Engineer</v>
      </c>
    </row>
    <row r="221" spans="1:5" x14ac:dyDescent="0.3">
      <c r="A221" s="113" t="s">
        <v>718</v>
      </c>
      <c r="B221" s="113" t="s">
        <v>1681</v>
      </c>
      <c r="C221" s="114">
        <v>43</v>
      </c>
      <c r="D221" s="114">
        <v>768</v>
      </c>
      <c r="E221" t="str">
        <f t="shared" si="4"/>
        <v>TADigital India Digital | Premium MarTech - L3 / C1-C2 | Senior Engineer</v>
      </c>
    </row>
    <row r="222" spans="1:5" x14ac:dyDescent="0.3">
      <c r="A222" s="113" t="s">
        <v>718</v>
      </c>
      <c r="B222" s="113" t="s">
        <v>1682</v>
      </c>
      <c r="C222" s="114">
        <v>56</v>
      </c>
      <c r="D222" s="114">
        <v>936</v>
      </c>
      <c r="E222" t="str">
        <f t="shared" si="4"/>
        <v>TADigital India Digital | Premium MarTech - L3 / C1-C2 | Lead Engineer</v>
      </c>
    </row>
    <row r="223" spans="1:5" x14ac:dyDescent="0.3">
      <c r="A223" s="113" t="s">
        <v>718</v>
      </c>
      <c r="B223" s="113" t="s">
        <v>1683</v>
      </c>
      <c r="C223" s="114">
        <v>69</v>
      </c>
      <c r="D223" s="114">
        <v>1104</v>
      </c>
      <c r="E223" t="str">
        <f t="shared" si="4"/>
        <v>TADigital India Digital | Premium MarTech - L4 / D1 | Architect</v>
      </c>
    </row>
    <row r="224" spans="1:5" x14ac:dyDescent="0.3">
      <c r="A224" s="113" t="s">
        <v>718</v>
      </c>
      <c r="B224" s="113" t="s">
        <v>1684</v>
      </c>
      <c r="C224" s="114">
        <v>81</v>
      </c>
      <c r="D224" s="114">
        <v>1184</v>
      </c>
      <c r="E224" t="str">
        <f t="shared" si="4"/>
        <v>TADigital India Digital | Premium MarTech - L5 / D2-E1 | Senior Architect</v>
      </c>
    </row>
    <row r="225" spans="1:5" x14ac:dyDescent="0.3">
      <c r="A225" s="113" t="s">
        <v>718</v>
      </c>
      <c r="B225" s="113" t="s">
        <v>1685</v>
      </c>
      <c r="C225" s="114">
        <v>99</v>
      </c>
      <c r="D225" s="114">
        <v>1320</v>
      </c>
      <c r="E225" t="str">
        <f t="shared" si="4"/>
        <v>TADigital India Digital | Premium MarTech - L6 / E2-S1 | Principal Architect</v>
      </c>
    </row>
    <row r="226" spans="1:5" x14ac:dyDescent="0.3">
      <c r="A226" s="113" t="s">
        <v>719</v>
      </c>
      <c r="B226" s="113" t="s">
        <v>720</v>
      </c>
      <c r="C226" s="114">
        <v>140</v>
      </c>
      <c r="D226" s="114">
        <v>2320</v>
      </c>
      <c r="E226" t="str">
        <f t="shared" si="4"/>
        <v>TADigital NA | Management - Associate Practice Director</v>
      </c>
    </row>
    <row r="227" spans="1:5" x14ac:dyDescent="0.3">
      <c r="A227" s="113" t="s">
        <v>719</v>
      </c>
      <c r="B227" s="113" t="s">
        <v>721</v>
      </c>
      <c r="C227" s="114">
        <v>165</v>
      </c>
      <c r="D227" s="114">
        <v>2520</v>
      </c>
      <c r="E227" t="str">
        <f t="shared" si="4"/>
        <v>TADigital NA | Management - Practice Director / Delivery Director</v>
      </c>
    </row>
    <row r="228" spans="1:5" x14ac:dyDescent="0.3">
      <c r="A228" s="113" t="s">
        <v>719</v>
      </c>
      <c r="B228" s="113" t="s">
        <v>722</v>
      </c>
      <c r="C228" s="114">
        <v>170</v>
      </c>
      <c r="D228" s="114">
        <v>2720</v>
      </c>
      <c r="E228" t="str">
        <f t="shared" si="4"/>
        <v>TADigital NA | Management - Sr. Practice Director / Sr. Delivery Director</v>
      </c>
    </row>
    <row r="229" spans="1:5" x14ac:dyDescent="0.3">
      <c r="A229" s="113" t="s">
        <v>719</v>
      </c>
      <c r="B229" s="113" t="s">
        <v>592</v>
      </c>
      <c r="C229" s="114">
        <v>172.5</v>
      </c>
      <c r="D229" s="114">
        <v>2960</v>
      </c>
      <c r="E229" t="str">
        <f t="shared" si="4"/>
        <v>TADigital NA | Management - Practice VP / Delivery VP</v>
      </c>
    </row>
    <row r="230" spans="1:5" x14ac:dyDescent="0.3">
      <c r="A230" s="113" t="s">
        <v>719</v>
      </c>
      <c r="B230" s="113" t="s">
        <v>723</v>
      </c>
      <c r="C230" s="114">
        <v>285</v>
      </c>
      <c r="D230" s="114">
        <v>4000</v>
      </c>
      <c r="E230" t="str">
        <f t="shared" si="4"/>
        <v>TADigital NA | Management - CXO / CDO</v>
      </c>
    </row>
    <row r="231" spans="1:5" x14ac:dyDescent="0.3">
      <c r="A231" s="113" t="s">
        <v>724</v>
      </c>
      <c r="B231" s="113" t="s">
        <v>440</v>
      </c>
      <c r="C231" s="114">
        <v>112.5</v>
      </c>
      <c r="D231" s="114">
        <v>1520</v>
      </c>
      <c r="E231" t="str">
        <f t="shared" si="4"/>
        <v>TADigital NA Consulting - Project Manager / Product Manager</v>
      </c>
    </row>
    <row r="232" spans="1:5" x14ac:dyDescent="0.3">
      <c r="A232" s="113" t="s">
        <v>724</v>
      </c>
      <c r="B232" s="113" t="s">
        <v>442</v>
      </c>
      <c r="C232" s="114">
        <v>135</v>
      </c>
      <c r="D232" s="114">
        <v>1880</v>
      </c>
      <c r="E232" t="str">
        <f t="shared" si="4"/>
        <v>TADigital NA Consulting - Sr. Project Manager</v>
      </c>
    </row>
    <row r="233" spans="1:5" x14ac:dyDescent="0.3">
      <c r="A233" s="113" t="s">
        <v>724</v>
      </c>
      <c r="B233" s="113" t="s">
        <v>444</v>
      </c>
      <c r="C233" s="114">
        <v>135</v>
      </c>
      <c r="D233" s="114">
        <v>2120</v>
      </c>
      <c r="E233" t="str">
        <f t="shared" si="4"/>
        <v>TADigital NA Consulting - Delivery Manager</v>
      </c>
    </row>
    <row r="234" spans="1:5" x14ac:dyDescent="0.3">
      <c r="A234" s="113" t="s">
        <v>724</v>
      </c>
      <c r="B234" s="113" t="s">
        <v>446</v>
      </c>
      <c r="C234" s="114">
        <v>130</v>
      </c>
      <c r="D234" s="114">
        <v>1880</v>
      </c>
      <c r="E234" t="str">
        <f t="shared" si="4"/>
        <v>TADigital NA Consulting - Practice Manager</v>
      </c>
    </row>
    <row r="235" spans="1:5" x14ac:dyDescent="0.3">
      <c r="A235" s="113" t="s">
        <v>724</v>
      </c>
      <c r="B235" s="113" t="s">
        <v>448</v>
      </c>
      <c r="C235" s="114">
        <v>137.5</v>
      </c>
      <c r="D235" s="114">
        <v>2120</v>
      </c>
      <c r="E235" t="str">
        <f t="shared" si="4"/>
        <v>TADigital NA Consulting - Sr. Practice Manager</v>
      </c>
    </row>
    <row r="236" spans="1:5" x14ac:dyDescent="0.3">
      <c r="A236" s="113" t="s">
        <v>725</v>
      </c>
      <c r="B236" s="113" t="s">
        <v>726</v>
      </c>
      <c r="C236" s="114">
        <v>65</v>
      </c>
      <c r="D236" s="114">
        <v>1000</v>
      </c>
      <c r="E236" t="str">
        <f t="shared" si="4"/>
        <v>TADigital NA Consulting | Content &amp; SEO - Content Analyst</v>
      </c>
    </row>
    <row r="237" spans="1:5" x14ac:dyDescent="0.3">
      <c r="A237" s="113" t="s">
        <v>725</v>
      </c>
      <c r="B237" s="113" t="s">
        <v>727</v>
      </c>
      <c r="C237" s="114">
        <v>72.5</v>
      </c>
      <c r="D237" s="114">
        <v>1280</v>
      </c>
      <c r="E237" t="str">
        <f t="shared" si="4"/>
        <v>TADigital NA Consulting | Content &amp; SEO - Associate Content Strategist</v>
      </c>
    </row>
    <row r="238" spans="1:5" x14ac:dyDescent="0.3">
      <c r="A238" s="113" t="s">
        <v>725</v>
      </c>
      <c r="B238" s="113" t="s">
        <v>394</v>
      </c>
      <c r="C238" s="114">
        <v>80</v>
      </c>
      <c r="D238" s="114">
        <v>1360</v>
      </c>
      <c r="E238" t="str">
        <f t="shared" si="4"/>
        <v>TADigital NA Consulting | Content &amp; SEO - Content Strategist</v>
      </c>
    </row>
    <row r="239" spans="1:5" x14ac:dyDescent="0.3">
      <c r="A239" s="113" t="s">
        <v>725</v>
      </c>
      <c r="B239" s="113" t="s">
        <v>728</v>
      </c>
      <c r="C239" s="114">
        <v>90</v>
      </c>
      <c r="D239" s="114">
        <v>1440</v>
      </c>
      <c r="E239" t="str">
        <f t="shared" si="4"/>
        <v>TADigital NA Consulting | Content &amp; SEO - Sr. Content Strategist</v>
      </c>
    </row>
    <row r="240" spans="1:5" x14ac:dyDescent="0.3">
      <c r="A240" s="113" t="s">
        <v>725</v>
      </c>
      <c r="B240" s="113" t="s">
        <v>729</v>
      </c>
      <c r="C240" s="114">
        <v>105</v>
      </c>
      <c r="D240" s="114">
        <v>1520</v>
      </c>
      <c r="E240" t="str">
        <f t="shared" si="4"/>
        <v>TADigital NA Consulting | Content &amp; SEO - Content Strategy Lead</v>
      </c>
    </row>
    <row r="241" spans="1:5" x14ac:dyDescent="0.3">
      <c r="A241" s="113" t="s">
        <v>725</v>
      </c>
      <c r="B241" s="113" t="s">
        <v>730</v>
      </c>
      <c r="C241" s="114">
        <v>107.5</v>
      </c>
      <c r="D241" s="114">
        <v>1680</v>
      </c>
      <c r="E241" t="str">
        <f t="shared" si="4"/>
        <v>TADigital NA Consulting | Content &amp; SEO - Associate Manager</v>
      </c>
    </row>
    <row r="242" spans="1:5" x14ac:dyDescent="0.3">
      <c r="A242" s="113" t="s">
        <v>725</v>
      </c>
      <c r="B242" s="113" t="s">
        <v>731</v>
      </c>
      <c r="C242" s="114">
        <v>65</v>
      </c>
      <c r="D242" s="114">
        <v>1000</v>
      </c>
      <c r="E242" t="str">
        <f t="shared" si="4"/>
        <v>TADigital NA Consulting | Content &amp; SEO - Associate Copy Analyst</v>
      </c>
    </row>
    <row r="243" spans="1:5" x14ac:dyDescent="0.3">
      <c r="A243" s="113" t="s">
        <v>725</v>
      </c>
      <c r="B243" s="113" t="s">
        <v>732</v>
      </c>
      <c r="C243" s="114">
        <v>75</v>
      </c>
      <c r="D243" s="114">
        <v>1120</v>
      </c>
      <c r="E243" t="str">
        <f t="shared" si="4"/>
        <v>TADigital NA Consulting | Content &amp; SEO - Copywriter</v>
      </c>
    </row>
    <row r="244" spans="1:5" x14ac:dyDescent="0.3">
      <c r="A244" s="113" t="s">
        <v>725</v>
      </c>
      <c r="B244" s="113" t="s">
        <v>733</v>
      </c>
      <c r="C244" s="114">
        <v>80</v>
      </c>
      <c r="D244" s="114">
        <v>1280</v>
      </c>
      <c r="E244" t="str">
        <f t="shared" si="4"/>
        <v>TADigital NA Consulting | Content &amp; SEO - Sr. Copywriter</v>
      </c>
    </row>
    <row r="245" spans="1:5" x14ac:dyDescent="0.3">
      <c r="A245" s="113" t="s">
        <v>725</v>
      </c>
      <c r="B245" s="113" t="s">
        <v>734</v>
      </c>
      <c r="C245" s="114">
        <v>90</v>
      </c>
      <c r="D245" s="114">
        <v>1360</v>
      </c>
      <c r="E245" t="str">
        <f t="shared" si="4"/>
        <v>TADigital NA Consulting | Content &amp; SEO - Sr. Copy Editor</v>
      </c>
    </row>
    <row r="246" spans="1:5" x14ac:dyDescent="0.3">
      <c r="A246" s="113" t="s">
        <v>725</v>
      </c>
      <c r="B246" s="113" t="s">
        <v>735</v>
      </c>
      <c r="C246" s="114">
        <v>105</v>
      </c>
      <c r="D246" s="114">
        <v>1440</v>
      </c>
      <c r="E246" t="str">
        <f t="shared" si="4"/>
        <v>TADigital NA Consulting | Content &amp; SEO - Editorial Content Lead</v>
      </c>
    </row>
    <row r="247" spans="1:5" x14ac:dyDescent="0.3">
      <c r="A247" s="113" t="s">
        <v>725</v>
      </c>
      <c r="B247" s="113" t="s">
        <v>736</v>
      </c>
      <c r="C247" s="114">
        <v>65</v>
      </c>
      <c r="D247" s="114">
        <v>840</v>
      </c>
      <c r="E247" t="str">
        <f t="shared" si="4"/>
        <v>TADigital NA Consulting | Content &amp; SEO - Associate Web Content Analyst</v>
      </c>
    </row>
    <row r="248" spans="1:5" x14ac:dyDescent="0.3">
      <c r="A248" s="113" t="s">
        <v>725</v>
      </c>
      <c r="B248" s="113" t="s">
        <v>737</v>
      </c>
      <c r="C248" s="114">
        <v>75</v>
      </c>
      <c r="D248" s="114">
        <v>1000</v>
      </c>
      <c r="E248" t="str">
        <f t="shared" si="4"/>
        <v>TADigital NA Consulting | Content &amp; SEO - Web Content Analyst</v>
      </c>
    </row>
    <row r="249" spans="1:5" x14ac:dyDescent="0.3">
      <c r="A249" s="113" t="s">
        <v>725</v>
      </c>
      <c r="B249" s="113" t="s">
        <v>738</v>
      </c>
      <c r="C249" s="114">
        <v>80</v>
      </c>
      <c r="D249" s="114">
        <v>1080</v>
      </c>
      <c r="E249" t="str">
        <f t="shared" si="4"/>
        <v>TADigital NA Consulting | Content &amp; SEO - Sr. Web Content Analyst</v>
      </c>
    </row>
    <row r="250" spans="1:5" x14ac:dyDescent="0.3">
      <c r="A250" s="113" t="s">
        <v>725</v>
      </c>
      <c r="B250" s="113" t="s">
        <v>739</v>
      </c>
      <c r="C250" s="114">
        <v>80</v>
      </c>
      <c r="D250" s="114">
        <v>1160</v>
      </c>
      <c r="E250" t="str">
        <f t="shared" si="4"/>
        <v>TADigital NA Consulting | Content &amp; SEO - Principal Web Content Analyst</v>
      </c>
    </row>
    <row r="251" spans="1:5" x14ac:dyDescent="0.3">
      <c r="A251" s="113" t="s">
        <v>725</v>
      </c>
      <c r="B251" s="113" t="s">
        <v>740</v>
      </c>
      <c r="C251" s="114">
        <v>90</v>
      </c>
      <c r="D251" s="114">
        <v>1360</v>
      </c>
      <c r="E251" t="str">
        <f t="shared" si="4"/>
        <v>TADigital NA Consulting | Content &amp; SEO - Sr. Content Engineer</v>
      </c>
    </row>
    <row r="252" spans="1:5" x14ac:dyDescent="0.3">
      <c r="A252" s="113" t="s">
        <v>725</v>
      </c>
      <c r="B252" s="113" t="s">
        <v>741</v>
      </c>
      <c r="C252" s="114">
        <v>105</v>
      </c>
      <c r="D252" s="114">
        <v>1440</v>
      </c>
      <c r="E252" t="str">
        <f t="shared" si="4"/>
        <v>TADigital NA Consulting | Content &amp; SEO - Lead Web Content Engineer</v>
      </c>
    </row>
    <row r="253" spans="1:5" x14ac:dyDescent="0.3">
      <c r="A253" s="113" t="s">
        <v>725</v>
      </c>
      <c r="B253" s="113" t="s">
        <v>742</v>
      </c>
      <c r="C253" s="114">
        <v>65</v>
      </c>
      <c r="D253" s="114">
        <v>1000</v>
      </c>
      <c r="E253" t="str">
        <f t="shared" si="4"/>
        <v>TADigital NA Consulting | Content &amp; SEO - Associate SEO Analyst</v>
      </c>
    </row>
    <row r="254" spans="1:5" x14ac:dyDescent="0.3">
      <c r="A254" s="113" t="s">
        <v>725</v>
      </c>
      <c r="B254" s="113" t="s">
        <v>743</v>
      </c>
      <c r="C254" s="114">
        <v>75</v>
      </c>
      <c r="D254" s="114">
        <v>1080</v>
      </c>
      <c r="E254" t="str">
        <f t="shared" si="4"/>
        <v>TADigital NA Consulting | Content &amp; SEO - SEO Analyst</v>
      </c>
    </row>
    <row r="255" spans="1:5" x14ac:dyDescent="0.3">
      <c r="A255" s="113" t="s">
        <v>725</v>
      </c>
      <c r="B255" s="113" t="s">
        <v>744</v>
      </c>
      <c r="C255" s="114">
        <v>80</v>
      </c>
      <c r="D255" s="114">
        <v>1280</v>
      </c>
      <c r="E255" t="str">
        <f t="shared" si="4"/>
        <v>TADigital NA Consulting | Content &amp; SEO - SEO Strategist</v>
      </c>
    </row>
    <row r="256" spans="1:5" x14ac:dyDescent="0.3">
      <c r="A256" s="113" t="s">
        <v>725</v>
      </c>
      <c r="B256" s="113" t="s">
        <v>745</v>
      </c>
      <c r="C256" s="114">
        <v>90</v>
      </c>
      <c r="D256" s="114">
        <v>1440</v>
      </c>
      <c r="E256" t="str">
        <f t="shared" si="4"/>
        <v>TADigital NA Consulting | Content &amp; SEO - Sr. SEO Strategist</v>
      </c>
    </row>
    <row r="257" spans="1:5" x14ac:dyDescent="0.3">
      <c r="A257" s="113" t="s">
        <v>725</v>
      </c>
      <c r="B257" s="113" t="s">
        <v>746</v>
      </c>
      <c r="C257" s="114">
        <v>105</v>
      </c>
      <c r="D257" s="114">
        <v>1520</v>
      </c>
      <c r="E257" t="str">
        <f t="shared" si="4"/>
        <v>TADigital NA Consulting | Content &amp; SEO - SEO Lead</v>
      </c>
    </row>
    <row r="258" spans="1:5" x14ac:dyDescent="0.3">
      <c r="A258" s="113" t="s">
        <v>747</v>
      </c>
      <c r="B258" s="113" t="s">
        <v>748</v>
      </c>
      <c r="C258" s="114">
        <v>65</v>
      </c>
      <c r="D258" s="114">
        <v>1000</v>
      </c>
      <c r="E258" t="str">
        <f t="shared" si="4"/>
        <v>TADigital NA Consulting | Design - Associate UX Designer</v>
      </c>
    </row>
    <row r="259" spans="1:5" x14ac:dyDescent="0.3">
      <c r="A259" s="113" t="s">
        <v>747</v>
      </c>
      <c r="B259" s="113" t="s">
        <v>749</v>
      </c>
      <c r="C259" s="114">
        <v>70</v>
      </c>
      <c r="D259" s="114">
        <v>1360</v>
      </c>
      <c r="E259" t="str">
        <f t="shared" si="4"/>
        <v>TADigital NA Consulting | Design - UX Designer</v>
      </c>
    </row>
    <row r="260" spans="1:5" x14ac:dyDescent="0.3">
      <c r="A260" s="113" t="s">
        <v>747</v>
      </c>
      <c r="B260" s="113" t="s">
        <v>750</v>
      </c>
      <c r="C260" s="114">
        <v>110</v>
      </c>
      <c r="D260" s="114">
        <v>1520</v>
      </c>
      <c r="E260" t="str">
        <f t="shared" si="4"/>
        <v>TADigital NA Consulting | Design - Sr. UX Designer</v>
      </c>
    </row>
    <row r="261" spans="1:5" x14ac:dyDescent="0.3">
      <c r="A261" s="113" t="s">
        <v>747</v>
      </c>
      <c r="B261" s="113" t="s">
        <v>751</v>
      </c>
      <c r="C261" s="114">
        <v>107.5</v>
      </c>
      <c r="D261" s="114">
        <v>1680</v>
      </c>
      <c r="E261" t="str">
        <f t="shared" si="4"/>
        <v>TADigital NA Consulting | Design - Associate UX Manager / Associate UX Principal</v>
      </c>
    </row>
    <row r="262" spans="1:5" x14ac:dyDescent="0.3">
      <c r="A262" s="113" t="s">
        <v>747</v>
      </c>
      <c r="B262" s="113" t="s">
        <v>752</v>
      </c>
      <c r="C262" s="114">
        <v>120</v>
      </c>
      <c r="D262" s="114">
        <v>1880</v>
      </c>
      <c r="E262" t="str">
        <f t="shared" si="4"/>
        <v>TADigital NA Consulting | Design - UX Manager / UX Principal</v>
      </c>
    </row>
    <row r="263" spans="1:5" x14ac:dyDescent="0.3">
      <c r="A263" s="113" t="s">
        <v>747</v>
      </c>
      <c r="B263" s="113" t="s">
        <v>753</v>
      </c>
      <c r="C263" s="114">
        <v>140</v>
      </c>
      <c r="D263" s="114">
        <v>2120</v>
      </c>
      <c r="E263" t="str">
        <f t="shared" si="4"/>
        <v>TADigital NA Consulting | Design - Sr. UX Manager / Sr. UX Principal</v>
      </c>
    </row>
    <row r="264" spans="1:5" x14ac:dyDescent="0.3">
      <c r="A264" s="113" t="s">
        <v>747</v>
      </c>
      <c r="B264" s="113" t="s">
        <v>754</v>
      </c>
      <c r="C264" s="114">
        <v>77.5</v>
      </c>
      <c r="D264" s="114">
        <v>1160</v>
      </c>
      <c r="E264" t="str">
        <f t="shared" si="4"/>
        <v>TADigital NA Consulting | Design - Associate Visual Designer</v>
      </c>
    </row>
    <row r="265" spans="1:5" x14ac:dyDescent="0.3">
      <c r="A265" s="113" t="s">
        <v>747</v>
      </c>
      <c r="B265" s="113" t="s">
        <v>392</v>
      </c>
      <c r="C265" s="114">
        <v>90</v>
      </c>
      <c r="D265" s="114">
        <v>1280</v>
      </c>
      <c r="E265" t="str">
        <f t="shared" si="4"/>
        <v>TADigital NA Consulting | Design - Visual Designer</v>
      </c>
    </row>
    <row r="266" spans="1:5" x14ac:dyDescent="0.3">
      <c r="A266" s="113" t="s">
        <v>747</v>
      </c>
      <c r="B266" s="113" t="s">
        <v>755</v>
      </c>
      <c r="C266" s="114">
        <v>95</v>
      </c>
      <c r="D266" s="114">
        <v>1360</v>
      </c>
      <c r="E266" t="str">
        <f t="shared" si="4"/>
        <v>TADigital NA Consulting | Design - Sr. Visual Designer</v>
      </c>
    </row>
    <row r="267" spans="1:5" x14ac:dyDescent="0.3">
      <c r="A267" s="113" t="s">
        <v>747</v>
      </c>
      <c r="B267" s="113" t="s">
        <v>756</v>
      </c>
      <c r="C267" s="114">
        <v>102.5</v>
      </c>
      <c r="D267" s="114">
        <v>1520</v>
      </c>
      <c r="E267" t="str">
        <f t="shared" si="4"/>
        <v>TADigital NA Consulting | Design - Art Director</v>
      </c>
    </row>
    <row r="268" spans="1:5" x14ac:dyDescent="0.3">
      <c r="A268" s="113" t="s">
        <v>747</v>
      </c>
      <c r="B268" s="113" t="s">
        <v>757</v>
      </c>
      <c r="C268" s="114">
        <v>107.5</v>
      </c>
      <c r="D268" s="114">
        <v>1680</v>
      </c>
      <c r="E268" t="str">
        <f t="shared" si="4"/>
        <v>TADigital NA Consulting | Design - Sr. Art Director</v>
      </c>
    </row>
    <row r="269" spans="1:5" x14ac:dyDescent="0.3">
      <c r="A269" s="113" t="s">
        <v>747</v>
      </c>
      <c r="B269" s="113" t="s">
        <v>758</v>
      </c>
      <c r="C269" s="114">
        <v>140</v>
      </c>
      <c r="D269" s="114">
        <v>1880</v>
      </c>
      <c r="E269" t="str">
        <f t="shared" si="4"/>
        <v>TADigital NA Consulting | Design - Managing Art Director</v>
      </c>
    </row>
    <row r="270" spans="1:5" x14ac:dyDescent="0.3">
      <c r="A270" s="113" t="s">
        <v>759</v>
      </c>
      <c r="B270" s="113" t="s">
        <v>760</v>
      </c>
      <c r="C270" s="114">
        <v>75</v>
      </c>
      <c r="D270" s="114">
        <v>1080</v>
      </c>
      <c r="E270" t="str">
        <f t="shared" si="4"/>
        <v>TADigital NA Consulting | Strategy - Associate Analyst</v>
      </c>
    </row>
    <row r="271" spans="1:5" x14ac:dyDescent="0.3">
      <c r="A271" s="113" t="s">
        <v>759</v>
      </c>
      <c r="B271" s="113" t="s">
        <v>252</v>
      </c>
      <c r="C271" s="114">
        <v>85</v>
      </c>
      <c r="D271" s="114">
        <v>1360</v>
      </c>
      <c r="E271" t="str">
        <f t="shared" si="4"/>
        <v>TADigital NA Consulting | Strategy - Analyst</v>
      </c>
    </row>
    <row r="272" spans="1:5" x14ac:dyDescent="0.3">
      <c r="A272" s="113" t="s">
        <v>759</v>
      </c>
      <c r="B272" s="113" t="s">
        <v>761</v>
      </c>
      <c r="C272" s="114">
        <v>85</v>
      </c>
      <c r="D272" s="114">
        <v>1520</v>
      </c>
      <c r="E272" t="str">
        <f t="shared" si="4"/>
        <v>TADigital NA Consulting | Strategy - Sr. Analyst</v>
      </c>
    </row>
    <row r="273" spans="1:5" x14ac:dyDescent="0.3">
      <c r="A273" s="113" t="s">
        <v>759</v>
      </c>
      <c r="B273" s="113" t="s">
        <v>762</v>
      </c>
      <c r="C273" s="114">
        <v>85</v>
      </c>
      <c r="D273" s="114">
        <v>1600</v>
      </c>
      <c r="E273" t="str">
        <f t="shared" si="4"/>
        <v>TADigital NA Consulting | Strategy - Associate Digital Strategist</v>
      </c>
    </row>
    <row r="274" spans="1:5" x14ac:dyDescent="0.3">
      <c r="A274" s="113" t="s">
        <v>759</v>
      </c>
      <c r="B274" s="113" t="s">
        <v>763</v>
      </c>
      <c r="C274" s="114">
        <v>105</v>
      </c>
      <c r="D274" s="114">
        <v>1640</v>
      </c>
      <c r="E274" t="str">
        <f t="shared" si="4"/>
        <v>TADigital NA Consulting | Strategy - Digital Strategist</v>
      </c>
    </row>
    <row r="275" spans="1:5" x14ac:dyDescent="0.3">
      <c r="A275" s="113" t="s">
        <v>759</v>
      </c>
      <c r="B275" s="113" t="s">
        <v>764</v>
      </c>
      <c r="C275" s="114">
        <v>105</v>
      </c>
      <c r="D275" s="114">
        <v>1680</v>
      </c>
      <c r="E275" t="str">
        <f t="shared" si="4"/>
        <v>TADigital NA Consulting | Strategy - Sr. Digital Strategist</v>
      </c>
    </row>
    <row r="276" spans="1:5" x14ac:dyDescent="0.3">
      <c r="A276" s="113" t="s">
        <v>759</v>
      </c>
      <c r="B276" s="113" t="s">
        <v>730</v>
      </c>
      <c r="C276" s="114">
        <v>122.5</v>
      </c>
      <c r="D276" s="114">
        <v>1680</v>
      </c>
      <c r="E276" t="str">
        <f t="shared" si="4"/>
        <v>TADigital NA Consulting | Strategy - Associate Manager</v>
      </c>
    </row>
    <row r="277" spans="1:5" x14ac:dyDescent="0.3">
      <c r="A277" s="113" t="s">
        <v>765</v>
      </c>
      <c r="B277" s="113" t="s">
        <v>766</v>
      </c>
      <c r="C277" s="114">
        <v>0</v>
      </c>
      <c r="D277" s="114">
        <v>0</v>
      </c>
      <c r="E277" t="str">
        <f t="shared" si="4"/>
        <v>TADigital NA Digital - Contractor</v>
      </c>
    </row>
    <row r="278" spans="1:5" x14ac:dyDescent="0.3">
      <c r="A278" s="113" t="s">
        <v>765</v>
      </c>
      <c r="B278" s="113" t="s">
        <v>532</v>
      </c>
      <c r="C278" s="114">
        <v>80</v>
      </c>
      <c r="D278" s="114">
        <v>1280</v>
      </c>
      <c r="E278" t="str">
        <f t="shared" si="4"/>
        <v>TADigital NA Digital - Developer</v>
      </c>
    </row>
    <row r="279" spans="1:5" x14ac:dyDescent="0.3">
      <c r="A279" s="113" t="s">
        <v>765</v>
      </c>
      <c r="B279" s="113" t="s">
        <v>534</v>
      </c>
      <c r="C279" s="114">
        <v>82.5</v>
      </c>
      <c r="D279" s="114">
        <v>1360</v>
      </c>
      <c r="E279" t="str">
        <f t="shared" si="4"/>
        <v>TADigital NA Digital - Sr. Developer</v>
      </c>
    </row>
    <row r="280" spans="1:5" x14ac:dyDescent="0.3">
      <c r="A280" s="113" t="s">
        <v>765</v>
      </c>
      <c r="B280" s="113" t="s">
        <v>536</v>
      </c>
      <c r="C280" s="114">
        <v>90</v>
      </c>
      <c r="D280" s="114">
        <v>1480</v>
      </c>
      <c r="E280" t="str">
        <f t="shared" ref="E280:E309" si="5">CONCATENATE(A280," - ",B280)</f>
        <v>TADigital NA Digital - Technical Lead</v>
      </c>
    </row>
    <row r="281" spans="1:5" x14ac:dyDescent="0.3">
      <c r="A281" s="113" t="s">
        <v>765</v>
      </c>
      <c r="B281" s="113" t="s">
        <v>538</v>
      </c>
      <c r="C281" s="114">
        <v>132.5</v>
      </c>
      <c r="D281" s="114">
        <v>1880</v>
      </c>
      <c r="E281" t="str">
        <f t="shared" si="5"/>
        <v>TADigital NA Digital - Technical Architect</v>
      </c>
    </row>
    <row r="282" spans="1:5" x14ac:dyDescent="0.3">
      <c r="A282" s="113" t="s">
        <v>765</v>
      </c>
      <c r="B282" s="113" t="s">
        <v>540</v>
      </c>
      <c r="C282" s="114">
        <v>155</v>
      </c>
      <c r="D282" s="114">
        <v>2200</v>
      </c>
      <c r="E282" t="str">
        <f t="shared" si="5"/>
        <v>TADigital NA Digital - Sr. Technical Architect</v>
      </c>
    </row>
    <row r="283" spans="1:5" x14ac:dyDescent="0.3">
      <c r="A283" s="113" t="s">
        <v>765</v>
      </c>
      <c r="B283" s="113" t="s">
        <v>542</v>
      </c>
      <c r="C283" s="114">
        <v>167.5</v>
      </c>
      <c r="D283" s="114">
        <v>2320</v>
      </c>
      <c r="E283" t="str">
        <f t="shared" si="5"/>
        <v>TADigital NA Digital - Multi-Solution Architect</v>
      </c>
    </row>
    <row r="284" spans="1:5" x14ac:dyDescent="0.3">
      <c r="A284" s="113" t="s">
        <v>765</v>
      </c>
      <c r="B284" s="113" t="s">
        <v>544</v>
      </c>
      <c r="C284" s="114">
        <v>85</v>
      </c>
      <c r="D284" s="114">
        <v>1280</v>
      </c>
      <c r="E284" t="str">
        <f t="shared" si="5"/>
        <v>TADigital NA Digital - Data Engineer / Data Analyst</v>
      </c>
    </row>
    <row r="285" spans="1:5" x14ac:dyDescent="0.3">
      <c r="A285" s="113" t="s">
        <v>765</v>
      </c>
      <c r="B285" s="113" t="s">
        <v>546</v>
      </c>
      <c r="C285" s="114">
        <v>105</v>
      </c>
      <c r="D285" s="114">
        <v>1520</v>
      </c>
      <c r="E285" t="str">
        <f t="shared" si="5"/>
        <v>TADigital NA Digital - Sr. Data Engineer / Sr. Data Analyst</v>
      </c>
    </row>
    <row r="286" spans="1:5" x14ac:dyDescent="0.3">
      <c r="A286" s="113" t="s">
        <v>765</v>
      </c>
      <c r="B286" s="113" t="s">
        <v>548</v>
      </c>
      <c r="C286" s="114">
        <v>107.5</v>
      </c>
      <c r="D286" s="114">
        <v>1680</v>
      </c>
      <c r="E286" t="str">
        <f t="shared" si="5"/>
        <v>TADigital NA Digital - Data Lead / Lead Data Analyst</v>
      </c>
    </row>
    <row r="287" spans="1:5" x14ac:dyDescent="0.3">
      <c r="A287" s="113" t="s">
        <v>765</v>
      </c>
      <c r="B287" s="113" t="s">
        <v>550</v>
      </c>
      <c r="C287" s="114">
        <v>115.5</v>
      </c>
      <c r="D287" s="114">
        <v>1880</v>
      </c>
      <c r="E287" t="str">
        <f t="shared" si="5"/>
        <v>TADigital NA Digital - Data Scientist/Architect/Strategist</v>
      </c>
    </row>
    <row r="288" spans="1:5" x14ac:dyDescent="0.3">
      <c r="A288" s="113" t="s">
        <v>765</v>
      </c>
      <c r="B288" s="113" t="s">
        <v>552</v>
      </c>
      <c r="C288" s="114">
        <v>162.5</v>
      </c>
      <c r="D288" s="114">
        <v>2200</v>
      </c>
      <c r="E288" t="str">
        <f t="shared" si="5"/>
        <v>TADigital NA Digital - Sr. Data Scientist/Architect/Strategist</v>
      </c>
    </row>
    <row r="289" spans="1:5" x14ac:dyDescent="0.3">
      <c r="A289" s="113" t="s">
        <v>765</v>
      </c>
      <c r="B289" s="113" t="s">
        <v>554</v>
      </c>
      <c r="C289" s="114">
        <v>162.5</v>
      </c>
      <c r="D289" s="114">
        <v>2200</v>
      </c>
      <c r="E289" t="str">
        <f t="shared" si="5"/>
        <v>TADigital NA Digital - Enterprise Arch. / Associate Prin. Data Scientist</v>
      </c>
    </row>
    <row r="290" spans="1:5" x14ac:dyDescent="0.3">
      <c r="A290" s="113" t="s">
        <v>765</v>
      </c>
      <c r="B290" s="113" t="s">
        <v>556</v>
      </c>
      <c r="C290" s="114">
        <v>162.5</v>
      </c>
      <c r="D290" s="114">
        <v>2320</v>
      </c>
      <c r="E290" t="str">
        <f t="shared" si="5"/>
        <v>TADigital NA Digital - Sr. Enterprise Architect / Prin. Data Scientist</v>
      </c>
    </row>
    <row r="291" spans="1:5" x14ac:dyDescent="0.3">
      <c r="A291" s="113" t="s">
        <v>765</v>
      </c>
      <c r="B291" s="113" t="s">
        <v>558</v>
      </c>
      <c r="C291" s="114">
        <v>162.5</v>
      </c>
      <c r="D291" s="114">
        <v>2520</v>
      </c>
      <c r="E291" t="str">
        <f t="shared" si="5"/>
        <v>TADigital NA Digital - Prin. Enterprise Arch. / Sr. Prin. Data Scientist</v>
      </c>
    </row>
    <row r="292" spans="1:5" x14ac:dyDescent="0.3">
      <c r="A292" s="113" t="s">
        <v>765</v>
      </c>
      <c r="B292" s="113" t="s">
        <v>560</v>
      </c>
      <c r="C292" s="114">
        <v>207.5</v>
      </c>
      <c r="D292" s="114">
        <v>2960</v>
      </c>
      <c r="E292" t="str">
        <f t="shared" si="5"/>
        <v>TADigital NA Digital - Chief Enterprise Architect / Chief Data Scientist</v>
      </c>
    </row>
    <row r="293" spans="1:5" x14ac:dyDescent="0.3">
      <c r="A293" s="113" t="s">
        <v>765</v>
      </c>
      <c r="B293" s="113" t="s">
        <v>380</v>
      </c>
      <c r="C293" s="114">
        <v>97.5</v>
      </c>
      <c r="D293" s="114">
        <v>1280</v>
      </c>
      <c r="E293" t="str">
        <f t="shared" si="5"/>
        <v>TADigital NA Digital - Business Analyst</v>
      </c>
    </row>
    <row r="294" spans="1:5" x14ac:dyDescent="0.3">
      <c r="A294" s="113" t="s">
        <v>765</v>
      </c>
      <c r="B294" s="113" t="s">
        <v>563</v>
      </c>
      <c r="C294" s="114">
        <v>105</v>
      </c>
      <c r="D294" s="114">
        <v>1480</v>
      </c>
      <c r="E294" t="str">
        <f t="shared" si="5"/>
        <v>TADigital NA Digital - Sr. Business Analyst</v>
      </c>
    </row>
    <row r="295" spans="1:5" x14ac:dyDescent="0.3">
      <c r="A295" s="113" t="s">
        <v>765</v>
      </c>
      <c r="B295" s="113" t="s">
        <v>565</v>
      </c>
      <c r="C295" s="114">
        <v>107.5</v>
      </c>
      <c r="D295" s="114">
        <v>1560</v>
      </c>
      <c r="E295" t="str">
        <f t="shared" si="5"/>
        <v>TADigital NA Digital - BA Lead</v>
      </c>
    </row>
    <row r="296" spans="1:5" x14ac:dyDescent="0.3">
      <c r="A296" s="113" t="s">
        <v>765</v>
      </c>
      <c r="B296" s="113" t="s">
        <v>567</v>
      </c>
      <c r="C296" s="114">
        <v>75</v>
      </c>
      <c r="D296" s="114">
        <v>1000</v>
      </c>
      <c r="E296" t="str">
        <f t="shared" si="5"/>
        <v>TADigital NA Digital - QA Engineer</v>
      </c>
    </row>
    <row r="297" spans="1:5" x14ac:dyDescent="0.3">
      <c r="A297" s="113" t="s">
        <v>765</v>
      </c>
      <c r="B297" s="113" t="s">
        <v>569</v>
      </c>
      <c r="C297" s="114">
        <v>80</v>
      </c>
      <c r="D297" s="114">
        <v>1160</v>
      </c>
      <c r="E297" t="str">
        <f t="shared" si="5"/>
        <v>TADigital NA Digital - Sr. QA Engineer</v>
      </c>
    </row>
    <row r="298" spans="1:5" x14ac:dyDescent="0.3">
      <c r="A298" s="113" t="s">
        <v>765</v>
      </c>
      <c r="B298" s="113" t="s">
        <v>571</v>
      </c>
      <c r="C298" s="114">
        <v>82.5</v>
      </c>
      <c r="D298" s="114">
        <v>1360</v>
      </c>
      <c r="E298" t="str">
        <f t="shared" si="5"/>
        <v>TADigital NA Digital - QA Lead</v>
      </c>
    </row>
    <row r="299" spans="1:5" x14ac:dyDescent="0.3">
      <c r="A299" s="113" t="s">
        <v>765</v>
      </c>
      <c r="B299" s="113" t="s">
        <v>573</v>
      </c>
      <c r="C299" s="114">
        <v>85</v>
      </c>
      <c r="D299" s="114">
        <v>1520</v>
      </c>
      <c r="E299" t="str">
        <f t="shared" si="5"/>
        <v>TADigital NA Digital - QA Manager</v>
      </c>
    </row>
    <row r="300" spans="1:5" x14ac:dyDescent="0.3">
      <c r="A300" s="113" t="s">
        <v>765</v>
      </c>
      <c r="B300" s="113" t="s">
        <v>329</v>
      </c>
      <c r="C300" s="114">
        <v>70</v>
      </c>
      <c r="D300" s="114">
        <v>1040</v>
      </c>
      <c r="E300" t="str">
        <f t="shared" si="5"/>
        <v>TADigital NA Digital - DevOps Engineer</v>
      </c>
    </row>
    <row r="301" spans="1:5" x14ac:dyDescent="0.3">
      <c r="A301" s="113" t="s">
        <v>765</v>
      </c>
      <c r="B301" s="113" t="s">
        <v>576</v>
      </c>
      <c r="C301" s="114">
        <v>80</v>
      </c>
      <c r="D301" s="114">
        <v>1280</v>
      </c>
      <c r="E301" t="str">
        <f t="shared" si="5"/>
        <v>TADigital NA Digital - Sr. DevOps Engineer</v>
      </c>
    </row>
    <row r="302" spans="1:5" x14ac:dyDescent="0.3">
      <c r="A302" s="113" t="s">
        <v>765</v>
      </c>
      <c r="B302" s="113" t="s">
        <v>578</v>
      </c>
      <c r="C302" s="114">
        <v>105</v>
      </c>
      <c r="D302" s="114">
        <v>1480</v>
      </c>
      <c r="E302" t="str">
        <f t="shared" si="5"/>
        <v>TADigital NA Digital - DevOps Lead</v>
      </c>
    </row>
    <row r="303" spans="1:5" x14ac:dyDescent="0.3">
      <c r="A303" s="113" t="s">
        <v>765</v>
      </c>
      <c r="B303" s="113" t="s">
        <v>580</v>
      </c>
      <c r="C303" s="114">
        <v>120</v>
      </c>
      <c r="D303" s="114">
        <v>1880</v>
      </c>
      <c r="E303" t="str">
        <f t="shared" si="5"/>
        <v>TADigital NA Digital - DevOps Architect</v>
      </c>
    </row>
    <row r="304" spans="1:5" x14ac:dyDescent="0.3">
      <c r="A304" s="113" t="s">
        <v>765</v>
      </c>
      <c r="B304" s="113" t="s">
        <v>582</v>
      </c>
      <c r="C304" s="114">
        <v>132.5</v>
      </c>
      <c r="D304" s="114">
        <v>2120</v>
      </c>
      <c r="E304" t="str">
        <f t="shared" si="5"/>
        <v>TADigital NA Digital - Enterprise DevOps Architect</v>
      </c>
    </row>
    <row r="305" spans="1:5" x14ac:dyDescent="0.3">
      <c r="A305" s="113" t="s">
        <v>765</v>
      </c>
      <c r="B305" s="113" t="s">
        <v>584</v>
      </c>
      <c r="C305" s="114">
        <v>80</v>
      </c>
      <c r="D305" s="114">
        <v>1080</v>
      </c>
      <c r="E305" t="str">
        <f t="shared" si="5"/>
        <v>TADigital NA Digital - Marketing Analyst</v>
      </c>
    </row>
    <row r="306" spans="1:5" x14ac:dyDescent="0.3">
      <c r="A306" s="113" t="s">
        <v>765</v>
      </c>
      <c r="B306" s="113" t="s">
        <v>586</v>
      </c>
      <c r="C306" s="114">
        <v>90</v>
      </c>
      <c r="D306" s="114">
        <v>1280</v>
      </c>
      <c r="E306" t="str">
        <f t="shared" si="5"/>
        <v>TADigital NA Digital - Sr. Marketing Analyst</v>
      </c>
    </row>
    <row r="307" spans="1:5" x14ac:dyDescent="0.3">
      <c r="A307" s="113" t="s">
        <v>765</v>
      </c>
      <c r="B307" s="113" t="s">
        <v>588</v>
      </c>
      <c r="C307" s="114">
        <v>105</v>
      </c>
      <c r="D307" s="114">
        <v>1480</v>
      </c>
      <c r="E307" t="str">
        <f t="shared" si="5"/>
        <v>TADigital NA Digital - Marketing Lead</v>
      </c>
    </row>
    <row r="308" spans="1:5" x14ac:dyDescent="0.3">
      <c r="A308" s="113" t="s">
        <v>765</v>
      </c>
      <c r="B308" s="113" t="s">
        <v>590</v>
      </c>
      <c r="C308" s="114">
        <v>120</v>
      </c>
      <c r="D308" s="114">
        <v>1680</v>
      </c>
      <c r="E308" t="str">
        <f t="shared" si="5"/>
        <v>TADigital NA Digital - Marketing Architect</v>
      </c>
    </row>
    <row r="309" spans="1:5" x14ac:dyDescent="0.3">
      <c r="A309" s="113" t="s">
        <v>765</v>
      </c>
      <c r="B309" s="113" t="s">
        <v>592</v>
      </c>
      <c r="C309" s="114">
        <v>172.5</v>
      </c>
      <c r="D309" s="114">
        <v>2960</v>
      </c>
      <c r="E309" t="str">
        <f t="shared" si="5"/>
        <v>TADigital NA Digital - Practice VP / Delivery VP</v>
      </c>
    </row>
    <row r="310" spans="1:5" x14ac:dyDescent="0.3">
      <c r="A310" s="113" t="s">
        <v>767</v>
      </c>
      <c r="B310" s="113" t="s">
        <v>768</v>
      </c>
      <c r="C310" s="114">
        <v>0</v>
      </c>
      <c r="D310" s="114">
        <v>0</v>
      </c>
    </row>
    <row r="311" spans="1:5" x14ac:dyDescent="0.3">
      <c r="A311" s="113" t="s">
        <v>767</v>
      </c>
      <c r="B311" s="113" t="s">
        <v>769</v>
      </c>
      <c r="C311" s="114">
        <v>0</v>
      </c>
      <c r="D311" s="114">
        <v>0</v>
      </c>
    </row>
    <row r="312" spans="1:5" x14ac:dyDescent="0.3">
      <c r="A312" s="113" t="s">
        <v>767</v>
      </c>
      <c r="B312" s="113" t="s">
        <v>770</v>
      </c>
      <c r="C312" s="114">
        <v>0</v>
      </c>
      <c r="D312" s="114">
        <v>0</v>
      </c>
    </row>
    <row r="313" spans="1:5" x14ac:dyDescent="0.3">
      <c r="A313" s="113" t="s">
        <v>767</v>
      </c>
      <c r="B313" s="113" t="s">
        <v>771</v>
      </c>
      <c r="C313" s="114">
        <v>0</v>
      </c>
      <c r="D313" s="114">
        <v>0</v>
      </c>
    </row>
    <row r="314" spans="1:5" x14ac:dyDescent="0.3">
      <c r="A314" s="113" t="s">
        <v>767</v>
      </c>
      <c r="B314" s="113" t="s">
        <v>772</v>
      </c>
      <c r="C314" s="114">
        <v>0</v>
      </c>
      <c r="D314" s="114">
        <v>0</v>
      </c>
    </row>
    <row r="315" spans="1:5" x14ac:dyDescent="0.3">
      <c r="A315" s="113" t="s">
        <v>767</v>
      </c>
      <c r="B315" s="113" t="s">
        <v>773</v>
      </c>
      <c r="C315" s="114">
        <v>0</v>
      </c>
      <c r="D315" s="114">
        <v>0</v>
      </c>
    </row>
    <row r="316" spans="1:5" x14ac:dyDescent="0.3">
      <c r="A316" s="113" t="s">
        <v>767</v>
      </c>
      <c r="B316" s="113" t="s">
        <v>774</v>
      </c>
      <c r="C316" s="114">
        <v>0</v>
      </c>
      <c r="D316" s="114">
        <v>0</v>
      </c>
    </row>
    <row r="317" spans="1:5" x14ac:dyDescent="0.3">
      <c r="A317" s="113" t="s">
        <v>767</v>
      </c>
      <c r="B317" s="113" t="s">
        <v>775</v>
      </c>
      <c r="C317" s="114">
        <v>0</v>
      </c>
      <c r="D317" s="114">
        <v>0</v>
      </c>
    </row>
    <row r="318" spans="1:5" x14ac:dyDescent="0.3">
      <c r="A318" s="113" t="s">
        <v>767</v>
      </c>
      <c r="B318" s="113" t="s">
        <v>776</v>
      </c>
      <c r="C318" s="114">
        <v>0</v>
      </c>
      <c r="D318" s="114">
        <v>0</v>
      </c>
    </row>
    <row r="319" spans="1:5" x14ac:dyDescent="0.3">
      <c r="A319" s="113" t="s">
        <v>767</v>
      </c>
      <c r="B319" s="113" t="s">
        <v>777</v>
      </c>
      <c r="C319" s="114">
        <v>0</v>
      </c>
      <c r="D319" s="114">
        <v>0</v>
      </c>
    </row>
    <row r="320" spans="1:5" x14ac:dyDescent="0.3">
      <c r="A320" s="113" t="s">
        <v>767</v>
      </c>
      <c r="B320" s="113" t="s">
        <v>778</v>
      </c>
      <c r="C320" s="114">
        <v>0</v>
      </c>
      <c r="D320" s="114">
        <v>0</v>
      </c>
    </row>
    <row r="321" spans="1:4" x14ac:dyDescent="0.3">
      <c r="A321" s="113" t="s">
        <v>767</v>
      </c>
      <c r="B321" s="113" t="s">
        <v>779</v>
      </c>
      <c r="C321" s="114">
        <v>0</v>
      </c>
      <c r="D321" s="114">
        <v>0</v>
      </c>
    </row>
    <row r="322" spans="1:4" x14ac:dyDescent="0.3">
      <c r="A322" s="113" t="s">
        <v>767</v>
      </c>
      <c r="B322" s="113" t="s">
        <v>780</v>
      </c>
      <c r="C322" s="114">
        <v>0</v>
      </c>
      <c r="D322" s="114">
        <v>0</v>
      </c>
    </row>
    <row r="323" spans="1:4" x14ac:dyDescent="0.3">
      <c r="A323" s="113" t="s">
        <v>767</v>
      </c>
      <c r="B323" s="113" t="s">
        <v>781</v>
      </c>
      <c r="C323" s="114">
        <v>0</v>
      </c>
      <c r="D323" s="114">
        <v>0</v>
      </c>
    </row>
    <row r="324" spans="1:4" x14ac:dyDescent="0.3">
      <c r="A324" s="113" t="s">
        <v>767</v>
      </c>
      <c r="B324" s="113" t="s">
        <v>782</v>
      </c>
      <c r="C324" s="114">
        <v>0</v>
      </c>
      <c r="D324" s="114">
        <v>0</v>
      </c>
    </row>
    <row r="325" spans="1:4" x14ac:dyDescent="0.3">
      <c r="A325" s="113" t="s">
        <v>767</v>
      </c>
      <c r="B325" s="113" t="s">
        <v>783</v>
      </c>
      <c r="C325" s="114">
        <v>0</v>
      </c>
      <c r="D325" s="114">
        <v>0</v>
      </c>
    </row>
    <row r="326" spans="1:4" x14ac:dyDescent="0.3">
      <c r="A326" s="113" t="s">
        <v>767</v>
      </c>
      <c r="B326" s="113" t="s">
        <v>784</v>
      </c>
      <c r="C326" s="114">
        <v>0</v>
      </c>
      <c r="D326" s="114">
        <v>0</v>
      </c>
    </row>
    <row r="327" spans="1:4" x14ac:dyDescent="0.3">
      <c r="A327" s="113" t="s">
        <v>767</v>
      </c>
      <c r="B327" s="113" t="s">
        <v>785</v>
      </c>
      <c r="C327" s="114">
        <v>0</v>
      </c>
      <c r="D327" s="114">
        <v>0</v>
      </c>
    </row>
    <row r="328" spans="1:4" x14ac:dyDescent="0.3">
      <c r="A328" s="113" t="s">
        <v>767</v>
      </c>
      <c r="B328" s="113" t="s">
        <v>786</v>
      </c>
      <c r="C328" s="114">
        <v>0</v>
      </c>
      <c r="D328" s="114">
        <v>0</v>
      </c>
    </row>
    <row r="329" spans="1:4" x14ac:dyDescent="0.3">
      <c r="A329" s="113" t="s">
        <v>767</v>
      </c>
      <c r="B329" s="113" t="s">
        <v>787</v>
      </c>
      <c r="C329" s="114">
        <v>0</v>
      </c>
      <c r="D329" s="114">
        <v>0</v>
      </c>
    </row>
    <row r="330" spans="1:4" x14ac:dyDescent="0.3">
      <c r="A330" s="113" t="s">
        <v>767</v>
      </c>
      <c r="B330" s="113" t="s">
        <v>788</v>
      </c>
      <c r="C330" s="114">
        <v>0</v>
      </c>
      <c r="D330" s="114">
        <v>0</v>
      </c>
    </row>
    <row r="331" spans="1:4" x14ac:dyDescent="0.3">
      <c r="A331" s="113" t="s">
        <v>767</v>
      </c>
      <c r="B331" s="113" t="s">
        <v>789</v>
      </c>
      <c r="C331" s="114">
        <v>0</v>
      </c>
      <c r="D331" s="114">
        <v>0</v>
      </c>
    </row>
    <row r="332" spans="1:4" x14ac:dyDescent="0.3">
      <c r="A332" s="113" t="s">
        <v>767</v>
      </c>
      <c r="B332" s="113" t="s">
        <v>790</v>
      </c>
      <c r="C332" s="114">
        <v>0</v>
      </c>
      <c r="D332" s="114">
        <v>0</v>
      </c>
    </row>
    <row r="333" spans="1:4" x14ac:dyDescent="0.3">
      <c r="A333" s="113" t="s">
        <v>767</v>
      </c>
      <c r="B333" s="113" t="s">
        <v>791</v>
      </c>
      <c r="C333" s="114">
        <v>0</v>
      </c>
      <c r="D333" s="114">
        <v>0</v>
      </c>
    </row>
    <row r="334" spans="1:4" x14ac:dyDescent="0.3">
      <c r="A334" s="113" t="s">
        <v>767</v>
      </c>
      <c r="B334" s="113" t="s">
        <v>792</v>
      </c>
      <c r="C334" s="114">
        <v>0</v>
      </c>
      <c r="D334" s="114">
        <v>0</v>
      </c>
    </row>
    <row r="335" spans="1:4" x14ac:dyDescent="0.3">
      <c r="A335" s="113" t="s">
        <v>767</v>
      </c>
      <c r="B335" s="113" t="s">
        <v>793</v>
      </c>
      <c r="C335" s="114">
        <v>0</v>
      </c>
      <c r="D335" s="114">
        <v>0</v>
      </c>
    </row>
    <row r="336" spans="1:4" x14ac:dyDescent="0.3">
      <c r="A336" s="113" t="s">
        <v>767</v>
      </c>
      <c r="B336" s="113" t="s">
        <v>794</v>
      </c>
      <c r="C336" s="114">
        <v>0</v>
      </c>
      <c r="D336" s="114">
        <v>0</v>
      </c>
    </row>
    <row r="337" spans="1:4" x14ac:dyDescent="0.3">
      <c r="A337" s="113" t="s">
        <v>767</v>
      </c>
      <c r="B337" s="113" t="s">
        <v>795</v>
      </c>
      <c r="C337" s="114">
        <v>0</v>
      </c>
      <c r="D337" s="114">
        <v>0</v>
      </c>
    </row>
    <row r="338" spans="1:4" x14ac:dyDescent="0.3">
      <c r="A338" s="113" t="s">
        <v>767</v>
      </c>
      <c r="B338" s="113" t="s">
        <v>796</v>
      </c>
      <c r="C338" s="114">
        <v>0</v>
      </c>
      <c r="D338" s="114">
        <v>0</v>
      </c>
    </row>
    <row r="339" spans="1:4" x14ac:dyDescent="0.3">
      <c r="A339" s="113" t="s">
        <v>767</v>
      </c>
      <c r="B339" s="113" t="s">
        <v>797</v>
      </c>
      <c r="C339" s="114">
        <v>0</v>
      </c>
      <c r="D339" s="114">
        <v>0</v>
      </c>
    </row>
    <row r="340" spans="1:4" x14ac:dyDescent="0.3">
      <c r="A340" s="113" t="s">
        <v>767</v>
      </c>
      <c r="B340" s="113" t="s">
        <v>798</v>
      </c>
      <c r="C340" s="114">
        <v>0</v>
      </c>
      <c r="D340" s="114">
        <v>0</v>
      </c>
    </row>
    <row r="341" spans="1:4" x14ac:dyDescent="0.3">
      <c r="A341" s="113" t="s">
        <v>767</v>
      </c>
      <c r="B341" s="113" t="s">
        <v>799</v>
      </c>
      <c r="C341" s="114">
        <v>0</v>
      </c>
      <c r="D341" s="114">
        <v>0</v>
      </c>
    </row>
    <row r="342" spans="1:4" x14ac:dyDescent="0.3">
      <c r="A342" s="113" t="s">
        <v>767</v>
      </c>
      <c r="B342" s="113" t="s">
        <v>800</v>
      </c>
      <c r="C342" s="114">
        <v>0</v>
      </c>
      <c r="D342" s="114">
        <v>0</v>
      </c>
    </row>
    <row r="343" spans="1:4" x14ac:dyDescent="0.3">
      <c r="A343" s="113" t="s">
        <v>767</v>
      </c>
      <c r="B343" s="113" t="s">
        <v>801</v>
      </c>
      <c r="C343" s="114">
        <v>0</v>
      </c>
      <c r="D343" s="114">
        <v>0</v>
      </c>
    </row>
    <row r="344" spans="1:4" x14ac:dyDescent="0.3">
      <c r="A344" s="113" t="s">
        <v>767</v>
      </c>
      <c r="B344" s="113" t="s">
        <v>802</v>
      </c>
      <c r="C344" s="114">
        <v>0</v>
      </c>
      <c r="D344" s="114">
        <v>0</v>
      </c>
    </row>
    <row r="345" spans="1:4" x14ac:dyDescent="0.3">
      <c r="A345" s="113" t="s">
        <v>767</v>
      </c>
      <c r="B345" s="113" t="s">
        <v>803</v>
      </c>
      <c r="C345" s="114">
        <v>0</v>
      </c>
      <c r="D345" s="114">
        <v>0</v>
      </c>
    </row>
    <row r="346" spans="1:4" x14ac:dyDescent="0.3">
      <c r="A346" s="113" t="s">
        <v>767</v>
      </c>
      <c r="B346" s="113" t="s">
        <v>804</v>
      </c>
      <c r="C346" s="114">
        <v>0</v>
      </c>
      <c r="D346" s="114">
        <v>0</v>
      </c>
    </row>
    <row r="347" spans="1:4" x14ac:dyDescent="0.3">
      <c r="A347" s="113" t="s">
        <v>767</v>
      </c>
      <c r="B347" s="113" t="s">
        <v>805</v>
      </c>
      <c r="C347" s="114">
        <v>0</v>
      </c>
      <c r="D347" s="114">
        <v>0</v>
      </c>
    </row>
    <row r="348" spans="1:4" x14ac:dyDescent="0.3">
      <c r="A348" s="113" t="s">
        <v>767</v>
      </c>
      <c r="B348" s="113" t="s">
        <v>806</v>
      </c>
      <c r="C348" s="114">
        <v>0</v>
      </c>
      <c r="D348" s="114">
        <v>0</v>
      </c>
    </row>
    <row r="349" spans="1:4" x14ac:dyDescent="0.3">
      <c r="A349" s="113" t="s">
        <v>767</v>
      </c>
      <c r="B349" s="113" t="s">
        <v>807</v>
      </c>
      <c r="C349" s="114">
        <v>0</v>
      </c>
      <c r="D349" s="114">
        <v>0</v>
      </c>
    </row>
    <row r="350" spans="1:4" x14ac:dyDescent="0.3">
      <c r="A350" s="113" t="s">
        <v>767</v>
      </c>
      <c r="B350" s="113" t="s">
        <v>808</v>
      </c>
      <c r="C350" s="114">
        <v>0</v>
      </c>
      <c r="D350" s="114">
        <v>0</v>
      </c>
    </row>
    <row r="351" spans="1:4" x14ac:dyDescent="0.3">
      <c r="A351" s="113" t="s">
        <v>767</v>
      </c>
      <c r="B351" s="113" t="s">
        <v>809</v>
      </c>
      <c r="C351" s="114">
        <v>0</v>
      </c>
      <c r="D351" s="114">
        <v>0</v>
      </c>
    </row>
    <row r="352" spans="1:4" x14ac:dyDescent="0.3">
      <c r="A352" s="113" t="s">
        <v>767</v>
      </c>
      <c r="B352" s="113" t="s">
        <v>810</v>
      </c>
      <c r="C352" s="114">
        <v>0</v>
      </c>
      <c r="D352" s="114">
        <v>0</v>
      </c>
    </row>
    <row r="353" spans="1:4" x14ac:dyDescent="0.3">
      <c r="A353" s="113" t="s">
        <v>767</v>
      </c>
      <c r="B353" s="113" t="s">
        <v>811</v>
      </c>
      <c r="C353" s="114">
        <v>0</v>
      </c>
      <c r="D353" s="114">
        <v>0</v>
      </c>
    </row>
    <row r="354" spans="1:4" x14ac:dyDescent="0.3">
      <c r="A354" s="113" t="s">
        <v>767</v>
      </c>
      <c r="B354" s="113" t="s">
        <v>812</v>
      </c>
      <c r="C354" s="114">
        <v>0</v>
      </c>
      <c r="D354" s="114">
        <v>0</v>
      </c>
    </row>
    <row r="355" spans="1:4" x14ac:dyDescent="0.3">
      <c r="A355" s="113" t="s">
        <v>767</v>
      </c>
      <c r="B355" s="113" t="s">
        <v>813</v>
      </c>
      <c r="C355" s="114">
        <v>0</v>
      </c>
      <c r="D355" s="114">
        <v>0</v>
      </c>
    </row>
    <row r="356" spans="1:4" x14ac:dyDescent="0.3">
      <c r="A356" s="113" t="s">
        <v>767</v>
      </c>
      <c r="B356" s="113" t="s">
        <v>814</v>
      </c>
      <c r="C356" s="114">
        <v>0</v>
      </c>
      <c r="D356" s="114">
        <v>0</v>
      </c>
    </row>
    <row r="357" spans="1:4" x14ac:dyDescent="0.3">
      <c r="A357" s="113" t="s">
        <v>767</v>
      </c>
      <c r="B357" s="113" t="s">
        <v>815</v>
      </c>
      <c r="C357" s="114">
        <v>0</v>
      </c>
      <c r="D357" s="114">
        <v>0</v>
      </c>
    </row>
    <row r="358" spans="1:4" x14ac:dyDescent="0.3">
      <c r="A358" s="113" t="s">
        <v>767</v>
      </c>
      <c r="B358" s="113" t="s">
        <v>816</v>
      </c>
      <c r="C358" s="114">
        <v>0</v>
      </c>
      <c r="D358" s="114">
        <v>0</v>
      </c>
    </row>
    <row r="359" spans="1:4" x14ac:dyDescent="0.3">
      <c r="A359" s="113" t="s">
        <v>767</v>
      </c>
      <c r="B359" s="113" t="s">
        <v>817</v>
      </c>
      <c r="C359" s="114">
        <v>0</v>
      </c>
      <c r="D359" s="114">
        <v>0</v>
      </c>
    </row>
    <row r="360" spans="1:4" x14ac:dyDescent="0.3">
      <c r="A360" s="113" t="s">
        <v>767</v>
      </c>
      <c r="B360" s="113" t="s">
        <v>818</v>
      </c>
      <c r="C360" s="114">
        <v>0</v>
      </c>
      <c r="D360" s="114">
        <v>0</v>
      </c>
    </row>
    <row r="361" spans="1:4" x14ac:dyDescent="0.3">
      <c r="A361" s="113" t="s">
        <v>767</v>
      </c>
      <c r="B361" s="113" t="s">
        <v>819</v>
      </c>
      <c r="C361" s="114">
        <v>0</v>
      </c>
      <c r="D361" s="114">
        <v>0</v>
      </c>
    </row>
    <row r="362" spans="1:4" x14ac:dyDescent="0.3">
      <c r="A362" s="113" t="s">
        <v>767</v>
      </c>
      <c r="B362" s="113" t="s">
        <v>820</v>
      </c>
      <c r="C362" s="114">
        <v>0</v>
      </c>
      <c r="D362" s="114">
        <v>0</v>
      </c>
    </row>
    <row r="363" spans="1:4" x14ac:dyDescent="0.3">
      <c r="A363" s="113" t="s">
        <v>767</v>
      </c>
      <c r="B363" s="113" t="s">
        <v>821</v>
      </c>
      <c r="C363" s="114">
        <v>0</v>
      </c>
      <c r="D363" s="114">
        <v>0</v>
      </c>
    </row>
    <row r="364" spans="1:4" x14ac:dyDescent="0.3">
      <c r="A364" s="113" t="s">
        <v>767</v>
      </c>
      <c r="B364" s="113" t="s">
        <v>822</v>
      </c>
      <c r="C364" s="114">
        <v>0</v>
      </c>
      <c r="D364" s="114">
        <v>0</v>
      </c>
    </row>
    <row r="365" spans="1:4" x14ac:dyDescent="0.3">
      <c r="A365" s="113" t="s">
        <v>767</v>
      </c>
      <c r="B365" s="113" t="s">
        <v>823</v>
      </c>
      <c r="C365" s="114">
        <v>0</v>
      </c>
      <c r="D365" s="114">
        <v>0</v>
      </c>
    </row>
    <row r="366" spans="1:4" x14ac:dyDescent="0.3">
      <c r="A366" s="113" t="s">
        <v>767</v>
      </c>
      <c r="B366" s="113" t="s">
        <v>824</v>
      </c>
      <c r="C366" s="114">
        <v>0</v>
      </c>
      <c r="D366" s="114">
        <v>0</v>
      </c>
    </row>
    <row r="367" spans="1:4" x14ac:dyDescent="0.3">
      <c r="A367" s="113" t="s">
        <v>767</v>
      </c>
      <c r="B367" s="113" t="s">
        <v>825</v>
      </c>
      <c r="C367" s="114">
        <v>0</v>
      </c>
      <c r="D367" s="114">
        <v>0</v>
      </c>
    </row>
    <row r="368" spans="1:4" x14ac:dyDescent="0.3">
      <c r="A368" s="113" t="s">
        <v>767</v>
      </c>
      <c r="B368" s="113" t="s">
        <v>826</v>
      </c>
      <c r="C368" s="114">
        <v>0</v>
      </c>
      <c r="D368" s="114">
        <v>0</v>
      </c>
    </row>
    <row r="369" spans="1:4" x14ac:dyDescent="0.3">
      <c r="A369" s="113" t="s">
        <v>767</v>
      </c>
      <c r="B369" s="113" t="s">
        <v>827</v>
      </c>
      <c r="C369" s="114">
        <v>0</v>
      </c>
      <c r="D369" s="114">
        <v>0</v>
      </c>
    </row>
    <row r="370" spans="1:4" x14ac:dyDescent="0.3">
      <c r="A370" s="113" t="s">
        <v>767</v>
      </c>
      <c r="B370" s="113" t="s">
        <v>828</v>
      </c>
      <c r="C370" s="114">
        <v>0</v>
      </c>
      <c r="D370" s="114">
        <v>0</v>
      </c>
    </row>
    <row r="371" spans="1:4" x14ac:dyDescent="0.3">
      <c r="A371" s="113" t="s">
        <v>767</v>
      </c>
      <c r="B371" s="113" t="s">
        <v>829</v>
      </c>
      <c r="C371" s="114">
        <v>0</v>
      </c>
      <c r="D371" s="114">
        <v>0</v>
      </c>
    </row>
    <row r="372" spans="1:4" x14ac:dyDescent="0.3">
      <c r="A372" s="113" t="s">
        <v>767</v>
      </c>
      <c r="B372" s="113" t="s">
        <v>830</v>
      </c>
      <c r="C372" s="114">
        <v>0</v>
      </c>
      <c r="D372" s="114">
        <v>0</v>
      </c>
    </row>
    <row r="373" spans="1:4" x14ac:dyDescent="0.3">
      <c r="A373" s="113" t="s">
        <v>767</v>
      </c>
      <c r="B373" s="113" t="s">
        <v>831</v>
      </c>
      <c r="C373" s="114">
        <v>0</v>
      </c>
      <c r="D373" s="114">
        <v>0</v>
      </c>
    </row>
    <row r="374" spans="1:4" x14ac:dyDescent="0.3">
      <c r="A374" s="113" t="s">
        <v>767</v>
      </c>
      <c r="B374" s="113" t="s">
        <v>832</v>
      </c>
      <c r="C374" s="114">
        <v>0</v>
      </c>
      <c r="D374" s="114">
        <v>0</v>
      </c>
    </row>
    <row r="375" spans="1:4" x14ac:dyDescent="0.3">
      <c r="A375" s="113" t="s">
        <v>767</v>
      </c>
      <c r="B375" s="113" t="s">
        <v>833</v>
      </c>
      <c r="C375" s="114">
        <v>0</v>
      </c>
      <c r="D375" s="114">
        <v>0</v>
      </c>
    </row>
    <row r="376" spans="1:4" x14ac:dyDescent="0.3">
      <c r="A376" s="113" t="s">
        <v>767</v>
      </c>
      <c r="B376" s="113" t="s">
        <v>834</v>
      </c>
      <c r="C376" s="114">
        <v>0</v>
      </c>
      <c r="D376" s="114">
        <v>0</v>
      </c>
    </row>
    <row r="377" spans="1:4" x14ac:dyDescent="0.3">
      <c r="A377" s="113" t="s">
        <v>767</v>
      </c>
      <c r="B377" s="113" t="s">
        <v>835</v>
      </c>
      <c r="C377" s="114">
        <v>0</v>
      </c>
      <c r="D377" s="114">
        <v>0</v>
      </c>
    </row>
    <row r="378" spans="1:4" x14ac:dyDescent="0.3">
      <c r="A378" s="113" t="s">
        <v>767</v>
      </c>
      <c r="B378" s="113" t="s">
        <v>836</v>
      </c>
      <c r="C378" s="114">
        <v>0</v>
      </c>
      <c r="D378" s="114">
        <v>0</v>
      </c>
    </row>
    <row r="379" spans="1:4" x14ac:dyDescent="0.3">
      <c r="A379" s="113" t="s">
        <v>767</v>
      </c>
      <c r="B379" s="113" t="s">
        <v>837</v>
      </c>
      <c r="C379" s="114">
        <v>0</v>
      </c>
      <c r="D379" s="114">
        <v>0</v>
      </c>
    </row>
    <row r="380" spans="1:4" x14ac:dyDescent="0.3">
      <c r="A380" s="113" t="s">
        <v>767</v>
      </c>
      <c r="B380" s="113" t="s">
        <v>838</v>
      </c>
      <c r="C380" s="114">
        <v>0</v>
      </c>
      <c r="D380" s="114">
        <v>0</v>
      </c>
    </row>
    <row r="381" spans="1:4" x14ac:dyDescent="0.3">
      <c r="A381" s="113" t="s">
        <v>767</v>
      </c>
      <c r="B381" s="113" t="s">
        <v>839</v>
      </c>
      <c r="C381" s="114">
        <v>0</v>
      </c>
      <c r="D381" s="114">
        <v>0</v>
      </c>
    </row>
    <row r="382" spans="1:4" x14ac:dyDescent="0.3">
      <c r="A382" s="113" t="s">
        <v>767</v>
      </c>
      <c r="B382" s="113" t="s">
        <v>840</v>
      </c>
      <c r="C382" s="114">
        <v>0</v>
      </c>
      <c r="D382" s="114">
        <v>0</v>
      </c>
    </row>
    <row r="383" spans="1:4" x14ac:dyDescent="0.3">
      <c r="A383" s="113" t="s">
        <v>767</v>
      </c>
      <c r="B383" s="113" t="s">
        <v>841</v>
      </c>
      <c r="C383" s="114">
        <v>0</v>
      </c>
      <c r="D383" s="114">
        <v>0</v>
      </c>
    </row>
    <row r="384" spans="1:4" x14ac:dyDescent="0.3">
      <c r="A384" s="113" t="s">
        <v>767</v>
      </c>
      <c r="B384" s="113" t="s">
        <v>842</v>
      </c>
      <c r="C384" s="114">
        <v>0</v>
      </c>
      <c r="D384" s="114">
        <v>0</v>
      </c>
    </row>
    <row r="385" spans="1:4" x14ac:dyDescent="0.3">
      <c r="A385" s="113" t="s">
        <v>767</v>
      </c>
      <c r="B385" s="113" t="s">
        <v>843</v>
      </c>
      <c r="C385" s="114">
        <v>0</v>
      </c>
      <c r="D385" s="114">
        <v>0</v>
      </c>
    </row>
    <row r="386" spans="1:4" x14ac:dyDescent="0.3">
      <c r="A386" s="113" t="s">
        <v>767</v>
      </c>
      <c r="B386" s="113" t="s">
        <v>844</v>
      </c>
      <c r="C386" s="114">
        <v>0</v>
      </c>
      <c r="D386" s="114">
        <v>0</v>
      </c>
    </row>
    <row r="387" spans="1:4" x14ac:dyDescent="0.3">
      <c r="A387" s="113" t="s">
        <v>767</v>
      </c>
      <c r="B387" s="113" t="s">
        <v>845</v>
      </c>
      <c r="C387" s="114">
        <v>0</v>
      </c>
      <c r="D387" s="114">
        <v>0</v>
      </c>
    </row>
    <row r="388" spans="1:4" x14ac:dyDescent="0.3">
      <c r="A388" s="113" t="s">
        <v>767</v>
      </c>
      <c r="B388" s="113" t="s">
        <v>846</v>
      </c>
      <c r="C388" s="114">
        <v>0</v>
      </c>
      <c r="D388" s="114">
        <v>0</v>
      </c>
    </row>
    <row r="389" spans="1:4" x14ac:dyDescent="0.3">
      <c r="A389" s="113" t="s">
        <v>767</v>
      </c>
      <c r="B389" s="113" t="s">
        <v>847</v>
      </c>
      <c r="C389" s="114">
        <v>0</v>
      </c>
      <c r="D389" s="114">
        <v>0</v>
      </c>
    </row>
    <row r="390" spans="1:4" x14ac:dyDescent="0.3">
      <c r="A390" s="113" t="s">
        <v>767</v>
      </c>
      <c r="B390" s="113" t="s">
        <v>848</v>
      </c>
      <c r="C390" s="114">
        <v>0</v>
      </c>
      <c r="D390" s="114">
        <v>0</v>
      </c>
    </row>
    <row r="391" spans="1:4" x14ac:dyDescent="0.3">
      <c r="A391" s="113" t="s">
        <v>767</v>
      </c>
      <c r="B391" s="113" t="s">
        <v>849</v>
      </c>
      <c r="C391" s="114">
        <v>0</v>
      </c>
      <c r="D391" s="114">
        <v>0</v>
      </c>
    </row>
    <row r="392" spans="1:4" x14ac:dyDescent="0.3">
      <c r="A392" s="113" t="s">
        <v>767</v>
      </c>
      <c r="B392" s="113" t="s">
        <v>850</v>
      </c>
      <c r="C392" s="114">
        <v>0</v>
      </c>
      <c r="D392" s="114">
        <v>0</v>
      </c>
    </row>
    <row r="393" spans="1:4" x14ac:dyDescent="0.3">
      <c r="A393" s="113" t="s">
        <v>767</v>
      </c>
      <c r="B393" s="113" t="s">
        <v>851</v>
      </c>
      <c r="C393" s="114">
        <v>0</v>
      </c>
      <c r="D393" s="114">
        <v>0</v>
      </c>
    </row>
    <row r="394" spans="1:4" x14ac:dyDescent="0.3">
      <c r="A394" s="113" t="s">
        <v>767</v>
      </c>
      <c r="B394" s="113" t="s">
        <v>852</v>
      </c>
      <c r="C394" s="114">
        <v>0</v>
      </c>
      <c r="D394" s="114">
        <v>0</v>
      </c>
    </row>
    <row r="395" spans="1:4" x14ac:dyDescent="0.3">
      <c r="A395" s="113" t="s">
        <v>767</v>
      </c>
      <c r="B395" s="113" t="s">
        <v>853</v>
      </c>
      <c r="C395" s="114">
        <v>0</v>
      </c>
      <c r="D395" s="114">
        <v>0</v>
      </c>
    </row>
    <row r="396" spans="1:4" x14ac:dyDescent="0.3">
      <c r="A396" s="113" t="s">
        <v>767</v>
      </c>
      <c r="B396" s="113" t="s">
        <v>854</v>
      </c>
      <c r="C396" s="114">
        <v>0</v>
      </c>
      <c r="D396" s="114">
        <v>0</v>
      </c>
    </row>
    <row r="397" spans="1:4" x14ac:dyDescent="0.3">
      <c r="A397" s="113" t="s">
        <v>767</v>
      </c>
      <c r="B397" s="113" t="s">
        <v>855</v>
      </c>
      <c r="C397" s="114">
        <v>0</v>
      </c>
      <c r="D397" s="114">
        <v>0</v>
      </c>
    </row>
    <row r="398" spans="1:4" x14ac:dyDescent="0.3">
      <c r="A398" s="113" t="s">
        <v>767</v>
      </c>
      <c r="B398" s="113" t="s">
        <v>856</v>
      </c>
      <c r="C398" s="114">
        <v>0</v>
      </c>
      <c r="D398" s="114">
        <v>0</v>
      </c>
    </row>
    <row r="399" spans="1:4" x14ac:dyDescent="0.3">
      <c r="A399" s="113" t="s">
        <v>767</v>
      </c>
      <c r="B399" s="113" t="s">
        <v>857</v>
      </c>
      <c r="C399" s="114">
        <v>0</v>
      </c>
      <c r="D399" s="114">
        <v>0</v>
      </c>
    </row>
    <row r="400" spans="1:4" x14ac:dyDescent="0.3">
      <c r="A400" s="113" t="s">
        <v>767</v>
      </c>
      <c r="B400" s="113" t="s">
        <v>858</v>
      </c>
      <c r="C400" s="114">
        <v>0</v>
      </c>
      <c r="D400" s="114">
        <v>0</v>
      </c>
    </row>
    <row r="401" spans="1:4" x14ac:dyDescent="0.3">
      <c r="A401" s="113" t="s">
        <v>767</v>
      </c>
      <c r="B401" s="113" t="s">
        <v>859</v>
      </c>
      <c r="C401" s="114">
        <v>0</v>
      </c>
      <c r="D401" s="114">
        <v>0</v>
      </c>
    </row>
    <row r="402" spans="1:4" x14ac:dyDescent="0.3">
      <c r="A402" s="113" t="s">
        <v>767</v>
      </c>
      <c r="B402" s="113" t="s">
        <v>860</v>
      </c>
      <c r="C402" s="114">
        <v>0</v>
      </c>
      <c r="D402" s="114">
        <v>0</v>
      </c>
    </row>
    <row r="403" spans="1:4" x14ac:dyDescent="0.3">
      <c r="A403" s="113" t="s">
        <v>767</v>
      </c>
      <c r="B403" s="113" t="s">
        <v>861</v>
      </c>
      <c r="C403" s="114">
        <v>0</v>
      </c>
      <c r="D403" s="114">
        <v>0</v>
      </c>
    </row>
    <row r="404" spans="1:4" x14ac:dyDescent="0.3">
      <c r="A404" s="113" t="s">
        <v>767</v>
      </c>
      <c r="B404" s="113" t="s">
        <v>862</v>
      </c>
      <c r="C404" s="114">
        <v>0</v>
      </c>
      <c r="D404" s="114">
        <v>0</v>
      </c>
    </row>
    <row r="405" spans="1:4" x14ac:dyDescent="0.3">
      <c r="A405" s="113" t="s">
        <v>767</v>
      </c>
      <c r="B405" s="113" t="s">
        <v>863</v>
      </c>
      <c r="C405" s="114">
        <v>0</v>
      </c>
      <c r="D405" s="114">
        <v>0</v>
      </c>
    </row>
    <row r="406" spans="1:4" x14ac:dyDescent="0.3">
      <c r="A406" s="113" t="s">
        <v>767</v>
      </c>
      <c r="B406" s="113" t="s">
        <v>864</v>
      </c>
      <c r="C406" s="114">
        <v>0</v>
      </c>
      <c r="D406" s="114">
        <v>0</v>
      </c>
    </row>
    <row r="407" spans="1:4" x14ac:dyDescent="0.3">
      <c r="A407" s="113" t="s">
        <v>767</v>
      </c>
      <c r="B407" s="113" t="s">
        <v>865</v>
      </c>
      <c r="C407" s="114">
        <v>0</v>
      </c>
      <c r="D407" s="114">
        <v>0</v>
      </c>
    </row>
    <row r="408" spans="1:4" x14ac:dyDescent="0.3">
      <c r="A408" s="113" t="s">
        <v>767</v>
      </c>
      <c r="B408" s="113" t="s">
        <v>866</v>
      </c>
      <c r="C408" s="114">
        <v>0</v>
      </c>
      <c r="D408" s="114">
        <v>0</v>
      </c>
    </row>
    <row r="409" spans="1:4" x14ac:dyDescent="0.3">
      <c r="A409" s="113" t="s">
        <v>767</v>
      </c>
      <c r="B409" s="113" t="s">
        <v>867</v>
      </c>
      <c r="C409" s="114">
        <v>0</v>
      </c>
      <c r="D409" s="114">
        <v>0</v>
      </c>
    </row>
    <row r="410" spans="1:4" x14ac:dyDescent="0.3">
      <c r="A410" s="113" t="s">
        <v>767</v>
      </c>
      <c r="B410" s="113" t="s">
        <v>868</v>
      </c>
      <c r="C410" s="114">
        <v>0</v>
      </c>
      <c r="D410" s="114">
        <v>0</v>
      </c>
    </row>
    <row r="411" spans="1:4" x14ac:dyDescent="0.3">
      <c r="A411" s="113" t="s">
        <v>767</v>
      </c>
      <c r="B411" s="113" t="s">
        <v>869</v>
      </c>
      <c r="C411" s="114">
        <v>0</v>
      </c>
      <c r="D411" s="114">
        <v>0</v>
      </c>
    </row>
    <row r="412" spans="1:4" x14ac:dyDescent="0.3">
      <c r="A412" s="113" t="s">
        <v>767</v>
      </c>
      <c r="B412" s="113" t="s">
        <v>870</v>
      </c>
      <c r="C412" s="114">
        <v>0</v>
      </c>
      <c r="D412" s="114">
        <v>0</v>
      </c>
    </row>
    <row r="413" spans="1:4" x14ac:dyDescent="0.3">
      <c r="A413" s="113" t="s">
        <v>767</v>
      </c>
      <c r="B413" s="113" t="s">
        <v>871</v>
      </c>
      <c r="C413" s="114">
        <v>0</v>
      </c>
      <c r="D413" s="114">
        <v>0</v>
      </c>
    </row>
    <row r="414" spans="1:4" x14ac:dyDescent="0.3">
      <c r="A414" s="113" t="s">
        <v>767</v>
      </c>
      <c r="B414" s="113" t="s">
        <v>872</v>
      </c>
      <c r="C414" s="114">
        <v>0</v>
      </c>
      <c r="D414" s="114">
        <v>0</v>
      </c>
    </row>
    <row r="415" spans="1:4" x14ac:dyDescent="0.3">
      <c r="A415" s="113" t="s">
        <v>767</v>
      </c>
      <c r="B415" s="113" t="s">
        <v>873</v>
      </c>
      <c r="C415" s="114">
        <v>0</v>
      </c>
      <c r="D415" s="114">
        <v>0</v>
      </c>
    </row>
    <row r="416" spans="1:4" x14ac:dyDescent="0.3">
      <c r="A416" s="113" t="s">
        <v>767</v>
      </c>
      <c r="B416" s="113" t="s">
        <v>874</v>
      </c>
      <c r="C416" s="114">
        <v>0</v>
      </c>
      <c r="D416" s="114">
        <v>0</v>
      </c>
    </row>
    <row r="417" spans="1:4" x14ac:dyDescent="0.3">
      <c r="A417" s="113" t="s">
        <v>767</v>
      </c>
      <c r="B417" s="113" t="s">
        <v>875</v>
      </c>
      <c r="C417" s="114">
        <v>0</v>
      </c>
      <c r="D417" s="114">
        <v>0</v>
      </c>
    </row>
    <row r="418" spans="1:4" x14ac:dyDescent="0.3">
      <c r="A418" s="113" t="s">
        <v>767</v>
      </c>
      <c r="B418" s="113" t="s">
        <v>876</v>
      </c>
      <c r="C418" s="114">
        <v>0</v>
      </c>
      <c r="D418" s="114">
        <v>0</v>
      </c>
    </row>
    <row r="419" spans="1:4" x14ac:dyDescent="0.3">
      <c r="A419" s="113" t="s">
        <v>767</v>
      </c>
      <c r="B419" s="113" t="s">
        <v>877</v>
      </c>
      <c r="C419" s="114">
        <v>0</v>
      </c>
      <c r="D419" s="114">
        <v>0</v>
      </c>
    </row>
    <row r="420" spans="1:4" x14ac:dyDescent="0.3">
      <c r="A420" s="113" t="s">
        <v>767</v>
      </c>
      <c r="B420" s="113" t="s">
        <v>878</v>
      </c>
      <c r="C420" s="114">
        <v>0</v>
      </c>
      <c r="D420" s="114">
        <v>0</v>
      </c>
    </row>
    <row r="421" spans="1:4" x14ac:dyDescent="0.3">
      <c r="A421" s="113" t="s">
        <v>767</v>
      </c>
      <c r="B421" s="113" t="s">
        <v>879</v>
      </c>
      <c r="C421" s="114">
        <v>0</v>
      </c>
      <c r="D421" s="114">
        <v>0</v>
      </c>
    </row>
    <row r="422" spans="1:4" x14ac:dyDescent="0.3">
      <c r="A422" s="113" t="s">
        <v>767</v>
      </c>
      <c r="B422" s="113" t="s">
        <v>880</v>
      </c>
      <c r="C422" s="114">
        <v>0</v>
      </c>
      <c r="D422" s="114">
        <v>0</v>
      </c>
    </row>
    <row r="423" spans="1:4" x14ac:dyDescent="0.3">
      <c r="A423" s="113" t="s">
        <v>767</v>
      </c>
      <c r="B423" s="113" t="s">
        <v>881</v>
      </c>
      <c r="C423" s="114">
        <v>0</v>
      </c>
      <c r="D423" s="114">
        <v>0</v>
      </c>
    </row>
    <row r="424" spans="1:4" x14ac:dyDescent="0.3">
      <c r="A424" s="113" t="s">
        <v>882</v>
      </c>
      <c r="B424" s="113" t="s">
        <v>883</v>
      </c>
      <c r="C424" s="114">
        <v>0</v>
      </c>
      <c r="D424" s="114">
        <v>0</v>
      </c>
    </row>
    <row r="425" spans="1:4" x14ac:dyDescent="0.3">
      <c r="A425" s="113" t="s">
        <v>882</v>
      </c>
      <c r="B425" s="113" t="s">
        <v>884</v>
      </c>
      <c r="C425" s="114">
        <v>0</v>
      </c>
      <c r="D425" s="114">
        <v>0</v>
      </c>
    </row>
    <row r="426" spans="1:4" x14ac:dyDescent="0.3">
      <c r="A426" s="113" t="s">
        <v>882</v>
      </c>
      <c r="B426" s="113" t="s">
        <v>885</v>
      </c>
      <c r="C426" s="114">
        <v>0</v>
      </c>
      <c r="D426" s="114">
        <v>0</v>
      </c>
    </row>
    <row r="427" spans="1:4" x14ac:dyDescent="0.3">
      <c r="A427" s="113" t="s">
        <v>882</v>
      </c>
      <c r="B427" s="113" t="s">
        <v>886</v>
      </c>
      <c r="C427" s="114">
        <v>0</v>
      </c>
      <c r="D427" s="114">
        <v>0</v>
      </c>
    </row>
    <row r="428" spans="1:4" x14ac:dyDescent="0.3">
      <c r="A428" s="113" t="s">
        <v>882</v>
      </c>
      <c r="B428" s="113" t="s">
        <v>887</v>
      </c>
      <c r="C428" s="114">
        <v>0</v>
      </c>
      <c r="D428" s="114">
        <v>0</v>
      </c>
    </row>
    <row r="429" spans="1:4" x14ac:dyDescent="0.3">
      <c r="A429" s="113" t="s">
        <v>882</v>
      </c>
      <c r="B429" s="113" t="s">
        <v>888</v>
      </c>
      <c r="C429" s="114">
        <v>0</v>
      </c>
      <c r="D429" s="114">
        <v>0</v>
      </c>
    </row>
    <row r="430" spans="1:4" x14ac:dyDescent="0.3">
      <c r="A430" s="113" t="s">
        <v>882</v>
      </c>
      <c r="B430" s="113" t="s">
        <v>889</v>
      </c>
      <c r="C430" s="114">
        <v>0</v>
      </c>
      <c r="D430" s="114">
        <v>0</v>
      </c>
    </row>
    <row r="431" spans="1:4" x14ac:dyDescent="0.3">
      <c r="A431" s="113" t="s">
        <v>882</v>
      </c>
      <c r="B431" s="113" t="s">
        <v>890</v>
      </c>
      <c r="C431" s="114">
        <v>0</v>
      </c>
      <c r="D431" s="114">
        <v>0</v>
      </c>
    </row>
    <row r="432" spans="1:4" x14ac:dyDescent="0.3">
      <c r="A432" s="113" t="s">
        <v>882</v>
      </c>
      <c r="B432" s="113" t="s">
        <v>891</v>
      </c>
      <c r="C432" s="114">
        <v>0</v>
      </c>
      <c r="D432" s="114">
        <v>0</v>
      </c>
    </row>
    <row r="433" spans="1:4" x14ac:dyDescent="0.3">
      <c r="A433" s="113" t="s">
        <v>882</v>
      </c>
      <c r="B433" s="113" t="s">
        <v>892</v>
      </c>
      <c r="C433" s="114">
        <v>0</v>
      </c>
      <c r="D433" s="114">
        <v>0</v>
      </c>
    </row>
    <row r="434" spans="1:4" x14ac:dyDescent="0.3">
      <c r="A434" s="113" t="s">
        <v>882</v>
      </c>
      <c r="B434" s="113" t="s">
        <v>893</v>
      </c>
      <c r="C434" s="114">
        <v>0</v>
      </c>
      <c r="D434" s="114">
        <v>0</v>
      </c>
    </row>
    <row r="435" spans="1:4" x14ac:dyDescent="0.3">
      <c r="A435" s="113" t="s">
        <v>882</v>
      </c>
      <c r="B435" s="113" t="s">
        <v>894</v>
      </c>
      <c r="C435" s="114">
        <v>0</v>
      </c>
      <c r="D435" s="114">
        <v>0</v>
      </c>
    </row>
    <row r="436" spans="1:4" x14ac:dyDescent="0.3">
      <c r="A436" s="113" t="s">
        <v>882</v>
      </c>
      <c r="B436" s="113" t="s">
        <v>895</v>
      </c>
      <c r="C436" s="114">
        <v>0</v>
      </c>
      <c r="D436" s="114">
        <v>0</v>
      </c>
    </row>
    <row r="437" spans="1:4" x14ac:dyDescent="0.3">
      <c r="A437" s="113" t="s">
        <v>882</v>
      </c>
      <c r="B437" s="113" t="s">
        <v>896</v>
      </c>
      <c r="C437" s="114">
        <v>0</v>
      </c>
      <c r="D437" s="114">
        <v>0</v>
      </c>
    </row>
    <row r="438" spans="1:4" x14ac:dyDescent="0.3">
      <c r="A438" s="113" t="s">
        <v>882</v>
      </c>
      <c r="B438" s="113" t="s">
        <v>897</v>
      </c>
      <c r="C438" s="114">
        <v>0</v>
      </c>
      <c r="D438" s="114">
        <v>0</v>
      </c>
    </row>
    <row r="439" spans="1:4" x14ac:dyDescent="0.3">
      <c r="A439" s="113" t="s">
        <v>882</v>
      </c>
      <c r="B439" s="113" t="s">
        <v>898</v>
      </c>
      <c r="C439" s="114">
        <v>0</v>
      </c>
      <c r="D439" s="114">
        <v>0</v>
      </c>
    </row>
    <row r="440" spans="1:4" x14ac:dyDescent="0.3">
      <c r="A440" s="113" t="s">
        <v>882</v>
      </c>
      <c r="B440" s="113" t="s">
        <v>899</v>
      </c>
      <c r="C440" s="114">
        <v>0</v>
      </c>
      <c r="D440" s="114">
        <v>0</v>
      </c>
    </row>
    <row r="441" spans="1:4" x14ac:dyDescent="0.3">
      <c r="A441" s="113" t="s">
        <v>882</v>
      </c>
      <c r="B441" s="113" t="s">
        <v>900</v>
      </c>
      <c r="C441" s="114">
        <v>0</v>
      </c>
      <c r="D441" s="114">
        <v>0</v>
      </c>
    </row>
    <row r="442" spans="1:4" x14ac:dyDescent="0.3">
      <c r="A442" s="113" t="s">
        <v>882</v>
      </c>
      <c r="B442" s="113" t="s">
        <v>901</v>
      </c>
      <c r="C442" s="114">
        <v>0</v>
      </c>
      <c r="D442" s="114">
        <v>0</v>
      </c>
    </row>
    <row r="443" spans="1:4" x14ac:dyDescent="0.3">
      <c r="A443" s="113" t="s">
        <v>882</v>
      </c>
      <c r="B443" s="113" t="s">
        <v>902</v>
      </c>
      <c r="C443" s="114">
        <v>0</v>
      </c>
      <c r="D443" s="114">
        <v>0</v>
      </c>
    </row>
    <row r="444" spans="1:4" x14ac:dyDescent="0.3">
      <c r="A444" s="113" t="s">
        <v>882</v>
      </c>
      <c r="B444" s="113" t="s">
        <v>903</v>
      </c>
      <c r="C444" s="114">
        <v>0</v>
      </c>
      <c r="D444" s="114">
        <v>0</v>
      </c>
    </row>
    <row r="445" spans="1:4" x14ac:dyDescent="0.3">
      <c r="A445" s="113" t="s">
        <v>882</v>
      </c>
      <c r="B445" s="113" t="s">
        <v>904</v>
      </c>
      <c r="C445" s="114">
        <v>0</v>
      </c>
      <c r="D445" s="114">
        <v>0</v>
      </c>
    </row>
    <row r="446" spans="1:4" x14ac:dyDescent="0.3">
      <c r="A446" s="113" t="s">
        <v>905</v>
      </c>
      <c r="B446" s="113" t="s">
        <v>906</v>
      </c>
      <c r="C446" s="114">
        <v>0</v>
      </c>
      <c r="D446" s="114">
        <v>0</v>
      </c>
    </row>
    <row r="447" spans="1:4" x14ac:dyDescent="0.3">
      <c r="A447" s="113" t="s">
        <v>905</v>
      </c>
      <c r="B447" s="113" t="s">
        <v>907</v>
      </c>
      <c r="C447" s="114">
        <v>0</v>
      </c>
      <c r="D447" s="114">
        <v>0</v>
      </c>
    </row>
    <row r="448" spans="1:4" x14ac:dyDescent="0.3">
      <c r="A448" s="113" t="s">
        <v>905</v>
      </c>
      <c r="B448" s="113" t="s">
        <v>908</v>
      </c>
      <c r="C448" s="114">
        <v>0</v>
      </c>
      <c r="D448" s="114">
        <v>0</v>
      </c>
    </row>
    <row r="449" spans="1:4" x14ac:dyDescent="0.3">
      <c r="A449" s="113" t="s">
        <v>905</v>
      </c>
      <c r="B449" s="113" t="s">
        <v>909</v>
      </c>
      <c r="C449" s="114">
        <v>0</v>
      </c>
      <c r="D449" s="114">
        <v>0</v>
      </c>
    </row>
    <row r="450" spans="1:4" x14ac:dyDescent="0.3">
      <c r="A450" s="113" t="s">
        <v>905</v>
      </c>
      <c r="B450" s="113" t="s">
        <v>910</v>
      </c>
      <c r="C450" s="114">
        <v>0</v>
      </c>
      <c r="D450" s="114">
        <v>0</v>
      </c>
    </row>
    <row r="451" spans="1:4" x14ac:dyDescent="0.3">
      <c r="A451" s="113" t="s">
        <v>905</v>
      </c>
      <c r="B451" s="113" t="s">
        <v>911</v>
      </c>
      <c r="C451" s="114">
        <v>0</v>
      </c>
      <c r="D451" s="114">
        <v>0</v>
      </c>
    </row>
    <row r="452" spans="1:4" x14ac:dyDescent="0.3">
      <c r="A452" s="113" t="s">
        <v>905</v>
      </c>
      <c r="B452" s="113" t="s">
        <v>912</v>
      </c>
      <c r="C452" s="114">
        <v>0</v>
      </c>
      <c r="D452" s="114">
        <v>0</v>
      </c>
    </row>
    <row r="453" spans="1:4" x14ac:dyDescent="0.3">
      <c r="A453" s="113" t="s">
        <v>905</v>
      </c>
      <c r="B453" s="113" t="s">
        <v>913</v>
      </c>
      <c r="C453" s="114">
        <v>0</v>
      </c>
      <c r="D453" s="114">
        <v>0</v>
      </c>
    </row>
    <row r="454" spans="1:4" x14ac:dyDescent="0.3">
      <c r="A454" s="113" t="s">
        <v>905</v>
      </c>
      <c r="B454" s="113" t="s">
        <v>914</v>
      </c>
      <c r="C454" s="114">
        <v>0</v>
      </c>
      <c r="D454" s="114">
        <v>0</v>
      </c>
    </row>
    <row r="455" spans="1:4" x14ac:dyDescent="0.3">
      <c r="A455" s="113" t="s">
        <v>905</v>
      </c>
      <c r="B455" s="113" t="s">
        <v>915</v>
      </c>
      <c r="C455" s="114">
        <v>0</v>
      </c>
      <c r="D455" s="114">
        <v>0</v>
      </c>
    </row>
    <row r="456" spans="1:4" x14ac:dyDescent="0.3">
      <c r="A456" s="113" t="s">
        <v>905</v>
      </c>
      <c r="B456" s="113" t="s">
        <v>916</v>
      </c>
      <c r="C456" s="114">
        <v>0</v>
      </c>
      <c r="D456" s="114">
        <v>0</v>
      </c>
    </row>
    <row r="457" spans="1:4" x14ac:dyDescent="0.3">
      <c r="A457" s="113" t="s">
        <v>905</v>
      </c>
      <c r="B457" s="113" t="s">
        <v>917</v>
      </c>
      <c r="C457" s="114">
        <v>0</v>
      </c>
      <c r="D457" s="114">
        <v>0</v>
      </c>
    </row>
    <row r="458" spans="1:4" x14ac:dyDescent="0.3">
      <c r="A458" s="113" t="s">
        <v>905</v>
      </c>
      <c r="B458" s="113" t="s">
        <v>918</v>
      </c>
      <c r="C458" s="114">
        <v>0</v>
      </c>
      <c r="D458" s="114">
        <v>0</v>
      </c>
    </row>
    <row r="459" spans="1:4" x14ac:dyDescent="0.3">
      <c r="A459" s="113" t="s">
        <v>905</v>
      </c>
      <c r="B459" s="113" t="s">
        <v>919</v>
      </c>
      <c r="C459" s="114">
        <v>0</v>
      </c>
      <c r="D459" s="114">
        <v>0</v>
      </c>
    </row>
    <row r="460" spans="1:4" x14ac:dyDescent="0.3">
      <c r="A460" s="113" t="s">
        <v>905</v>
      </c>
      <c r="B460" s="113" t="s">
        <v>920</v>
      </c>
      <c r="C460" s="114">
        <v>0</v>
      </c>
      <c r="D460" s="114">
        <v>0</v>
      </c>
    </row>
    <row r="461" spans="1:4" x14ac:dyDescent="0.3">
      <c r="A461" s="113" t="s">
        <v>905</v>
      </c>
      <c r="B461" s="113" t="s">
        <v>921</v>
      </c>
      <c r="C461" s="114">
        <v>0</v>
      </c>
      <c r="D461" s="114">
        <v>0</v>
      </c>
    </row>
    <row r="462" spans="1:4" x14ac:dyDescent="0.3">
      <c r="A462" s="113" t="s">
        <v>922</v>
      </c>
      <c r="B462" s="113" t="s">
        <v>923</v>
      </c>
      <c r="C462" s="114">
        <v>0</v>
      </c>
      <c r="D462" s="114">
        <v>0</v>
      </c>
    </row>
    <row r="463" spans="1:4" x14ac:dyDescent="0.3">
      <c r="A463" s="113" t="s">
        <v>922</v>
      </c>
      <c r="B463" s="113" t="s">
        <v>924</v>
      </c>
      <c r="C463" s="114">
        <v>0</v>
      </c>
      <c r="D463" s="114">
        <v>0</v>
      </c>
    </row>
    <row r="464" spans="1:4" x14ac:dyDescent="0.3">
      <c r="A464" s="113" t="s">
        <v>922</v>
      </c>
      <c r="B464" s="113" t="s">
        <v>925</v>
      </c>
      <c r="C464" s="114">
        <v>0</v>
      </c>
      <c r="D464" s="114">
        <v>0</v>
      </c>
    </row>
    <row r="465" spans="1:4" x14ac:dyDescent="0.3">
      <c r="A465" s="113" t="s">
        <v>922</v>
      </c>
      <c r="B465" s="113" t="s">
        <v>926</v>
      </c>
      <c r="C465" s="114">
        <v>0</v>
      </c>
      <c r="D465" s="114">
        <v>0</v>
      </c>
    </row>
    <row r="466" spans="1:4" x14ac:dyDescent="0.3">
      <c r="A466" s="113" t="s">
        <v>922</v>
      </c>
      <c r="B466" s="113" t="s">
        <v>927</v>
      </c>
      <c r="C466" s="114">
        <v>0</v>
      </c>
      <c r="D466" s="114">
        <v>0</v>
      </c>
    </row>
    <row r="467" spans="1:4" x14ac:dyDescent="0.3">
      <c r="A467" s="113" t="s">
        <v>922</v>
      </c>
      <c r="B467" s="113" t="s">
        <v>928</v>
      </c>
      <c r="C467" s="114">
        <v>0</v>
      </c>
      <c r="D467" s="114">
        <v>0</v>
      </c>
    </row>
    <row r="468" spans="1:4" x14ac:dyDescent="0.3">
      <c r="A468" s="113" t="s">
        <v>922</v>
      </c>
      <c r="B468" s="113" t="s">
        <v>929</v>
      </c>
      <c r="C468" s="114">
        <v>0</v>
      </c>
      <c r="D468" s="114">
        <v>0</v>
      </c>
    </row>
    <row r="469" spans="1:4" x14ac:dyDescent="0.3">
      <c r="A469" s="113" t="s">
        <v>922</v>
      </c>
      <c r="B469" s="113" t="s">
        <v>930</v>
      </c>
      <c r="C469" s="114">
        <v>0</v>
      </c>
      <c r="D469" s="114">
        <v>0</v>
      </c>
    </row>
    <row r="470" spans="1:4" x14ac:dyDescent="0.3">
      <c r="A470" s="113" t="s">
        <v>922</v>
      </c>
      <c r="B470" s="113" t="s">
        <v>931</v>
      </c>
      <c r="C470" s="114">
        <v>0</v>
      </c>
      <c r="D470" s="114">
        <v>0</v>
      </c>
    </row>
    <row r="471" spans="1:4" x14ac:dyDescent="0.3">
      <c r="A471" s="113" t="s">
        <v>922</v>
      </c>
      <c r="B471" s="113" t="s">
        <v>932</v>
      </c>
      <c r="C471" s="114">
        <v>0</v>
      </c>
      <c r="D471" s="114">
        <v>0</v>
      </c>
    </row>
    <row r="472" spans="1:4" x14ac:dyDescent="0.3">
      <c r="A472" s="113" t="s">
        <v>922</v>
      </c>
      <c r="B472" s="113" t="s">
        <v>933</v>
      </c>
      <c r="C472" s="114">
        <v>0</v>
      </c>
      <c r="D472" s="114">
        <v>0</v>
      </c>
    </row>
    <row r="473" spans="1:4" x14ac:dyDescent="0.3">
      <c r="A473" s="113" t="s">
        <v>922</v>
      </c>
      <c r="B473" s="113" t="s">
        <v>934</v>
      </c>
      <c r="C473" s="114">
        <v>0</v>
      </c>
      <c r="D473" s="114">
        <v>0</v>
      </c>
    </row>
    <row r="474" spans="1:4" x14ac:dyDescent="0.3">
      <c r="A474" s="113" t="s">
        <v>922</v>
      </c>
      <c r="B474" s="113" t="s">
        <v>935</v>
      </c>
      <c r="C474" s="114">
        <v>0</v>
      </c>
      <c r="D474" s="114">
        <v>0</v>
      </c>
    </row>
    <row r="475" spans="1:4" x14ac:dyDescent="0.3">
      <c r="A475" s="113" t="s">
        <v>922</v>
      </c>
      <c r="B475" s="113" t="s">
        <v>936</v>
      </c>
      <c r="C475" s="114">
        <v>0</v>
      </c>
      <c r="D475" s="114">
        <v>0</v>
      </c>
    </row>
    <row r="476" spans="1:4" x14ac:dyDescent="0.3">
      <c r="A476" s="113" t="s">
        <v>922</v>
      </c>
      <c r="B476" s="113" t="s">
        <v>937</v>
      </c>
      <c r="C476" s="114">
        <v>0</v>
      </c>
      <c r="D476" s="114">
        <v>0</v>
      </c>
    </row>
    <row r="477" spans="1:4" x14ac:dyDescent="0.3">
      <c r="A477" s="113" t="s">
        <v>922</v>
      </c>
      <c r="B477" s="113" t="s">
        <v>938</v>
      </c>
      <c r="C477" s="114">
        <v>0</v>
      </c>
      <c r="D477" s="114">
        <v>0</v>
      </c>
    </row>
    <row r="478" spans="1:4" x14ac:dyDescent="0.3">
      <c r="A478" s="113" t="s">
        <v>922</v>
      </c>
      <c r="B478" s="113" t="s">
        <v>939</v>
      </c>
      <c r="C478" s="114">
        <v>0</v>
      </c>
      <c r="D478" s="114">
        <v>0</v>
      </c>
    </row>
    <row r="479" spans="1:4" x14ac:dyDescent="0.3">
      <c r="A479" s="113" t="s">
        <v>922</v>
      </c>
      <c r="B479" s="113" t="s">
        <v>940</v>
      </c>
      <c r="C479" s="114">
        <v>0</v>
      </c>
      <c r="D479" s="114">
        <v>0</v>
      </c>
    </row>
    <row r="480" spans="1:4" x14ac:dyDescent="0.3">
      <c r="A480" s="113" t="s">
        <v>922</v>
      </c>
      <c r="B480" s="113" t="s">
        <v>941</v>
      </c>
      <c r="C480" s="114">
        <v>0</v>
      </c>
      <c r="D480" s="114">
        <v>0</v>
      </c>
    </row>
    <row r="481" spans="1:4" x14ac:dyDescent="0.3">
      <c r="A481" s="113" t="s">
        <v>922</v>
      </c>
      <c r="B481" s="113" t="s">
        <v>942</v>
      </c>
      <c r="C481" s="114">
        <v>0</v>
      </c>
      <c r="D481" s="114">
        <v>0</v>
      </c>
    </row>
    <row r="482" spans="1:4" x14ac:dyDescent="0.3">
      <c r="A482" s="113" t="s">
        <v>922</v>
      </c>
      <c r="B482" s="113" t="s">
        <v>943</v>
      </c>
      <c r="C482" s="114">
        <v>0</v>
      </c>
      <c r="D482" s="114">
        <v>0</v>
      </c>
    </row>
    <row r="483" spans="1:4" x14ac:dyDescent="0.3">
      <c r="A483" s="113" t="s">
        <v>922</v>
      </c>
      <c r="B483" s="113" t="s">
        <v>944</v>
      </c>
      <c r="C483" s="114">
        <v>0</v>
      </c>
      <c r="D483" s="114">
        <v>0</v>
      </c>
    </row>
    <row r="484" spans="1:4" x14ac:dyDescent="0.3">
      <c r="A484" s="113" t="s">
        <v>922</v>
      </c>
      <c r="B484" s="113" t="s">
        <v>945</v>
      </c>
      <c r="C484" s="114">
        <v>0</v>
      </c>
      <c r="D484" s="114">
        <v>0</v>
      </c>
    </row>
    <row r="485" spans="1:4" x14ac:dyDescent="0.3">
      <c r="A485" s="113" t="s">
        <v>922</v>
      </c>
      <c r="B485" s="113" t="s">
        <v>946</v>
      </c>
      <c r="C485" s="114">
        <v>0</v>
      </c>
      <c r="D485" s="114">
        <v>0</v>
      </c>
    </row>
    <row r="486" spans="1:4" x14ac:dyDescent="0.3">
      <c r="A486" s="113" t="s">
        <v>922</v>
      </c>
      <c r="B486" s="113" t="s">
        <v>947</v>
      </c>
      <c r="C486" s="114">
        <v>0</v>
      </c>
      <c r="D486" s="114">
        <v>0</v>
      </c>
    </row>
    <row r="487" spans="1:4" x14ac:dyDescent="0.3">
      <c r="A487" s="113" t="s">
        <v>922</v>
      </c>
      <c r="B487" s="113" t="s">
        <v>948</v>
      </c>
      <c r="C487" s="114">
        <v>0</v>
      </c>
      <c r="D487" s="114">
        <v>0</v>
      </c>
    </row>
    <row r="488" spans="1:4" x14ac:dyDescent="0.3">
      <c r="A488" s="113" t="s">
        <v>949</v>
      </c>
      <c r="B488" s="113" t="s">
        <v>950</v>
      </c>
      <c r="C488" s="114">
        <v>0</v>
      </c>
      <c r="D488" s="114">
        <v>0</v>
      </c>
    </row>
    <row r="489" spans="1:4" x14ac:dyDescent="0.3">
      <c r="A489" s="113" t="s">
        <v>949</v>
      </c>
      <c r="B489" s="113" t="s">
        <v>923</v>
      </c>
      <c r="C489" s="114">
        <v>0</v>
      </c>
      <c r="D489" s="114">
        <v>0</v>
      </c>
    </row>
    <row r="490" spans="1:4" x14ac:dyDescent="0.3">
      <c r="A490" s="113" t="s">
        <v>949</v>
      </c>
      <c r="B490" s="113" t="s">
        <v>924</v>
      </c>
      <c r="C490" s="114">
        <v>0</v>
      </c>
      <c r="D490" s="114">
        <v>0</v>
      </c>
    </row>
    <row r="491" spans="1:4" x14ac:dyDescent="0.3">
      <c r="A491" s="113" t="s">
        <v>949</v>
      </c>
      <c r="B491" s="113" t="s">
        <v>925</v>
      </c>
      <c r="C491" s="114">
        <v>0</v>
      </c>
      <c r="D491" s="114">
        <v>0</v>
      </c>
    </row>
    <row r="492" spans="1:4" x14ac:dyDescent="0.3">
      <c r="A492" s="113" t="s">
        <v>949</v>
      </c>
      <c r="B492" s="113" t="s">
        <v>926</v>
      </c>
      <c r="C492" s="114">
        <v>0</v>
      </c>
      <c r="D492" s="114">
        <v>0</v>
      </c>
    </row>
    <row r="493" spans="1:4" x14ac:dyDescent="0.3">
      <c r="A493" s="113" t="s">
        <v>949</v>
      </c>
      <c r="B493" s="113" t="s">
        <v>927</v>
      </c>
      <c r="C493" s="114">
        <v>0</v>
      </c>
      <c r="D493" s="114">
        <v>0</v>
      </c>
    </row>
    <row r="494" spans="1:4" x14ac:dyDescent="0.3">
      <c r="A494" s="113" t="s">
        <v>949</v>
      </c>
      <c r="B494" s="113" t="s">
        <v>928</v>
      </c>
      <c r="C494" s="114">
        <v>0</v>
      </c>
      <c r="D494" s="114">
        <v>0</v>
      </c>
    </row>
    <row r="495" spans="1:4" x14ac:dyDescent="0.3">
      <c r="A495" s="113" t="s">
        <v>949</v>
      </c>
      <c r="B495" s="113" t="s">
        <v>929</v>
      </c>
      <c r="C495" s="114">
        <v>0</v>
      </c>
      <c r="D495" s="114">
        <v>0</v>
      </c>
    </row>
    <row r="496" spans="1:4" x14ac:dyDescent="0.3">
      <c r="A496" s="113" t="s">
        <v>949</v>
      </c>
      <c r="B496" s="113" t="s">
        <v>930</v>
      </c>
      <c r="C496" s="114">
        <v>0</v>
      </c>
      <c r="D496" s="114">
        <v>0</v>
      </c>
    </row>
    <row r="497" spans="1:4" x14ac:dyDescent="0.3">
      <c r="A497" s="113" t="s">
        <v>949</v>
      </c>
      <c r="B497" s="113" t="s">
        <v>931</v>
      </c>
      <c r="C497" s="114">
        <v>0</v>
      </c>
      <c r="D497" s="114">
        <v>0</v>
      </c>
    </row>
    <row r="498" spans="1:4" x14ac:dyDescent="0.3">
      <c r="A498" s="113" t="s">
        <v>949</v>
      </c>
      <c r="B498" s="113" t="s">
        <v>932</v>
      </c>
      <c r="C498" s="114">
        <v>0</v>
      </c>
      <c r="D498" s="114">
        <v>0</v>
      </c>
    </row>
    <row r="499" spans="1:4" x14ac:dyDescent="0.3">
      <c r="A499" s="113" t="s">
        <v>949</v>
      </c>
      <c r="B499" s="113" t="s">
        <v>933</v>
      </c>
      <c r="C499" s="114">
        <v>0</v>
      </c>
      <c r="D499" s="114">
        <v>0</v>
      </c>
    </row>
    <row r="500" spans="1:4" x14ac:dyDescent="0.3">
      <c r="A500" s="113" t="s">
        <v>949</v>
      </c>
      <c r="B500" s="113" t="s">
        <v>934</v>
      </c>
      <c r="C500" s="114">
        <v>0</v>
      </c>
      <c r="D500" s="114">
        <v>0</v>
      </c>
    </row>
    <row r="501" spans="1:4" x14ac:dyDescent="0.3">
      <c r="A501" s="113" t="s">
        <v>949</v>
      </c>
      <c r="B501" s="113" t="s">
        <v>935</v>
      </c>
      <c r="C501" s="114">
        <v>0</v>
      </c>
      <c r="D501" s="114">
        <v>0</v>
      </c>
    </row>
    <row r="502" spans="1:4" x14ac:dyDescent="0.3">
      <c r="A502" s="113" t="s">
        <v>949</v>
      </c>
      <c r="B502" s="113" t="s">
        <v>951</v>
      </c>
      <c r="C502" s="114">
        <v>0</v>
      </c>
      <c r="D502" s="114">
        <v>0</v>
      </c>
    </row>
    <row r="503" spans="1:4" x14ac:dyDescent="0.3">
      <c r="A503" s="113" t="s">
        <v>949</v>
      </c>
      <c r="B503" s="113" t="s">
        <v>936</v>
      </c>
      <c r="C503" s="114">
        <v>0</v>
      </c>
      <c r="D503" s="114">
        <v>0</v>
      </c>
    </row>
    <row r="504" spans="1:4" x14ac:dyDescent="0.3">
      <c r="A504" s="113" t="s">
        <v>949</v>
      </c>
      <c r="B504" s="113" t="s">
        <v>937</v>
      </c>
      <c r="C504" s="114">
        <v>0</v>
      </c>
      <c r="D504" s="114">
        <v>0</v>
      </c>
    </row>
    <row r="505" spans="1:4" x14ac:dyDescent="0.3">
      <c r="A505" s="113" t="s">
        <v>949</v>
      </c>
      <c r="B505" s="113" t="s">
        <v>938</v>
      </c>
      <c r="C505" s="114">
        <v>0</v>
      </c>
      <c r="D505" s="114">
        <v>0</v>
      </c>
    </row>
    <row r="506" spans="1:4" x14ac:dyDescent="0.3">
      <c r="A506" s="113" t="s">
        <v>949</v>
      </c>
      <c r="B506" s="113" t="s">
        <v>939</v>
      </c>
      <c r="C506" s="114">
        <v>0</v>
      </c>
      <c r="D506" s="114">
        <v>0</v>
      </c>
    </row>
    <row r="507" spans="1:4" x14ac:dyDescent="0.3">
      <c r="A507" s="113" t="s">
        <v>949</v>
      </c>
      <c r="B507" s="113" t="s">
        <v>940</v>
      </c>
      <c r="C507" s="114">
        <v>0</v>
      </c>
      <c r="D507" s="114">
        <v>0</v>
      </c>
    </row>
    <row r="508" spans="1:4" x14ac:dyDescent="0.3">
      <c r="A508" s="113" t="s">
        <v>949</v>
      </c>
      <c r="B508" s="113" t="s">
        <v>941</v>
      </c>
      <c r="C508" s="114">
        <v>0</v>
      </c>
      <c r="D508" s="114">
        <v>0</v>
      </c>
    </row>
    <row r="509" spans="1:4" x14ac:dyDescent="0.3">
      <c r="A509" s="113" t="s">
        <v>949</v>
      </c>
      <c r="B509" s="113" t="s">
        <v>942</v>
      </c>
      <c r="C509" s="114">
        <v>0</v>
      </c>
      <c r="D509" s="114">
        <v>0</v>
      </c>
    </row>
    <row r="510" spans="1:4" x14ac:dyDescent="0.3">
      <c r="A510" s="113" t="s">
        <v>949</v>
      </c>
      <c r="B510" s="113" t="s">
        <v>943</v>
      </c>
      <c r="C510" s="114">
        <v>0</v>
      </c>
      <c r="D510" s="114">
        <v>0</v>
      </c>
    </row>
    <row r="511" spans="1:4" x14ac:dyDescent="0.3">
      <c r="A511" s="113" t="s">
        <v>949</v>
      </c>
      <c r="B511" s="113" t="s">
        <v>944</v>
      </c>
      <c r="C511" s="114">
        <v>0</v>
      </c>
      <c r="D511" s="114">
        <v>0</v>
      </c>
    </row>
    <row r="512" spans="1:4" x14ac:dyDescent="0.3">
      <c r="A512" s="113" t="s">
        <v>949</v>
      </c>
      <c r="B512" s="113" t="s">
        <v>945</v>
      </c>
      <c r="C512" s="114">
        <v>0</v>
      </c>
      <c r="D512" s="114">
        <v>0</v>
      </c>
    </row>
    <row r="513" spans="1:4" x14ac:dyDescent="0.3">
      <c r="A513" s="113" t="s">
        <v>949</v>
      </c>
      <c r="B513" s="113" t="s">
        <v>946</v>
      </c>
      <c r="C513" s="114">
        <v>0</v>
      </c>
      <c r="D513" s="114">
        <v>0</v>
      </c>
    </row>
    <row r="514" spans="1:4" x14ac:dyDescent="0.3">
      <c r="A514" s="113" t="s">
        <v>949</v>
      </c>
      <c r="B514" s="113" t="s">
        <v>947</v>
      </c>
      <c r="C514" s="114">
        <v>0</v>
      </c>
      <c r="D514" s="114">
        <v>0</v>
      </c>
    </row>
    <row r="515" spans="1:4" x14ac:dyDescent="0.3">
      <c r="A515" s="113" t="s">
        <v>949</v>
      </c>
      <c r="B515" s="113" t="s">
        <v>948</v>
      </c>
      <c r="C515" s="114">
        <v>0</v>
      </c>
      <c r="D515" s="114">
        <v>0</v>
      </c>
    </row>
    <row r="516" spans="1:4" x14ac:dyDescent="0.3">
      <c r="A516" s="113" t="s">
        <v>952</v>
      </c>
      <c r="B516" s="113" t="s">
        <v>953</v>
      </c>
      <c r="C516" s="114">
        <v>0</v>
      </c>
      <c r="D516" s="114">
        <v>0</v>
      </c>
    </row>
    <row r="517" spans="1:4" x14ac:dyDescent="0.3">
      <c r="A517" s="113" t="s">
        <v>952</v>
      </c>
      <c r="B517" s="113" t="s">
        <v>954</v>
      </c>
      <c r="C517" s="114">
        <v>0</v>
      </c>
      <c r="D517" s="114">
        <v>0</v>
      </c>
    </row>
    <row r="518" spans="1:4" x14ac:dyDescent="0.3">
      <c r="A518" s="113" t="s">
        <v>952</v>
      </c>
      <c r="B518" s="113" t="s">
        <v>955</v>
      </c>
      <c r="C518" s="114">
        <v>0</v>
      </c>
      <c r="D518" s="114">
        <v>0</v>
      </c>
    </row>
    <row r="519" spans="1:4" x14ac:dyDescent="0.3">
      <c r="A519" s="113" t="s">
        <v>952</v>
      </c>
      <c r="B519" s="113" t="s">
        <v>956</v>
      </c>
      <c r="C519" s="114">
        <v>0</v>
      </c>
      <c r="D519" s="114">
        <v>0</v>
      </c>
    </row>
    <row r="520" spans="1:4" x14ac:dyDescent="0.3">
      <c r="A520" s="113" t="s">
        <v>952</v>
      </c>
      <c r="B520" s="113" t="s">
        <v>957</v>
      </c>
      <c r="C520" s="114">
        <v>0</v>
      </c>
      <c r="D520" s="114">
        <v>0</v>
      </c>
    </row>
    <row r="521" spans="1:4" x14ac:dyDescent="0.3">
      <c r="A521" s="113" t="s">
        <v>952</v>
      </c>
      <c r="B521" s="113" t="s">
        <v>958</v>
      </c>
      <c r="C521" s="114">
        <v>0</v>
      </c>
      <c r="D521" s="114">
        <v>0</v>
      </c>
    </row>
    <row r="522" spans="1:4" x14ac:dyDescent="0.3">
      <c r="A522" s="113" t="s">
        <v>952</v>
      </c>
      <c r="B522" s="113" t="s">
        <v>959</v>
      </c>
      <c r="C522" s="114">
        <v>0</v>
      </c>
      <c r="D522" s="114">
        <v>0</v>
      </c>
    </row>
    <row r="523" spans="1:4" x14ac:dyDescent="0.3">
      <c r="A523" s="113" t="s">
        <v>952</v>
      </c>
      <c r="B523" s="113" t="s">
        <v>960</v>
      </c>
      <c r="C523" s="114">
        <v>0</v>
      </c>
      <c r="D523" s="114">
        <v>0</v>
      </c>
    </row>
    <row r="524" spans="1:4" x14ac:dyDescent="0.3">
      <c r="A524" s="113" t="s">
        <v>952</v>
      </c>
      <c r="B524" s="113" t="s">
        <v>961</v>
      </c>
      <c r="C524" s="114">
        <v>0</v>
      </c>
      <c r="D524" s="114">
        <v>0</v>
      </c>
    </row>
    <row r="525" spans="1:4" x14ac:dyDescent="0.3">
      <c r="A525" s="113" t="s">
        <v>952</v>
      </c>
      <c r="B525" s="113" t="s">
        <v>962</v>
      </c>
      <c r="C525" s="114">
        <v>0</v>
      </c>
      <c r="D525" s="114">
        <v>0</v>
      </c>
    </row>
    <row r="526" spans="1:4" x14ac:dyDescent="0.3">
      <c r="A526" s="113" t="s">
        <v>952</v>
      </c>
      <c r="B526" s="113" t="s">
        <v>963</v>
      </c>
      <c r="C526" s="114">
        <v>0</v>
      </c>
      <c r="D526" s="114">
        <v>0</v>
      </c>
    </row>
    <row r="527" spans="1:4" x14ac:dyDescent="0.3">
      <c r="A527" s="113" t="s">
        <v>952</v>
      </c>
      <c r="B527" s="113" t="s">
        <v>964</v>
      </c>
      <c r="C527" s="114">
        <v>0</v>
      </c>
      <c r="D527" s="114">
        <v>0</v>
      </c>
    </row>
    <row r="528" spans="1:4" x14ac:dyDescent="0.3">
      <c r="A528" s="113" t="s">
        <v>952</v>
      </c>
      <c r="B528" s="113" t="s">
        <v>965</v>
      </c>
      <c r="C528" s="114">
        <v>0</v>
      </c>
      <c r="D528" s="114">
        <v>0</v>
      </c>
    </row>
    <row r="529" spans="1:4" x14ac:dyDescent="0.3">
      <c r="A529" s="113" t="s">
        <v>952</v>
      </c>
      <c r="B529" s="113" t="s">
        <v>966</v>
      </c>
      <c r="C529" s="114">
        <v>0</v>
      </c>
      <c r="D529" s="114">
        <v>0</v>
      </c>
    </row>
    <row r="530" spans="1:4" x14ac:dyDescent="0.3">
      <c r="A530" s="113" t="s">
        <v>952</v>
      </c>
      <c r="B530" s="113" t="s">
        <v>967</v>
      </c>
      <c r="C530" s="114">
        <v>0</v>
      </c>
      <c r="D530" s="114">
        <v>0</v>
      </c>
    </row>
    <row r="531" spans="1:4" x14ac:dyDescent="0.3">
      <c r="A531" s="113" t="s">
        <v>952</v>
      </c>
      <c r="B531" s="113" t="s">
        <v>968</v>
      </c>
      <c r="C531" s="114">
        <v>0</v>
      </c>
      <c r="D531" s="114">
        <v>0</v>
      </c>
    </row>
    <row r="532" spans="1:4" x14ac:dyDescent="0.3">
      <c r="A532" s="113" t="s">
        <v>952</v>
      </c>
      <c r="B532" s="113" t="s">
        <v>969</v>
      </c>
      <c r="C532" s="114">
        <v>0</v>
      </c>
      <c r="D532" s="114">
        <v>0</v>
      </c>
    </row>
    <row r="533" spans="1:4" x14ac:dyDescent="0.3">
      <c r="A533" s="113" t="s">
        <v>952</v>
      </c>
      <c r="B533" s="113" t="s">
        <v>970</v>
      </c>
      <c r="C533" s="114">
        <v>0</v>
      </c>
      <c r="D533" s="114">
        <v>0</v>
      </c>
    </row>
    <row r="534" spans="1:4" x14ac:dyDescent="0.3">
      <c r="A534" s="113" t="s">
        <v>952</v>
      </c>
      <c r="B534" s="113" t="s">
        <v>971</v>
      </c>
      <c r="C534" s="114">
        <v>0</v>
      </c>
      <c r="D534" s="114">
        <v>0</v>
      </c>
    </row>
    <row r="535" spans="1:4" x14ac:dyDescent="0.3">
      <c r="A535" s="113" t="s">
        <v>952</v>
      </c>
      <c r="B535" s="113" t="s">
        <v>972</v>
      </c>
      <c r="C535" s="114">
        <v>0</v>
      </c>
      <c r="D535" s="114">
        <v>0</v>
      </c>
    </row>
    <row r="536" spans="1:4" x14ac:dyDescent="0.3">
      <c r="A536" s="113" t="s">
        <v>952</v>
      </c>
      <c r="B536" s="113" t="s">
        <v>973</v>
      </c>
      <c r="C536" s="114">
        <v>0</v>
      </c>
      <c r="D536" s="114">
        <v>0</v>
      </c>
    </row>
    <row r="537" spans="1:4" x14ac:dyDescent="0.3">
      <c r="A537" s="113" t="s">
        <v>952</v>
      </c>
      <c r="B537" s="113" t="s">
        <v>974</v>
      </c>
      <c r="C537" s="114">
        <v>0</v>
      </c>
      <c r="D537" s="114">
        <v>0</v>
      </c>
    </row>
    <row r="538" spans="1:4" x14ac:dyDescent="0.3">
      <c r="A538" s="113" t="s">
        <v>952</v>
      </c>
      <c r="B538" s="113" t="s">
        <v>975</v>
      </c>
      <c r="C538" s="114">
        <v>0</v>
      </c>
      <c r="D538" s="114">
        <v>0</v>
      </c>
    </row>
    <row r="539" spans="1:4" x14ac:dyDescent="0.3">
      <c r="A539" s="113" t="s">
        <v>952</v>
      </c>
      <c r="B539" s="113" t="s">
        <v>976</v>
      </c>
      <c r="C539" s="114">
        <v>0</v>
      </c>
      <c r="D539" s="114">
        <v>0</v>
      </c>
    </row>
    <row r="540" spans="1:4" x14ac:dyDescent="0.3">
      <c r="A540" s="113" t="s">
        <v>952</v>
      </c>
      <c r="B540" s="113" t="s">
        <v>977</v>
      </c>
      <c r="C540" s="114">
        <v>0</v>
      </c>
      <c r="D540" s="114">
        <v>0</v>
      </c>
    </row>
    <row r="541" spans="1:4" x14ac:dyDescent="0.3">
      <c r="A541" s="113" t="s">
        <v>952</v>
      </c>
      <c r="B541" s="113" t="s">
        <v>978</v>
      </c>
      <c r="C541" s="114">
        <v>0</v>
      </c>
      <c r="D541" s="114">
        <v>0</v>
      </c>
    </row>
    <row r="542" spans="1:4" x14ac:dyDescent="0.3">
      <c r="A542" s="113" t="s">
        <v>952</v>
      </c>
      <c r="B542" s="113" t="s">
        <v>979</v>
      </c>
      <c r="C542" s="114">
        <v>0</v>
      </c>
      <c r="D542" s="114">
        <v>0</v>
      </c>
    </row>
    <row r="543" spans="1:4" x14ac:dyDescent="0.3">
      <c r="A543" s="113" t="s">
        <v>952</v>
      </c>
      <c r="B543" s="113" t="s">
        <v>980</v>
      </c>
      <c r="C543" s="114">
        <v>0</v>
      </c>
      <c r="D543" s="114">
        <v>0</v>
      </c>
    </row>
    <row r="544" spans="1:4" x14ac:dyDescent="0.3">
      <c r="A544" s="113" t="s">
        <v>952</v>
      </c>
      <c r="B544" s="113" t="s">
        <v>981</v>
      </c>
      <c r="C544" s="114">
        <v>0</v>
      </c>
      <c r="D544" s="114">
        <v>0</v>
      </c>
    </row>
    <row r="545" spans="1:4" x14ac:dyDescent="0.3">
      <c r="A545" s="113" t="s">
        <v>952</v>
      </c>
      <c r="B545" s="113" t="s">
        <v>982</v>
      </c>
      <c r="C545" s="114">
        <v>0</v>
      </c>
      <c r="D545" s="114">
        <v>0</v>
      </c>
    </row>
    <row r="546" spans="1:4" x14ac:dyDescent="0.3">
      <c r="A546" s="113" t="s">
        <v>952</v>
      </c>
      <c r="B546" s="113" t="s">
        <v>983</v>
      </c>
      <c r="C546" s="114">
        <v>0</v>
      </c>
      <c r="D546" s="114">
        <v>0</v>
      </c>
    </row>
    <row r="547" spans="1:4" x14ac:dyDescent="0.3">
      <c r="A547" s="113" t="s">
        <v>952</v>
      </c>
      <c r="B547" s="113" t="s">
        <v>984</v>
      </c>
      <c r="C547" s="114">
        <v>0</v>
      </c>
      <c r="D547" s="114">
        <v>0</v>
      </c>
    </row>
    <row r="548" spans="1:4" x14ac:dyDescent="0.3">
      <c r="A548" s="113" t="s">
        <v>952</v>
      </c>
      <c r="B548" s="113" t="s">
        <v>985</v>
      </c>
      <c r="C548" s="114">
        <v>0</v>
      </c>
      <c r="D548" s="114">
        <v>0</v>
      </c>
    </row>
    <row r="549" spans="1:4" x14ac:dyDescent="0.3">
      <c r="A549" s="113" t="s">
        <v>952</v>
      </c>
      <c r="B549" s="113" t="s">
        <v>986</v>
      </c>
      <c r="C549" s="114">
        <v>0</v>
      </c>
      <c r="D549" s="114">
        <v>0</v>
      </c>
    </row>
    <row r="550" spans="1:4" x14ac:dyDescent="0.3">
      <c r="A550" s="113" t="s">
        <v>952</v>
      </c>
      <c r="B550" s="113" t="s">
        <v>987</v>
      </c>
      <c r="C550" s="114">
        <v>0</v>
      </c>
      <c r="D550" s="114">
        <v>0</v>
      </c>
    </row>
    <row r="551" spans="1:4" x14ac:dyDescent="0.3">
      <c r="A551" s="113" t="s">
        <v>952</v>
      </c>
      <c r="B551" s="113" t="s">
        <v>988</v>
      </c>
      <c r="C551" s="114">
        <v>0</v>
      </c>
      <c r="D551" s="114">
        <v>0</v>
      </c>
    </row>
    <row r="552" spans="1:4" x14ac:dyDescent="0.3">
      <c r="A552" s="113" t="s">
        <v>952</v>
      </c>
      <c r="B552" s="113" t="s">
        <v>989</v>
      </c>
      <c r="C552" s="114">
        <v>0</v>
      </c>
      <c r="D552" s="114">
        <v>0</v>
      </c>
    </row>
    <row r="553" spans="1:4" x14ac:dyDescent="0.3">
      <c r="A553" s="113" t="s">
        <v>952</v>
      </c>
      <c r="B553" s="113" t="s">
        <v>990</v>
      </c>
      <c r="C553" s="114">
        <v>0</v>
      </c>
      <c r="D553" s="114">
        <v>0</v>
      </c>
    </row>
    <row r="554" spans="1:4" x14ac:dyDescent="0.3">
      <c r="A554" s="113" t="s">
        <v>952</v>
      </c>
      <c r="B554" s="113" t="s">
        <v>991</v>
      </c>
      <c r="C554" s="114">
        <v>0</v>
      </c>
      <c r="D554" s="114">
        <v>0</v>
      </c>
    </row>
    <row r="555" spans="1:4" x14ac:dyDescent="0.3">
      <c r="A555" s="113" t="s">
        <v>952</v>
      </c>
      <c r="B555" s="113" t="s">
        <v>992</v>
      </c>
      <c r="C555" s="114">
        <v>0</v>
      </c>
      <c r="D555" s="114">
        <v>0</v>
      </c>
    </row>
    <row r="556" spans="1:4" x14ac:dyDescent="0.3">
      <c r="A556" s="113" t="s">
        <v>952</v>
      </c>
      <c r="B556" s="113" t="s">
        <v>993</v>
      </c>
      <c r="C556" s="114">
        <v>0</v>
      </c>
      <c r="D556" s="114">
        <v>0</v>
      </c>
    </row>
    <row r="557" spans="1:4" x14ac:dyDescent="0.3">
      <c r="A557" s="113" t="s">
        <v>952</v>
      </c>
      <c r="B557" s="113" t="s">
        <v>994</v>
      </c>
      <c r="C557" s="114">
        <v>0</v>
      </c>
      <c r="D557" s="114">
        <v>0</v>
      </c>
    </row>
    <row r="558" spans="1:4" x14ac:dyDescent="0.3">
      <c r="A558" s="113" t="s">
        <v>952</v>
      </c>
      <c r="B558" s="113" t="s">
        <v>995</v>
      </c>
      <c r="C558" s="114">
        <v>0</v>
      </c>
      <c r="D558" s="114">
        <v>0</v>
      </c>
    </row>
    <row r="559" spans="1:4" x14ac:dyDescent="0.3">
      <c r="A559" s="113" t="s">
        <v>952</v>
      </c>
      <c r="B559" s="113" t="s">
        <v>996</v>
      </c>
      <c r="C559" s="114">
        <v>0</v>
      </c>
      <c r="D559" s="114">
        <v>0</v>
      </c>
    </row>
    <row r="560" spans="1:4" x14ac:dyDescent="0.3">
      <c r="A560" s="113" t="s">
        <v>952</v>
      </c>
      <c r="B560" s="113" t="s">
        <v>997</v>
      </c>
      <c r="C560" s="114">
        <v>0</v>
      </c>
      <c r="D560" s="114">
        <v>0</v>
      </c>
    </row>
    <row r="561" spans="1:4" x14ac:dyDescent="0.3">
      <c r="A561" s="113" t="s">
        <v>952</v>
      </c>
      <c r="B561" s="113" t="s">
        <v>998</v>
      </c>
      <c r="C561" s="114">
        <v>0</v>
      </c>
      <c r="D561" s="114">
        <v>0</v>
      </c>
    </row>
    <row r="562" spans="1:4" x14ac:dyDescent="0.3">
      <c r="A562" s="113" t="s">
        <v>952</v>
      </c>
      <c r="B562" s="113" t="s">
        <v>999</v>
      </c>
      <c r="C562" s="114">
        <v>0</v>
      </c>
      <c r="D562" s="114">
        <v>0</v>
      </c>
    </row>
    <row r="563" spans="1:4" x14ac:dyDescent="0.3">
      <c r="A563" s="113" t="s">
        <v>952</v>
      </c>
      <c r="B563" s="113" t="s">
        <v>1000</v>
      </c>
      <c r="C563" s="114">
        <v>0</v>
      </c>
      <c r="D563" s="114">
        <v>0</v>
      </c>
    </row>
    <row r="564" spans="1:4" x14ac:dyDescent="0.3">
      <c r="A564" s="113" t="s">
        <v>952</v>
      </c>
      <c r="B564" s="113" t="s">
        <v>1001</v>
      </c>
      <c r="C564" s="114">
        <v>0</v>
      </c>
      <c r="D564" s="114">
        <v>0</v>
      </c>
    </row>
    <row r="565" spans="1:4" x14ac:dyDescent="0.3">
      <c r="A565" s="113" t="s">
        <v>952</v>
      </c>
      <c r="B565" s="113" t="s">
        <v>1002</v>
      </c>
      <c r="C565" s="114">
        <v>0</v>
      </c>
      <c r="D565" s="114">
        <v>0</v>
      </c>
    </row>
    <row r="566" spans="1:4" x14ac:dyDescent="0.3">
      <c r="A566" s="113" t="s">
        <v>952</v>
      </c>
      <c r="B566" s="113" t="s">
        <v>1003</v>
      </c>
      <c r="C566" s="114">
        <v>0</v>
      </c>
      <c r="D566" s="114">
        <v>0</v>
      </c>
    </row>
    <row r="567" spans="1:4" x14ac:dyDescent="0.3">
      <c r="A567" s="113" t="s">
        <v>952</v>
      </c>
      <c r="B567" s="113" t="s">
        <v>1004</v>
      </c>
      <c r="C567" s="114">
        <v>0</v>
      </c>
      <c r="D567" s="114">
        <v>0</v>
      </c>
    </row>
    <row r="568" spans="1:4" x14ac:dyDescent="0.3">
      <c r="A568" s="113" t="s">
        <v>952</v>
      </c>
      <c r="B568" s="113" t="s">
        <v>1005</v>
      </c>
      <c r="C568" s="114">
        <v>0</v>
      </c>
      <c r="D568" s="114">
        <v>0</v>
      </c>
    </row>
    <row r="569" spans="1:4" x14ac:dyDescent="0.3">
      <c r="A569" s="113" t="s">
        <v>952</v>
      </c>
      <c r="B569" s="113" t="s">
        <v>1006</v>
      </c>
      <c r="C569" s="114">
        <v>0</v>
      </c>
      <c r="D569" s="114">
        <v>0</v>
      </c>
    </row>
    <row r="570" spans="1:4" x14ac:dyDescent="0.3">
      <c r="A570" s="113" t="s">
        <v>952</v>
      </c>
      <c r="B570" s="113" t="s">
        <v>1007</v>
      </c>
      <c r="C570" s="114">
        <v>0</v>
      </c>
      <c r="D570" s="114">
        <v>0</v>
      </c>
    </row>
    <row r="571" spans="1:4" x14ac:dyDescent="0.3">
      <c r="A571" s="113" t="s">
        <v>952</v>
      </c>
      <c r="B571" s="113" t="s">
        <v>1008</v>
      </c>
      <c r="C571" s="114">
        <v>0</v>
      </c>
      <c r="D571" s="114">
        <v>0</v>
      </c>
    </row>
    <row r="572" spans="1:4" x14ac:dyDescent="0.3">
      <c r="A572" s="113" t="s">
        <v>952</v>
      </c>
      <c r="B572" s="113" t="s">
        <v>1009</v>
      </c>
      <c r="C572" s="114">
        <v>0</v>
      </c>
      <c r="D572" s="114">
        <v>0</v>
      </c>
    </row>
    <row r="573" spans="1:4" x14ac:dyDescent="0.3">
      <c r="A573" s="113" t="s">
        <v>952</v>
      </c>
      <c r="B573" s="113" t="s">
        <v>1010</v>
      </c>
      <c r="C573" s="114">
        <v>0</v>
      </c>
      <c r="D573" s="114">
        <v>0</v>
      </c>
    </row>
    <row r="574" spans="1:4" x14ac:dyDescent="0.3">
      <c r="A574" s="113" t="s">
        <v>952</v>
      </c>
      <c r="B574" s="113" t="s">
        <v>1011</v>
      </c>
      <c r="C574" s="114">
        <v>0</v>
      </c>
      <c r="D574" s="114">
        <v>0</v>
      </c>
    </row>
    <row r="575" spans="1:4" x14ac:dyDescent="0.3">
      <c r="A575" s="113" t="s">
        <v>952</v>
      </c>
      <c r="B575" s="113" t="s">
        <v>1012</v>
      </c>
      <c r="C575" s="114">
        <v>0</v>
      </c>
      <c r="D575" s="114">
        <v>0</v>
      </c>
    </row>
    <row r="576" spans="1:4" x14ac:dyDescent="0.3">
      <c r="A576" s="113" t="s">
        <v>952</v>
      </c>
      <c r="B576" s="113" t="s">
        <v>1013</v>
      </c>
      <c r="C576" s="114">
        <v>0</v>
      </c>
      <c r="D576" s="114">
        <v>0</v>
      </c>
    </row>
    <row r="577" spans="1:4" x14ac:dyDescent="0.3">
      <c r="A577" s="113" t="s">
        <v>952</v>
      </c>
      <c r="B577" s="113" t="s">
        <v>1014</v>
      </c>
      <c r="C577" s="114">
        <v>0</v>
      </c>
      <c r="D577" s="114">
        <v>0</v>
      </c>
    </row>
    <row r="578" spans="1:4" x14ac:dyDescent="0.3">
      <c r="A578" s="113" t="s">
        <v>952</v>
      </c>
      <c r="B578" s="113" t="s">
        <v>1015</v>
      </c>
      <c r="C578" s="114">
        <v>0</v>
      </c>
      <c r="D578" s="114">
        <v>0</v>
      </c>
    </row>
    <row r="579" spans="1:4" x14ac:dyDescent="0.3">
      <c r="A579" s="113" t="s">
        <v>952</v>
      </c>
      <c r="B579" s="113" t="s">
        <v>1016</v>
      </c>
      <c r="C579" s="114">
        <v>0</v>
      </c>
      <c r="D579" s="114">
        <v>0</v>
      </c>
    </row>
    <row r="580" spans="1:4" x14ac:dyDescent="0.3">
      <c r="A580" s="113" t="s">
        <v>952</v>
      </c>
      <c r="B580" s="113" t="s">
        <v>1017</v>
      </c>
      <c r="C580" s="114">
        <v>0</v>
      </c>
      <c r="D580" s="114">
        <v>0</v>
      </c>
    </row>
    <row r="581" spans="1:4" x14ac:dyDescent="0.3">
      <c r="A581" s="113" t="s">
        <v>952</v>
      </c>
      <c r="B581" s="113" t="s">
        <v>1018</v>
      </c>
      <c r="C581" s="114">
        <v>0</v>
      </c>
      <c r="D581" s="114">
        <v>0</v>
      </c>
    </row>
    <row r="582" spans="1:4" x14ac:dyDescent="0.3">
      <c r="A582" s="113" t="s">
        <v>952</v>
      </c>
      <c r="B582" s="113" t="s">
        <v>1019</v>
      </c>
      <c r="C582" s="114">
        <v>0</v>
      </c>
      <c r="D582" s="114">
        <v>0</v>
      </c>
    </row>
    <row r="583" spans="1:4" x14ac:dyDescent="0.3">
      <c r="A583" s="113" t="s">
        <v>952</v>
      </c>
      <c r="B583" s="113" t="s">
        <v>1020</v>
      </c>
      <c r="C583" s="114">
        <v>0</v>
      </c>
      <c r="D583" s="114">
        <v>0</v>
      </c>
    </row>
    <row r="584" spans="1:4" x14ac:dyDescent="0.3">
      <c r="A584" s="113" t="s">
        <v>952</v>
      </c>
      <c r="B584" s="113" t="s">
        <v>1021</v>
      </c>
      <c r="C584" s="114">
        <v>0</v>
      </c>
      <c r="D584" s="114">
        <v>0</v>
      </c>
    </row>
    <row r="585" spans="1:4" x14ac:dyDescent="0.3">
      <c r="A585" s="113" t="s">
        <v>952</v>
      </c>
      <c r="B585" s="113" t="s">
        <v>1022</v>
      </c>
      <c r="C585" s="114">
        <v>0</v>
      </c>
      <c r="D585" s="114">
        <v>0</v>
      </c>
    </row>
    <row r="586" spans="1:4" x14ac:dyDescent="0.3">
      <c r="A586" s="113" t="s">
        <v>952</v>
      </c>
      <c r="B586" s="113" t="s">
        <v>1023</v>
      </c>
      <c r="C586" s="114">
        <v>0</v>
      </c>
      <c r="D586" s="114">
        <v>0</v>
      </c>
    </row>
    <row r="587" spans="1:4" x14ac:dyDescent="0.3">
      <c r="A587" s="113" t="s">
        <v>952</v>
      </c>
      <c r="B587" s="113" t="s">
        <v>1024</v>
      </c>
      <c r="C587" s="114">
        <v>0</v>
      </c>
      <c r="D587" s="114">
        <v>0</v>
      </c>
    </row>
    <row r="588" spans="1:4" x14ac:dyDescent="0.3">
      <c r="A588" s="113" t="s">
        <v>952</v>
      </c>
      <c r="B588" s="113" t="s">
        <v>1025</v>
      </c>
      <c r="C588" s="114">
        <v>0</v>
      </c>
      <c r="D588" s="114">
        <v>0</v>
      </c>
    </row>
    <row r="589" spans="1:4" x14ac:dyDescent="0.3">
      <c r="A589" s="113" t="s">
        <v>952</v>
      </c>
      <c r="B589" s="113" t="s">
        <v>1026</v>
      </c>
      <c r="C589" s="114">
        <v>0</v>
      </c>
      <c r="D589" s="114">
        <v>0</v>
      </c>
    </row>
    <row r="590" spans="1:4" x14ac:dyDescent="0.3">
      <c r="A590" s="113" t="s">
        <v>952</v>
      </c>
      <c r="B590" s="113" t="s">
        <v>1027</v>
      </c>
      <c r="C590" s="114">
        <v>0</v>
      </c>
      <c r="D590" s="114">
        <v>0</v>
      </c>
    </row>
    <row r="591" spans="1:4" x14ac:dyDescent="0.3">
      <c r="A591" s="113" t="s">
        <v>952</v>
      </c>
      <c r="B591" s="113" t="s">
        <v>1028</v>
      </c>
      <c r="C591" s="114">
        <v>0</v>
      </c>
      <c r="D591" s="114">
        <v>0</v>
      </c>
    </row>
    <row r="592" spans="1:4" x14ac:dyDescent="0.3">
      <c r="A592" s="113" t="s">
        <v>952</v>
      </c>
      <c r="B592" s="113" t="s">
        <v>1029</v>
      </c>
      <c r="C592" s="114">
        <v>0</v>
      </c>
      <c r="D592" s="114">
        <v>0</v>
      </c>
    </row>
    <row r="593" spans="1:4" x14ac:dyDescent="0.3">
      <c r="A593" s="113" t="s">
        <v>952</v>
      </c>
      <c r="B593" s="113" t="s">
        <v>1030</v>
      </c>
      <c r="C593" s="114">
        <v>0</v>
      </c>
      <c r="D593" s="114">
        <v>0</v>
      </c>
    </row>
    <row r="594" spans="1:4" x14ac:dyDescent="0.3">
      <c r="A594" s="113" t="s">
        <v>952</v>
      </c>
      <c r="B594" s="113" t="s">
        <v>1031</v>
      </c>
      <c r="C594" s="114">
        <v>0</v>
      </c>
      <c r="D594" s="114">
        <v>0</v>
      </c>
    </row>
    <row r="595" spans="1:4" x14ac:dyDescent="0.3">
      <c r="A595" s="113" t="s">
        <v>952</v>
      </c>
      <c r="B595" s="113" t="s">
        <v>1032</v>
      </c>
      <c r="C595" s="114">
        <v>0</v>
      </c>
      <c r="D595" s="114">
        <v>0</v>
      </c>
    </row>
    <row r="596" spans="1:4" x14ac:dyDescent="0.3">
      <c r="A596" s="113" t="s">
        <v>952</v>
      </c>
      <c r="B596" s="113" t="s">
        <v>1033</v>
      </c>
      <c r="C596" s="114">
        <v>0</v>
      </c>
      <c r="D596" s="114">
        <v>0</v>
      </c>
    </row>
    <row r="597" spans="1:4" x14ac:dyDescent="0.3">
      <c r="A597" s="113" t="s">
        <v>952</v>
      </c>
      <c r="B597" s="113" t="s">
        <v>1034</v>
      </c>
      <c r="C597" s="114">
        <v>0</v>
      </c>
      <c r="D597" s="114">
        <v>0</v>
      </c>
    </row>
    <row r="598" spans="1:4" x14ac:dyDescent="0.3">
      <c r="A598" s="113" t="s">
        <v>952</v>
      </c>
      <c r="B598" s="113" t="s">
        <v>1035</v>
      </c>
      <c r="C598" s="114">
        <v>0</v>
      </c>
      <c r="D598" s="114">
        <v>0</v>
      </c>
    </row>
    <row r="599" spans="1:4" x14ac:dyDescent="0.3">
      <c r="A599" s="113" t="s">
        <v>952</v>
      </c>
      <c r="B599" s="113" t="s">
        <v>1036</v>
      </c>
      <c r="C599" s="114">
        <v>0</v>
      </c>
      <c r="D599" s="114">
        <v>0</v>
      </c>
    </row>
    <row r="600" spans="1:4" x14ac:dyDescent="0.3">
      <c r="A600" s="113" t="s">
        <v>952</v>
      </c>
      <c r="B600" s="113" t="s">
        <v>1037</v>
      </c>
      <c r="C600" s="114">
        <v>0</v>
      </c>
      <c r="D600" s="114">
        <v>0</v>
      </c>
    </row>
    <row r="601" spans="1:4" x14ac:dyDescent="0.3">
      <c r="A601" s="113" t="s">
        <v>952</v>
      </c>
      <c r="B601" s="113" t="s">
        <v>1038</v>
      </c>
      <c r="C601" s="114">
        <v>0</v>
      </c>
      <c r="D601" s="114">
        <v>0</v>
      </c>
    </row>
    <row r="602" spans="1:4" x14ac:dyDescent="0.3">
      <c r="A602" s="113" t="s">
        <v>952</v>
      </c>
      <c r="B602" s="113" t="s">
        <v>1039</v>
      </c>
      <c r="C602" s="114">
        <v>0</v>
      </c>
      <c r="D602" s="114">
        <v>0</v>
      </c>
    </row>
    <row r="603" spans="1:4" x14ac:dyDescent="0.3">
      <c r="A603" s="113" t="s">
        <v>952</v>
      </c>
      <c r="B603" s="113" t="s">
        <v>1040</v>
      </c>
      <c r="C603" s="114">
        <v>0</v>
      </c>
      <c r="D603" s="114">
        <v>0</v>
      </c>
    </row>
    <row r="604" spans="1:4" x14ac:dyDescent="0.3">
      <c r="A604" s="113" t="s">
        <v>952</v>
      </c>
      <c r="B604" s="113" t="s">
        <v>1041</v>
      </c>
      <c r="C604" s="114">
        <v>0</v>
      </c>
      <c r="D604" s="114">
        <v>0</v>
      </c>
    </row>
    <row r="605" spans="1:4" x14ac:dyDescent="0.3">
      <c r="A605" s="113" t="s">
        <v>952</v>
      </c>
      <c r="B605" s="113" t="s">
        <v>1042</v>
      </c>
      <c r="C605" s="114">
        <v>0</v>
      </c>
      <c r="D605" s="114">
        <v>0</v>
      </c>
    </row>
    <row r="606" spans="1:4" x14ac:dyDescent="0.3">
      <c r="A606" s="113" t="s">
        <v>952</v>
      </c>
      <c r="B606" s="113" t="s">
        <v>1043</v>
      </c>
      <c r="C606" s="114">
        <v>0</v>
      </c>
      <c r="D606" s="114">
        <v>0</v>
      </c>
    </row>
    <row r="607" spans="1:4" x14ac:dyDescent="0.3">
      <c r="A607" s="113" t="s">
        <v>952</v>
      </c>
      <c r="B607" s="113" t="s">
        <v>1044</v>
      </c>
      <c r="C607" s="114">
        <v>0</v>
      </c>
      <c r="D607" s="114">
        <v>0</v>
      </c>
    </row>
    <row r="608" spans="1:4" x14ac:dyDescent="0.3">
      <c r="A608" s="113" t="s">
        <v>952</v>
      </c>
      <c r="B608" s="113" t="s">
        <v>1045</v>
      </c>
      <c r="C608" s="114">
        <v>0</v>
      </c>
      <c r="D608" s="114">
        <v>0</v>
      </c>
    </row>
    <row r="609" spans="1:4" x14ac:dyDescent="0.3">
      <c r="A609" s="113" t="s">
        <v>952</v>
      </c>
      <c r="B609" s="113" t="s">
        <v>1046</v>
      </c>
      <c r="C609" s="114">
        <v>0</v>
      </c>
      <c r="D609" s="114">
        <v>0</v>
      </c>
    </row>
    <row r="610" spans="1:4" x14ac:dyDescent="0.3">
      <c r="A610" s="113" t="s">
        <v>952</v>
      </c>
      <c r="B610" s="113" t="s">
        <v>1047</v>
      </c>
      <c r="C610" s="114">
        <v>0</v>
      </c>
      <c r="D610" s="114">
        <v>0</v>
      </c>
    </row>
    <row r="611" spans="1:4" x14ac:dyDescent="0.3">
      <c r="A611" s="113" t="s">
        <v>952</v>
      </c>
      <c r="B611" s="113" t="s">
        <v>1048</v>
      </c>
      <c r="C611" s="114">
        <v>0</v>
      </c>
      <c r="D611" s="114">
        <v>0</v>
      </c>
    </row>
    <row r="612" spans="1:4" x14ac:dyDescent="0.3">
      <c r="A612" s="113" t="s">
        <v>952</v>
      </c>
      <c r="B612" s="113" t="s">
        <v>1049</v>
      </c>
      <c r="C612" s="114">
        <v>0</v>
      </c>
      <c r="D612" s="114">
        <v>0</v>
      </c>
    </row>
    <row r="613" spans="1:4" x14ac:dyDescent="0.3">
      <c r="A613" s="113" t="s">
        <v>952</v>
      </c>
      <c r="B613" s="113" t="s">
        <v>1050</v>
      </c>
      <c r="C613" s="114">
        <v>0</v>
      </c>
      <c r="D613" s="114">
        <v>0</v>
      </c>
    </row>
    <row r="614" spans="1:4" x14ac:dyDescent="0.3">
      <c r="A614" s="113" t="s">
        <v>952</v>
      </c>
      <c r="B614" s="113" t="s">
        <v>1051</v>
      </c>
      <c r="C614" s="114">
        <v>0</v>
      </c>
      <c r="D614" s="114">
        <v>0</v>
      </c>
    </row>
    <row r="615" spans="1:4" x14ac:dyDescent="0.3">
      <c r="A615" s="113" t="s">
        <v>952</v>
      </c>
      <c r="B615" s="113" t="s">
        <v>1052</v>
      </c>
      <c r="C615" s="114">
        <v>0</v>
      </c>
      <c r="D615" s="114">
        <v>0</v>
      </c>
    </row>
    <row r="616" spans="1:4" x14ac:dyDescent="0.3">
      <c r="A616" s="113" t="s">
        <v>952</v>
      </c>
      <c r="B616" s="113" t="s">
        <v>1053</v>
      </c>
      <c r="C616" s="114">
        <v>0</v>
      </c>
      <c r="D616" s="114">
        <v>0</v>
      </c>
    </row>
    <row r="617" spans="1:4" x14ac:dyDescent="0.3">
      <c r="A617" s="113" t="s">
        <v>952</v>
      </c>
      <c r="B617" s="113" t="s">
        <v>1054</v>
      </c>
      <c r="C617" s="114">
        <v>0</v>
      </c>
      <c r="D617" s="114">
        <v>0</v>
      </c>
    </row>
    <row r="618" spans="1:4" x14ac:dyDescent="0.3">
      <c r="A618" s="113" t="s">
        <v>952</v>
      </c>
      <c r="B618" s="113" t="s">
        <v>1055</v>
      </c>
      <c r="C618" s="114">
        <v>0</v>
      </c>
      <c r="D618" s="114">
        <v>0</v>
      </c>
    </row>
    <row r="619" spans="1:4" x14ac:dyDescent="0.3">
      <c r="A619" s="113" t="s">
        <v>952</v>
      </c>
      <c r="B619" s="113" t="s">
        <v>1056</v>
      </c>
      <c r="C619" s="114">
        <v>0</v>
      </c>
      <c r="D619" s="114">
        <v>0</v>
      </c>
    </row>
    <row r="620" spans="1:4" x14ac:dyDescent="0.3">
      <c r="A620" s="113" t="s">
        <v>952</v>
      </c>
      <c r="B620" s="113" t="s">
        <v>1057</v>
      </c>
      <c r="C620" s="114">
        <v>0</v>
      </c>
      <c r="D620" s="114">
        <v>0</v>
      </c>
    </row>
    <row r="621" spans="1:4" x14ac:dyDescent="0.3">
      <c r="A621" s="113" t="s">
        <v>952</v>
      </c>
      <c r="B621" s="113" t="s">
        <v>1058</v>
      </c>
      <c r="C621" s="114">
        <v>0</v>
      </c>
      <c r="D621" s="114">
        <v>0</v>
      </c>
    </row>
    <row r="622" spans="1:4" x14ac:dyDescent="0.3">
      <c r="A622" s="113" t="s">
        <v>952</v>
      </c>
      <c r="B622" s="113" t="s">
        <v>1059</v>
      </c>
      <c r="C622" s="114">
        <v>0</v>
      </c>
      <c r="D622" s="114">
        <v>0</v>
      </c>
    </row>
    <row r="623" spans="1:4" x14ac:dyDescent="0.3">
      <c r="A623" s="113" t="s">
        <v>952</v>
      </c>
      <c r="B623" s="113" t="s">
        <v>1060</v>
      </c>
      <c r="C623" s="114">
        <v>0</v>
      </c>
      <c r="D623" s="114">
        <v>0</v>
      </c>
    </row>
    <row r="624" spans="1:4" x14ac:dyDescent="0.3">
      <c r="A624" s="113" t="s">
        <v>952</v>
      </c>
      <c r="B624" s="113" t="s">
        <v>1061</v>
      </c>
      <c r="C624" s="114">
        <v>0</v>
      </c>
      <c r="D624" s="114">
        <v>0</v>
      </c>
    </row>
    <row r="625" spans="1:4" x14ac:dyDescent="0.3">
      <c r="A625" s="113" t="s">
        <v>952</v>
      </c>
      <c r="B625" s="113" t="s">
        <v>1062</v>
      </c>
      <c r="C625" s="114">
        <v>0</v>
      </c>
      <c r="D625" s="114">
        <v>0</v>
      </c>
    </row>
    <row r="626" spans="1:4" x14ac:dyDescent="0.3">
      <c r="A626" s="113" t="s">
        <v>952</v>
      </c>
      <c r="B626" s="113" t="s">
        <v>1063</v>
      </c>
      <c r="C626" s="114">
        <v>0</v>
      </c>
      <c r="D626" s="114">
        <v>0</v>
      </c>
    </row>
    <row r="627" spans="1:4" x14ac:dyDescent="0.3">
      <c r="A627" s="113" t="s">
        <v>952</v>
      </c>
      <c r="B627" s="113" t="s">
        <v>1064</v>
      </c>
      <c r="C627" s="114">
        <v>0</v>
      </c>
      <c r="D627" s="114">
        <v>0</v>
      </c>
    </row>
    <row r="628" spans="1:4" x14ac:dyDescent="0.3">
      <c r="A628" s="113" t="s">
        <v>952</v>
      </c>
      <c r="B628" s="113" t="s">
        <v>1065</v>
      </c>
      <c r="C628" s="114">
        <v>0</v>
      </c>
      <c r="D628" s="114">
        <v>0</v>
      </c>
    </row>
    <row r="629" spans="1:4" x14ac:dyDescent="0.3">
      <c r="A629" s="113" t="s">
        <v>952</v>
      </c>
      <c r="B629" s="113" t="s">
        <v>1066</v>
      </c>
      <c r="C629" s="114">
        <v>0</v>
      </c>
      <c r="D629" s="114">
        <v>0</v>
      </c>
    </row>
    <row r="630" spans="1:4" x14ac:dyDescent="0.3">
      <c r="A630" s="113" t="s">
        <v>952</v>
      </c>
      <c r="B630" s="113" t="s">
        <v>1067</v>
      </c>
      <c r="C630" s="114">
        <v>0</v>
      </c>
      <c r="D630" s="114">
        <v>0</v>
      </c>
    </row>
    <row r="631" spans="1:4" x14ac:dyDescent="0.3">
      <c r="A631" s="113" t="s">
        <v>952</v>
      </c>
      <c r="B631" s="113" t="s">
        <v>1068</v>
      </c>
      <c r="C631" s="114">
        <v>0</v>
      </c>
      <c r="D631" s="114">
        <v>0</v>
      </c>
    </row>
    <row r="632" spans="1:4" x14ac:dyDescent="0.3">
      <c r="A632" s="113" t="s">
        <v>952</v>
      </c>
      <c r="B632" s="113" t="s">
        <v>1069</v>
      </c>
      <c r="C632" s="114">
        <v>0</v>
      </c>
      <c r="D632" s="114">
        <v>0</v>
      </c>
    </row>
    <row r="633" spans="1:4" x14ac:dyDescent="0.3">
      <c r="A633" s="113" t="s">
        <v>952</v>
      </c>
      <c r="B633" s="113" t="s">
        <v>1070</v>
      </c>
      <c r="C633" s="114">
        <v>0</v>
      </c>
      <c r="D633" s="114">
        <v>0</v>
      </c>
    </row>
    <row r="634" spans="1:4" x14ac:dyDescent="0.3">
      <c r="A634" s="113" t="s">
        <v>952</v>
      </c>
      <c r="B634" s="113" t="s">
        <v>1071</v>
      </c>
      <c r="C634" s="114">
        <v>0</v>
      </c>
      <c r="D634" s="114">
        <v>0</v>
      </c>
    </row>
    <row r="635" spans="1:4" x14ac:dyDescent="0.3">
      <c r="A635" s="113" t="s">
        <v>952</v>
      </c>
      <c r="B635" s="113" t="s">
        <v>1072</v>
      </c>
      <c r="C635" s="114">
        <v>0</v>
      </c>
      <c r="D635" s="114">
        <v>0</v>
      </c>
    </row>
    <row r="636" spans="1:4" x14ac:dyDescent="0.3">
      <c r="A636" s="113" t="s">
        <v>952</v>
      </c>
      <c r="B636" s="113" t="s">
        <v>1073</v>
      </c>
      <c r="C636" s="114">
        <v>0</v>
      </c>
      <c r="D636" s="114">
        <v>0</v>
      </c>
    </row>
    <row r="637" spans="1:4" x14ac:dyDescent="0.3">
      <c r="A637" s="113" t="s">
        <v>952</v>
      </c>
      <c r="B637" s="113" t="s">
        <v>1074</v>
      </c>
      <c r="C637" s="114">
        <v>0</v>
      </c>
      <c r="D637" s="114">
        <v>0</v>
      </c>
    </row>
    <row r="638" spans="1:4" x14ac:dyDescent="0.3">
      <c r="A638" s="113" t="s">
        <v>952</v>
      </c>
      <c r="B638" s="113" t="s">
        <v>1075</v>
      </c>
      <c r="C638" s="114">
        <v>0</v>
      </c>
      <c r="D638" s="114">
        <v>0</v>
      </c>
    </row>
    <row r="639" spans="1:4" x14ac:dyDescent="0.3">
      <c r="A639" s="113" t="s">
        <v>952</v>
      </c>
      <c r="B639" s="113" t="s">
        <v>1076</v>
      </c>
      <c r="C639" s="114">
        <v>0</v>
      </c>
      <c r="D639" s="114">
        <v>0</v>
      </c>
    </row>
    <row r="640" spans="1:4" x14ac:dyDescent="0.3">
      <c r="A640" s="113" t="s">
        <v>952</v>
      </c>
      <c r="B640" s="113" t="s">
        <v>1077</v>
      </c>
      <c r="C640" s="114">
        <v>0</v>
      </c>
      <c r="D640" s="114">
        <v>0</v>
      </c>
    </row>
    <row r="641" spans="1:4" x14ac:dyDescent="0.3">
      <c r="A641" s="113" t="s">
        <v>952</v>
      </c>
      <c r="B641" s="113" t="s">
        <v>1078</v>
      </c>
      <c r="C641" s="114">
        <v>0</v>
      </c>
      <c r="D641" s="114">
        <v>0</v>
      </c>
    </row>
    <row r="642" spans="1:4" x14ac:dyDescent="0.3">
      <c r="A642" s="113" t="s">
        <v>952</v>
      </c>
      <c r="B642" s="113" t="s">
        <v>1079</v>
      </c>
      <c r="C642" s="114">
        <v>0</v>
      </c>
      <c r="D642" s="114">
        <v>0</v>
      </c>
    </row>
    <row r="643" spans="1:4" x14ac:dyDescent="0.3">
      <c r="A643" s="113" t="s">
        <v>952</v>
      </c>
      <c r="B643" s="113" t="s">
        <v>1080</v>
      </c>
      <c r="C643" s="114">
        <v>0</v>
      </c>
      <c r="D643" s="114">
        <v>0</v>
      </c>
    </row>
    <row r="644" spans="1:4" x14ac:dyDescent="0.3">
      <c r="A644" s="113" t="s">
        <v>952</v>
      </c>
      <c r="B644" s="113" t="s">
        <v>1081</v>
      </c>
      <c r="C644" s="114">
        <v>0</v>
      </c>
      <c r="D644" s="114">
        <v>0</v>
      </c>
    </row>
    <row r="645" spans="1:4" x14ac:dyDescent="0.3">
      <c r="A645" s="113" t="s">
        <v>952</v>
      </c>
      <c r="B645" s="113" t="s">
        <v>1082</v>
      </c>
      <c r="C645" s="114">
        <v>0</v>
      </c>
      <c r="D645" s="114">
        <v>0</v>
      </c>
    </row>
    <row r="646" spans="1:4" x14ac:dyDescent="0.3">
      <c r="A646" s="113" t="s">
        <v>952</v>
      </c>
      <c r="B646" s="113" t="s">
        <v>1083</v>
      </c>
      <c r="C646" s="114">
        <v>0</v>
      </c>
      <c r="D646" s="114">
        <v>0</v>
      </c>
    </row>
    <row r="647" spans="1:4" x14ac:dyDescent="0.3">
      <c r="A647" s="113" t="s">
        <v>952</v>
      </c>
      <c r="B647" s="113" t="s">
        <v>1084</v>
      </c>
      <c r="C647" s="114">
        <v>0</v>
      </c>
      <c r="D647" s="114">
        <v>0</v>
      </c>
    </row>
    <row r="648" spans="1:4" x14ac:dyDescent="0.3">
      <c r="A648" s="113" t="s">
        <v>952</v>
      </c>
      <c r="B648" s="113" t="s">
        <v>1085</v>
      </c>
      <c r="C648" s="114">
        <v>0</v>
      </c>
      <c r="D648" s="114">
        <v>0</v>
      </c>
    </row>
    <row r="649" spans="1:4" x14ac:dyDescent="0.3">
      <c r="A649" s="113" t="s">
        <v>952</v>
      </c>
      <c r="B649" s="113" t="s">
        <v>1086</v>
      </c>
      <c r="C649" s="114">
        <v>0</v>
      </c>
      <c r="D649" s="114">
        <v>0</v>
      </c>
    </row>
    <row r="650" spans="1:4" x14ac:dyDescent="0.3">
      <c r="A650" s="113" t="s">
        <v>952</v>
      </c>
      <c r="B650" s="113" t="s">
        <v>1087</v>
      </c>
      <c r="C650" s="114">
        <v>0</v>
      </c>
      <c r="D650" s="114">
        <v>0</v>
      </c>
    </row>
    <row r="651" spans="1:4" x14ac:dyDescent="0.3">
      <c r="A651" s="113" t="s">
        <v>952</v>
      </c>
      <c r="B651" s="113" t="s">
        <v>1088</v>
      </c>
      <c r="C651" s="114">
        <v>0</v>
      </c>
      <c r="D651" s="114">
        <v>0</v>
      </c>
    </row>
    <row r="652" spans="1:4" x14ac:dyDescent="0.3">
      <c r="A652" s="113" t="s">
        <v>952</v>
      </c>
      <c r="B652" s="113" t="s">
        <v>1089</v>
      </c>
      <c r="C652" s="114">
        <v>0</v>
      </c>
      <c r="D652" s="114">
        <v>0</v>
      </c>
    </row>
    <row r="653" spans="1:4" x14ac:dyDescent="0.3">
      <c r="A653" s="113" t="s">
        <v>952</v>
      </c>
      <c r="B653" s="113" t="s">
        <v>1090</v>
      </c>
      <c r="C653" s="114">
        <v>0</v>
      </c>
      <c r="D653" s="114">
        <v>0</v>
      </c>
    </row>
    <row r="654" spans="1:4" x14ac:dyDescent="0.3">
      <c r="A654" s="113" t="s">
        <v>952</v>
      </c>
      <c r="B654" s="113" t="s">
        <v>1091</v>
      </c>
      <c r="C654" s="114">
        <v>0</v>
      </c>
      <c r="D654" s="114">
        <v>0</v>
      </c>
    </row>
    <row r="655" spans="1:4" x14ac:dyDescent="0.3">
      <c r="A655" s="113" t="s">
        <v>952</v>
      </c>
      <c r="B655" s="113" t="s">
        <v>1092</v>
      </c>
      <c r="C655" s="114">
        <v>0</v>
      </c>
      <c r="D655" s="114">
        <v>0</v>
      </c>
    </row>
    <row r="656" spans="1:4" x14ac:dyDescent="0.3">
      <c r="A656" s="113" t="s">
        <v>952</v>
      </c>
      <c r="B656" s="113" t="s">
        <v>1093</v>
      </c>
      <c r="C656" s="114">
        <v>0</v>
      </c>
      <c r="D656" s="114">
        <v>0</v>
      </c>
    </row>
    <row r="657" spans="1:4" x14ac:dyDescent="0.3">
      <c r="A657" s="113" t="s">
        <v>952</v>
      </c>
      <c r="B657" s="113" t="s">
        <v>1094</v>
      </c>
      <c r="C657" s="114">
        <v>0</v>
      </c>
      <c r="D657" s="114">
        <v>0</v>
      </c>
    </row>
    <row r="658" spans="1:4" x14ac:dyDescent="0.3">
      <c r="A658" s="113" t="s">
        <v>952</v>
      </c>
      <c r="B658" s="113" t="s">
        <v>1095</v>
      </c>
      <c r="C658" s="114">
        <v>0</v>
      </c>
      <c r="D658" s="114">
        <v>0</v>
      </c>
    </row>
    <row r="659" spans="1:4" x14ac:dyDescent="0.3">
      <c r="A659" s="113" t="s">
        <v>952</v>
      </c>
      <c r="B659" s="113" t="s">
        <v>1096</v>
      </c>
      <c r="C659" s="114">
        <v>0</v>
      </c>
      <c r="D659" s="114">
        <v>0</v>
      </c>
    </row>
    <row r="660" spans="1:4" x14ac:dyDescent="0.3">
      <c r="A660" s="113" t="s">
        <v>952</v>
      </c>
      <c r="B660" s="113" t="s">
        <v>1097</v>
      </c>
      <c r="C660" s="114">
        <v>0</v>
      </c>
      <c r="D660" s="114">
        <v>0</v>
      </c>
    </row>
    <row r="661" spans="1:4" x14ac:dyDescent="0.3">
      <c r="A661" s="113" t="s">
        <v>952</v>
      </c>
      <c r="B661" s="113" t="s">
        <v>1098</v>
      </c>
      <c r="C661" s="114">
        <v>0</v>
      </c>
      <c r="D661" s="114">
        <v>0</v>
      </c>
    </row>
    <row r="662" spans="1:4" x14ac:dyDescent="0.3">
      <c r="A662" s="113" t="s">
        <v>952</v>
      </c>
      <c r="B662" s="113" t="s">
        <v>1099</v>
      </c>
      <c r="C662" s="114">
        <v>0</v>
      </c>
      <c r="D662" s="114">
        <v>0</v>
      </c>
    </row>
    <row r="663" spans="1:4" x14ac:dyDescent="0.3">
      <c r="A663" s="113" t="s">
        <v>952</v>
      </c>
      <c r="B663" s="113" t="s">
        <v>1100</v>
      </c>
      <c r="C663" s="114">
        <v>0</v>
      </c>
      <c r="D663" s="114">
        <v>0</v>
      </c>
    </row>
    <row r="664" spans="1:4" x14ac:dyDescent="0.3">
      <c r="A664" s="113" t="s">
        <v>952</v>
      </c>
      <c r="B664" s="113" t="s">
        <v>1101</v>
      </c>
      <c r="C664" s="114">
        <v>0</v>
      </c>
      <c r="D664" s="114">
        <v>0</v>
      </c>
    </row>
    <row r="665" spans="1:4" x14ac:dyDescent="0.3">
      <c r="A665" s="113" t="s">
        <v>952</v>
      </c>
      <c r="B665" s="113" t="s">
        <v>1102</v>
      </c>
      <c r="C665" s="114">
        <v>0</v>
      </c>
      <c r="D665" s="114">
        <v>0</v>
      </c>
    </row>
    <row r="666" spans="1:4" x14ac:dyDescent="0.3">
      <c r="A666" s="113" t="s">
        <v>952</v>
      </c>
      <c r="B666" s="113" t="s">
        <v>1103</v>
      </c>
      <c r="C666" s="114">
        <v>0</v>
      </c>
      <c r="D666" s="114">
        <v>0</v>
      </c>
    </row>
    <row r="667" spans="1:4" x14ac:dyDescent="0.3">
      <c r="A667" s="113" t="s">
        <v>952</v>
      </c>
      <c r="B667" s="113" t="s">
        <v>1104</v>
      </c>
      <c r="C667" s="114">
        <v>0</v>
      </c>
      <c r="D667" s="114">
        <v>0</v>
      </c>
    </row>
    <row r="668" spans="1:4" x14ac:dyDescent="0.3">
      <c r="A668" s="113" t="s">
        <v>952</v>
      </c>
      <c r="B668" s="113" t="s">
        <v>1105</v>
      </c>
      <c r="C668" s="114">
        <v>0</v>
      </c>
      <c r="D668" s="114">
        <v>0</v>
      </c>
    </row>
    <row r="669" spans="1:4" x14ac:dyDescent="0.3">
      <c r="A669" s="113" t="s">
        <v>952</v>
      </c>
      <c r="B669" s="113" t="s">
        <v>1106</v>
      </c>
      <c r="C669" s="114">
        <v>0</v>
      </c>
      <c r="D669" s="114">
        <v>0</v>
      </c>
    </row>
    <row r="670" spans="1:4" x14ac:dyDescent="0.3">
      <c r="A670" s="113" t="s">
        <v>952</v>
      </c>
      <c r="B670" s="113" t="s">
        <v>1107</v>
      </c>
      <c r="C670" s="114">
        <v>0</v>
      </c>
      <c r="D670" s="114">
        <v>0</v>
      </c>
    </row>
    <row r="671" spans="1:4" x14ac:dyDescent="0.3">
      <c r="A671" s="113" t="s">
        <v>952</v>
      </c>
      <c r="B671" s="113" t="s">
        <v>1108</v>
      </c>
      <c r="C671" s="114">
        <v>0</v>
      </c>
      <c r="D671" s="114">
        <v>0</v>
      </c>
    </row>
    <row r="672" spans="1:4" x14ac:dyDescent="0.3">
      <c r="A672" s="113" t="s">
        <v>952</v>
      </c>
      <c r="B672" s="113" t="s">
        <v>1109</v>
      </c>
      <c r="C672" s="114">
        <v>0</v>
      </c>
      <c r="D672" s="114">
        <v>0</v>
      </c>
    </row>
    <row r="673" spans="1:4" x14ac:dyDescent="0.3">
      <c r="A673" s="113" t="s">
        <v>952</v>
      </c>
      <c r="B673" s="113" t="s">
        <v>1110</v>
      </c>
      <c r="C673" s="114">
        <v>0</v>
      </c>
      <c r="D673" s="114">
        <v>0</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8F23A-E250-4FB4-8DC5-B7D16E117121}">
  <sheetPr codeName="Sheet22">
    <tabColor theme="1"/>
    <pageSetUpPr autoPageBreaks="0"/>
  </sheetPr>
  <dimension ref="A1:N647"/>
  <sheetViews>
    <sheetView showGridLines="0" topLeftCell="B1" workbookViewId="0">
      <selection activeCell="I2" sqref="I2"/>
    </sheetView>
  </sheetViews>
  <sheetFormatPr defaultColWidth="8.77734375" defaultRowHeight="14.4" x14ac:dyDescent="0.3"/>
  <cols>
    <col min="1" max="1" width="11" hidden="1" customWidth="1"/>
    <col min="2" max="2" width="33.33203125" bestFit="1" customWidth="1"/>
    <col min="3" max="3" width="34.21875" bestFit="1" customWidth="1"/>
    <col min="4" max="4" width="10.77734375" hidden="1" customWidth="1"/>
    <col min="5" max="5" width="23" hidden="1" customWidth="1"/>
    <col min="6" max="6" width="17.77734375" hidden="1" customWidth="1"/>
    <col min="7" max="7" width="22.77734375" bestFit="1" customWidth="1"/>
    <col min="8" max="8" width="21.6640625" bestFit="1" customWidth="1"/>
    <col min="9" max="9" width="28.21875" bestFit="1" customWidth="1"/>
    <col min="10" max="10" width="31.6640625" bestFit="1" customWidth="1"/>
    <col min="11" max="11" width="11.77734375" bestFit="1" customWidth="1"/>
    <col min="12" max="12" width="11.21875" customWidth="1"/>
    <col min="13" max="13" width="41.6640625" bestFit="1" customWidth="1"/>
    <col min="14" max="14" width="12" customWidth="1"/>
  </cols>
  <sheetData>
    <row r="1" spans="1:14" x14ac:dyDescent="0.3">
      <c r="A1" s="1297" t="s">
        <v>2408</v>
      </c>
      <c r="B1" s="1387" t="s">
        <v>2409</v>
      </c>
      <c r="C1" s="1387" t="s">
        <v>599</v>
      </c>
      <c r="D1" s="1298" t="s">
        <v>2410</v>
      </c>
      <c r="E1" s="1298" t="s">
        <v>2411</v>
      </c>
      <c r="F1" s="1298" t="s">
        <v>2412</v>
      </c>
      <c r="G1" s="1298" t="s">
        <v>2096</v>
      </c>
      <c r="H1" s="1298" t="s">
        <v>245</v>
      </c>
      <c r="I1" s="1298" t="s">
        <v>3169</v>
      </c>
      <c r="J1" s="1298" t="s">
        <v>2413</v>
      </c>
      <c r="K1" s="1298" t="s">
        <v>2414</v>
      </c>
      <c r="L1" s="1298" t="s">
        <v>2415</v>
      </c>
      <c r="M1" s="1298" t="s">
        <v>3168</v>
      </c>
      <c r="N1" s="1298" t="s">
        <v>2416</v>
      </c>
    </row>
    <row r="2" spans="1:14" hidden="1" x14ac:dyDescent="0.3">
      <c r="A2" s="1293">
        <v>1707</v>
      </c>
      <c r="B2" s="1294" t="s">
        <v>2417</v>
      </c>
      <c r="C2" s="1294" t="s">
        <v>1681</v>
      </c>
      <c r="D2" s="1295">
        <v>43087</v>
      </c>
      <c r="E2" s="1295">
        <v>43087</v>
      </c>
      <c r="F2" s="1294" t="s">
        <v>2418</v>
      </c>
      <c r="G2" s="1294" t="s">
        <v>2419</v>
      </c>
      <c r="H2" s="1294" t="s">
        <v>297</v>
      </c>
      <c r="I2" s="1294" t="s">
        <v>2420</v>
      </c>
      <c r="J2" s="1294" t="s">
        <v>2421</v>
      </c>
      <c r="K2" s="1294" t="s">
        <v>2422</v>
      </c>
      <c r="L2" s="1294" t="s">
        <v>1353</v>
      </c>
      <c r="M2" s="1294" t="s">
        <v>711</v>
      </c>
      <c r="N2" s="1296" t="s">
        <v>114</v>
      </c>
    </row>
    <row r="3" spans="1:14" hidden="1" x14ac:dyDescent="0.3">
      <c r="A3" s="1293">
        <v>1319</v>
      </c>
      <c r="B3" s="1294" t="s">
        <v>2423</v>
      </c>
      <c r="C3" s="1294" t="s">
        <v>1710</v>
      </c>
      <c r="D3" s="1295">
        <v>41620</v>
      </c>
      <c r="E3" s="1295">
        <v>41620</v>
      </c>
      <c r="F3" s="1294" t="s">
        <v>2418</v>
      </c>
      <c r="G3" s="1294" t="s">
        <v>2419</v>
      </c>
      <c r="H3" s="1294" t="s">
        <v>297</v>
      </c>
      <c r="I3" s="1294" t="s">
        <v>2424</v>
      </c>
      <c r="J3" s="1294" t="s">
        <v>2425</v>
      </c>
      <c r="K3" s="1294" t="s">
        <v>2422</v>
      </c>
      <c r="L3" s="1294" t="s">
        <v>1350</v>
      </c>
      <c r="M3" s="1294" t="s">
        <v>716</v>
      </c>
      <c r="N3" s="1296" t="s">
        <v>114</v>
      </c>
    </row>
    <row r="4" spans="1:14" hidden="1" x14ac:dyDescent="0.3">
      <c r="A4" s="1293">
        <v>3037</v>
      </c>
      <c r="B4" s="1294" t="s">
        <v>2426</v>
      </c>
      <c r="C4" s="1294" t="s">
        <v>1681</v>
      </c>
      <c r="D4" s="1295">
        <v>44872</v>
      </c>
      <c r="E4" s="1295">
        <v>44872</v>
      </c>
      <c r="F4" s="1294" t="s">
        <v>2418</v>
      </c>
      <c r="G4" s="1294" t="s">
        <v>2419</v>
      </c>
      <c r="H4" s="1294" t="s">
        <v>297</v>
      </c>
      <c r="I4" s="1294" t="s">
        <v>2420</v>
      </c>
      <c r="J4" s="1294" t="s">
        <v>2427</v>
      </c>
      <c r="K4" s="1294" t="s">
        <v>2422</v>
      </c>
      <c r="L4" s="1294" t="s">
        <v>1350</v>
      </c>
      <c r="M4" s="1294" t="s">
        <v>711</v>
      </c>
      <c r="N4" s="1296" t="s">
        <v>114</v>
      </c>
    </row>
    <row r="5" spans="1:14" hidden="1" x14ac:dyDescent="0.3">
      <c r="A5" s="1293">
        <v>1931</v>
      </c>
      <c r="B5" s="1294" t="s">
        <v>2428</v>
      </c>
      <c r="C5" s="1294" t="s">
        <v>1683</v>
      </c>
      <c r="D5" s="1295">
        <v>43500</v>
      </c>
      <c r="E5" s="1295">
        <v>43500</v>
      </c>
      <c r="F5" s="1294" t="s">
        <v>2418</v>
      </c>
      <c r="G5" s="1294" t="s">
        <v>2419</v>
      </c>
      <c r="H5" s="1294" t="s">
        <v>297</v>
      </c>
      <c r="I5" s="1294" t="s">
        <v>2429</v>
      </c>
      <c r="J5" s="1294" t="s">
        <v>1354</v>
      </c>
      <c r="K5" s="1294" t="s">
        <v>2422</v>
      </c>
      <c r="L5" s="1294" t="s">
        <v>1332</v>
      </c>
      <c r="M5" s="1294" t="s">
        <v>711</v>
      </c>
      <c r="N5" s="1296" t="s">
        <v>115</v>
      </c>
    </row>
    <row r="6" spans="1:14" hidden="1" x14ac:dyDescent="0.3">
      <c r="A6" s="1293">
        <v>2241</v>
      </c>
      <c r="B6" s="1294" t="s">
        <v>2430</v>
      </c>
      <c r="C6" s="1294" t="s">
        <v>1680</v>
      </c>
      <c r="D6" s="1295">
        <v>44090</v>
      </c>
      <c r="E6" s="1295">
        <v>44089</v>
      </c>
      <c r="F6" s="1294" t="s">
        <v>2418</v>
      </c>
      <c r="G6" s="1294" t="s">
        <v>2419</v>
      </c>
      <c r="H6" s="1294" t="s">
        <v>297</v>
      </c>
      <c r="I6" s="1294" t="s">
        <v>279</v>
      </c>
      <c r="J6" s="1294" t="s">
        <v>2431</v>
      </c>
      <c r="K6" s="1294" t="s">
        <v>2422</v>
      </c>
      <c r="L6" s="1294" t="s">
        <v>2432</v>
      </c>
      <c r="M6" s="1294" t="s">
        <v>711</v>
      </c>
      <c r="N6" s="1296" t="s">
        <v>113</v>
      </c>
    </row>
    <row r="7" spans="1:14" hidden="1" x14ac:dyDescent="0.3">
      <c r="A7" s="1293">
        <v>2540</v>
      </c>
      <c r="B7" s="1294" t="s">
        <v>2433</v>
      </c>
      <c r="C7" s="1294" t="s">
        <v>1680</v>
      </c>
      <c r="D7" s="1295">
        <v>44419</v>
      </c>
      <c r="E7" s="1295">
        <v>44419</v>
      </c>
      <c r="F7" s="1294" t="s">
        <v>2418</v>
      </c>
      <c r="G7" s="1294" t="s">
        <v>2434</v>
      </c>
      <c r="H7" s="1294" t="s">
        <v>297</v>
      </c>
      <c r="I7" s="1294" t="s">
        <v>2420</v>
      </c>
      <c r="J7" s="1294" t="s">
        <v>2431</v>
      </c>
      <c r="K7" s="1294" t="s">
        <v>2422</v>
      </c>
      <c r="L7" s="1294" t="s">
        <v>2432</v>
      </c>
      <c r="M7" s="1294" t="s">
        <v>711</v>
      </c>
      <c r="N7" s="1296" t="s">
        <v>113</v>
      </c>
    </row>
    <row r="8" spans="1:14" hidden="1" x14ac:dyDescent="0.3">
      <c r="A8" s="1293">
        <v>1825</v>
      </c>
      <c r="B8" s="1294" t="s">
        <v>2435</v>
      </c>
      <c r="C8" s="1294" t="s">
        <v>1681</v>
      </c>
      <c r="D8" s="1295">
        <v>43339</v>
      </c>
      <c r="E8" s="1295">
        <v>43339</v>
      </c>
      <c r="F8" s="1294" t="s">
        <v>2418</v>
      </c>
      <c r="G8" s="1294" t="s">
        <v>2419</v>
      </c>
      <c r="H8" s="1294" t="s">
        <v>297</v>
      </c>
      <c r="I8" s="1294" t="s">
        <v>2420</v>
      </c>
      <c r="J8" s="1294" t="s">
        <v>2421</v>
      </c>
      <c r="K8" s="1294" t="s">
        <v>2422</v>
      </c>
      <c r="L8" s="1294" t="s">
        <v>1353</v>
      </c>
      <c r="M8" s="1294" t="s">
        <v>711</v>
      </c>
      <c r="N8" s="1296" t="s">
        <v>114</v>
      </c>
    </row>
    <row r="9" spans="1:14" hidden="1" x14ac:dyDescent="0.3">
      <c r="A9" s="1293">
        <v>1354</v>
      </c>
      <c r="B9" s="1294" t="s">
        <v>2436</v>
      </c>
      <c r="C9" s="1294" t="s">
        <v>1682</v>
      </c>
      <c r="D9" s="1295">
        <v>41855</v>
      </c>
      <c r="E9" s="1295">
        <v>41855</v>
      </c>
      <c r="F9" s="1294" t="s">
        <v>2418</v>
      </c>
      <c r="G9" s="1294" t="s">
        <v>2419</v>
      </c>
      <c r="H9" s="1294" t="s">
        <v>297</v>
      </c>
      <c r="I9" s="1294" t="s">
        <v>279</v>
      </c>
      <c r="J9" s="1294" t="s">
        <v>2437</v>
      </c>
      <c r="K9" s="1294" t="s">
        <v>2422</v>
      </c>
      <c r="L9" s="1294" t="s">
        <v>1353</v>
      </c>
      <c r="M9" s="1294" t="s">
        <v>711</v>
      </c>
      <c r="N9" s="1296" t="s">
        <v>114</v>
      </c>
    </row>
    <row r="10" spans="1:14" x14ac:dyDescent="0.3">
      <c r="A10" s="1293">
        <v>1389</v>
      </c>
      <c r="B10" s="1294" t="s">
        <v>2438</v>
      </c>
      <c r="C10" s="1294" t="s">
        <v>1682</v>
      </c>
      <c r="D10" s="1295">
        <v>41957</v>
      </c>
      <c r="E10" s="1295">
        <v>41957</v>
      </c>
      <c r="F10" s="1294" t="s">
        <v>2418</v>
      </c>
      <c r="G10" s="1294" t="s">
        <v>2419</v>
      </c>
      <c r="H10" s="1294" t="s">
        <v>297</v>
      </c>
      <c r="I10" s="1294" t="s">
        <v>2439</v>
      </c>
      <c r="J10" s="1294" t="s">
        <v>2437</v>
      </c>
      <c r="K10" s="1294" t="s">
        <v>2422</v>
      </c>
      <c r="L10" s="1294" t="s">
        <v>1353</v>
      </c>
      <c r="M10" s="1294" t="s">
        <v>711</v>
      </c>
      <c r="N10" s="1296" t="s">
        <v>114</v>
      </c>
    </row>
    <row r="11" spans="1:14" hidden="1" x14ac:dyDescent="0.3">
      <c r="A11" s="1293">
        <v>2443</v>
      </c>
      <c r="B11" s="1294" t="s">
        <v>2440</v>
      </c>
      <c r="C11" s="1294" t="s">
        <v>1680</v>
      </c>
      <c r="D11" s="1295">
        <v>44335</v>
      </c>
      <c r="E11" s="1295">
        <v>44335</v>
      </c>
      <c r="F11" s="1294" t="s">
        <v>2418</v>
      </c>
      <c r="G11" s="1294" t="s">
        <v>2434</v>
      </c>
      <c r="H11" s="1294" t="s">
        <v>297</v>
      </c>
      <c r="I11" s="1294" t="s">
        <v>279</v>
      </c>
      <c r="J11" s="1294" t="s">
        <v>2431</v>
      </c>
      <c r="K11" s="1294" t="s">
        <v>2422</v>
      </c>
      <c r="L11" s="1294" t="s">
        <v>2432</v>
      </c>
      <c r="M11" s="1294" t="s">
        <v>711</v>
      </c>
      <c r="N11" s="1296" t="s">
        <v>113</v>
      </c>
    </row>
    <row r="12" spans="1:14" hidden="1" x14ac:dyDescent="0.3">
      <c r="A12" s="1293">
        <v>2944</v>
      </c>
      <c r="B12" s="1294" t="s">
        <v>2441</v>
      </c>
      <c r="C12" s="1294" t="s">
        <v>1682</v>
      </c>
      <c r="D12" s="1295">
        <v>44746</v>
      </c>
      <c r="E12" s="1295">
        <v>44746</v>
      </c>
      <c r="F12" s="1294" t="s">
        <v>2418</v>
      </c>
      <c r="G12" s="1294" t="s">
        <v>2434</v>
      </c>
      <c r="H12" s="1294" t="s">
        <v>297</v>
      </c>
      <c r="I12" s="1294" t="s">
        <v>2439</v>
      </c>
      <c r="J12" s="1294" t="s">
        <v>2437</v>
      </c>
      <c r="K12" s="1294" t="s">
        <v>2422</v>
      </c>
      <c r="L12" s="1294" t="s">
        <v>1353</v>
      </c>
      <c r="M12" s="1294" t="s">
        <v>711</v>
      </c>
      <c r="N12" s="1296" t="s">
        <v>114</v>
      </c>
    </row>
    <row r="13" spans="1:14" hidden="1" x14ac:dyDescent="0.3">
      <c r="A13" s="1293">
        <v>2649</v>
      </c>
      <c r="B13" s="1294" t="s">
        <v>2442</v>
      </c>
      <c r="C13" s="1294" t="s">
        <v>1680</v>
      </c>
      <c r="D13" s="1295">
        <v>44474</v>
      </c>
      <c r="E13" s="1295">
        <v>44474</v>
      </c>
      <c r="F13" s="1294" t="s">
        <v>2418</v>
      </c>
      <c r="G13" s="1294" t="s">
        <v>2419</v>
      </c>
      <c r="H13" s="1294" t="s">
        <v>297</v>
      </c>
      <c r="I13" s="1294" t="s">
        <v>279</v>
      </c>
      <c r="J13" s="1294" t="s">
        <v>2431</v>
      </c>
      <c r="K13" s="1294" t="s">
        <v>2422</v>
      </c>
      <c r="L13" s="1294" t="s">
        <v>2432</v>
      </c>
      <c r="M13" s="1294" t="s">
        <v>711</v>
      </c>
      <c r="N13" s="1296" t="s">
        <v>113</v>
      </c>
    </row>
    <row r="14" spans="1:14" hidden="1" x14ac:dyDescent="0.3">
      <c r="A14" s="1293">
        <v>2297</v>
      </c>
      <c r="B14" s="1294" t="s">
        <v>2443</v>
      </c>
      <c r="C14" s="1294" t="s">
        <v>1682</v>
      </c>
      <c r="D14" s="1295">
        <v>44207</v>
      </c>
      <c r="E14" s="1295">
        <v>44207</v>
      </c>
      <c r="F14" s="1294" t="s">
        <v>2418</v>
      </c>
      <c r="G14" s="1294" t="s">
        <v>2419</v>
      </c>
      <c r="H14" s="1294" t="s">
        <v>297</v>
      </c>
      <c r="I14" s="1294" t="s">
        <v>279</v>
      </c>
      <c r="J14" s="1294" t="s">
        <v>2425</v>
      </c>
      <c r="K14" s="1294" t="s">
        <v>2422</v>
      </c>
      <c r="L14" s="1294" t="s">
        <v>1350</v>
      </c>
      <c r="M14" s="1294" t="s">
        <v>711</v>
      </c>
      <c r="N14" s="1296" t="s">
        <v>114</v>
      </c>
    </row>
    <row r="15" spans="1:14" hidden="1" x14ac:dyDescent="0.3">
      <c r="A15" s="1293">
        <v>2352</v>
      </c>
      <c r="B15" s="1294" t="s">
        <v>2444</v>
      </c>
      <c r="C15" s="1294" t="s">
        <v>1710</v>
      </c>
      <c r="D15" s="1295">
        <v>44265</v>
      </c>
      <c r="E15" s="1295">
        <v>44265</v>
      </c>
      <c r="F15" s="1294" t="s">
        <v>2418</v>
      </c>
      <c r="G15" s="1294" t="s">
        <v>2419</v>
      </c>
      <c r="H15" s="1294" t="s">
        <v>297</v>
      </c>
      <c r="I15" s="1294" t="s">
        <v>2424</v>
      </c>
      <c r="J15" s="1294" t="s">
        <v>2437</v>
      </c>
      <c r="K15" s="1294" t="s">
        <v>2422</v>
      </c>
      <c r="L15" s="1294" t="s">
        <v>1353</v>
      </c>
      <c r="M15" s="1294" t="s">
        <v>716</v>
      </c>
      <c r="N15" s="1296" t="s">
        <v>114</v>
      </c>
    </row>
    <row r="16" spans="1:14" hidden="1" x14ac:dyDescent="0.3">
      <c r="A16" s="1293">
        <v>2936</v>
      </c>
      <c r="B16" s="1294" t="s">
        <v>2445</v>
      </c>
      <c r="C16" s="1294" t="s">
        <v>1680</v>
      </c>
      <c r="D16" s="1295">
        <v>44739</v>
      </c>
      <c r="E16" s="1295">
        <v>44739</v>
      </c>
      <c r="F16" s="1294" t="s">
        <v>2418</v>
      </c>
      <c r="G16" s="1294" t="s">
        <v>2419</v>
      </c>
      <c r="H16" s="1294" t="s">
        <v>297</v>
      </c>
      <c r="I16" s="1294" t="s">
        <v>279</v>
      </c>
      <c r="J16" s="1294" t="s">
        <v>2446</v>
      </c>
      <c r="K16" s="1294" t="s">
        <v>2422</v>
      </c>
      <c r="L16" s="1294" t="s">
        <v>2447</v>
      </c>
      <c r="M16" s="1294" t="s">
        <v>711</v>
      </c>
      <c r="N16" s="1296" t="s">
        <v>113</v>
      </c>
    </row>
    <row r="17" spans="1:14" hidden="1" x14ac:dyDescent="0.3">
      <c r="A17" s="1293">
        <v>2600</v>
      </c>
      <c r="B17" s="1294" t="s">
        <v>2448</v>
      </c>
      <c r="C17" s="1294" t="s">
        <v>2451</v>
      </c>
      <c r="D17" s="1295">
        <v>44431</v>
      </c>
      <c r="E17" s="1295">
        <v>44431</v>
      </c>
      <c r="F17" s="1294" t="s">
        <v>2418</v>
      </c>
      <c r="G17" s="1294" t="s">
        <v>2419</v>
      </c>
      <c r="H17" s="1294" t="s">
        <v>297</v>
      </c>
      <c r="I17" s="1294" t="s">
        <v>279</v>
      </c>
      <c r="J17" s="1294" t="s">
        <v>2449</v>
      </c>
      <c r="K17" s="1294" t="s">
        <v>2422</v>
      </c>
      <c r="L17" s="1294" t="s">
        <v>2450</v>
      </c>
      <c r="M17" s="1294" t="s">
        <v>711</v>
      </c>
      <c r="N17" s="1296" t="s">
        <v>2452</v>
      </c>
    </row>
    <row r="18" spans="1:14" hidden="1" x14ac:dyDescent="0.3">
      <c r="A18" s="1293">
        <v>1810</v>
      </c>
      <c r="B18" s="1294" t="s">
        <v>2453</v>
      </c>
      <c r="C18" s="1294" t="s">
        <v>721</v>
      </c>
      <c r="D18" s="1295">
        <v>43318</v>
      </c>
      <c r="E18" s="1295">
        <v>43318</v>
      </c>
      <c r="F18" s="1294" t="s">
        <v>2418</v>
      </c>
      <c r="G18" s="1294" t="s">
        <v>2434</v>
      </c>
      <c r="H18" s="1294" t="s">
        <v>297</v>
      </c>
      <c r="I18" s="1294" t="s">
        <v>279</v>
      </c>
      <c r="J18" s="1294" t="s">
        <v>1333</v>
      </c>
      <c r="K18" s="1294" t="s">
        <v>2422</v>
      </c>
      <c r="L18" s="1294" t="s">
        <v>1376</v>
      </c>
      <c r="M18" s="1294" t="s">
        <v>711</v>
      </c>
      <c r="N18" s="1296" t="s">
        <v>116</v>
      </c>
    </row>
    <row r="19" spans="1:14" hidden="1" x14ac:dyDescent="0.3">
      <c r="A19" s="1293">
        <v>2928</v>
      </c>
      <c r="B19" s="1294" t="s">
        <v>2454</v>
      </c>
      <c r="C19" s="1294" t="s">
        <v>1681</v>
      </c>
      <c r="D19" s="1295">
        <v>44732</v>
      </c>
      <c r="E19" s="1295">
        <v>44732</v>
      </c>
      <c r="F19" s="1294" t="s">
        <v>2418</v>
      </c>
      <c r="G19" s="1294" t="s">
        <v>2434</v>
      </c>
      <c r="H19" s="1294" t="s">
        <v>297</v>
      </c>
      <c r="I19" s="1294" t="s">
        <v>2439</v>
      </c>
      <c r="J19" s="1294" t="s">
        <v>2427</v>
      </c>
      <c r="K19" s="1294" t="s">
        <v>2422</v>
      </c>
      <c r="L19" s="1294" t="s">
        <v>1350</v>
      </c>
      <c r="M19" s="1294" t="s">
        <v>711</v>
      </c>
      <c r="N19" s="1296" t="s">
        <v>114</v>
      </c>
    </row>
    <row r="20" spans="1:14" hidden="1" x14ac:dyDescent="0.3">
      <c r="A20" s="1293">
        <v>1514</v>
      </c>
      <c r="B20" s="1294" t="s">
        <v>2455</v>
      </c>
      <c r="C20" s="1294" t="s">
        <v>1680</v>
      </c>
      <c r="D20" s="1295">
        <v>42598</v>
      </c>
      <c r="E20" s="1295">
        <v>42598</v>
      </c>
      <c r="F20" s="1294" t="s">
        <v>2418</v>
      </c>
      <c r="G20" s="1294" t="s">
        <v>2419</v>
      </c>
      <c r="H20" s="1294" t="s">
        <v>297</v>
      </c>
      <c r="I20" s="1294" t="s">
        <v>279</v>
      </c>
      <c r="J20" s="1294" t="s">
        <v>2431</v>
      </c>
      <c r="K20" s="1294" t="s">
        <v>2422</v>
      </c>
      <c r="L20" s="1294" t="s">
        <v>2432</v>
      </c>
      <c r="M20" s="1294" t="s">
        <v>711</v>
      </c>
      <c r="N20" s="1296" t="s">
        <v>113</v>
      </c>
    </row>
    <row r="21" spans="1:14" hidden="1" x14ac:dyDescent="0.3">
      <c r="A21" s="1293">
        <v>1351</v>
      </c>
      <c r="B21" s="1294" t="s">
        <v>2456</v>
      </c>
      <c r="C21" s="1294" t="s">
        <v>534</v>
      </c>
      <c r="D21" s="1295">
        <v>44718</v>
      </c>
      <c r="E21" s="1295">
        <v>41855</v>
      </c>
      <c r="F21" s="1294" t="s">
        <v>2418</v>
      </c>
      <c r="G21" s="1294" t="s">
        <v>2457</v>
      </c>
      <c r="H21" s="1294" t="s">
        <v>297</v>
      </c>
      <c r="I21" s="1294" t="s">
        <v>2458</v>
      </c>
      <c r="J21" s="1294" t="s">
        <v>2431</v>
      </c>
      <c r="K21" s="1294" t="s">
        <v>2459</v>
      </c>
      <c r="L21" s="1294" t="s">
        <v>2432</v>
      </c>
      <c r="M21" s="1294" t="s">
        <v>765</v>
      </c>
      <c r="N21" s="1296" t="s">
        <v>113</v>
      </c>
    </row>
    <row r="22" spans="1:14" hidden="1" x14ac:dyDescent="0.3">
      <c r="A22" s="1293">
        <v>3007</v>
      </c>
      <c r="B22" s="1294" t="s">
        <v>2460</v>
      </c>
      <c r="C22" s="1294" t="s">
        <v>1681</v>
      </c>
      <c r="D22" s="1295">
        <v>44809</v>
      </c>
      <c r="E22" s="1295">
        <v>44809</v>
      </c>
      <c r="F22" s="1294" t="s">
        <v>2418</v>
      </c>
      <c r="G22" s="1294" t="s">
        <v>2419</v>
      </c>
      <c r="H22" s="1294" t="s">
        <v>297</v>
      </c>
      <c r="I22" s="1294" t="s">
        <v>2461</v>
      </c>
      <c r="J22" s="1294" t="s">
        <v>2421</v>
      </c>
      <c r="K22" s="1294" t="s">
        <v>2422</v>
      </c>
      <c r="L22" s="1294" t="s">
        <v>1353</v>
      </c>
      <c r="M22" s="1294" t="s">
        <v>711</v>
      </c>
      <c r="N22" s="1296" t="s">
        <v>114</v>
      </c>
    </row>
    <row r="23" spans="1:14" hidden="1" x14ac:dyDescent="0.3">
      <c r="A23" s="1293">
        <v>1158</v>
      </c>
      <c r="B23" s="1294" t="s">
        <v>2462</v>
      </c>
      <c r="C23" s="1294" t="s">
        <v>1683</v>
      </c>
      <c r="D23" s="1295">
        <v>40800</v>
      </c>
      <c r="E23" s="1295">
        <v>40800</v>
      </c>
      <c r="F23" s="1294" t="s">
        <v>2418</v>
      </c>
      <c r="G23" s="1294" t="s">
        <v>2419</v>
      </c>
      <c r="H23" s="1294" t="s">
        <v>297</v>
      </c>
      <c r="I23" s="1294" t="s">
        <v>279</v>
      </c>
      <c r="J23" s="1294" t="s">
        <v>1396</v>
      </c>
      <c r="K23" s="1294" t="s">
        <v>2422</v>
      </c>
      <c r="L23" s="1294" t="s">
        <v>1332</v>
      </c>
      <c r="M23" s="1294" t="s">
        <v>711</v>
      </c>
      <c r="N23" s="1296" t="s">
        <v>115</v>
      </c>
    </row>
    <row r="24" spans="1:14" hidden="1" x14ac:dyDescent="0.3">
      <c r="A24" s="1293">
        <v>1523</v>
      </c>
      <c r="B24" s="1294" t="s">
        <v>2463</v>
      </c>
      <c r="C24" s="1294" t="s">
        <v>1680</v>
      </c>
      <c r="D24" s="1295">
        <v>42598</v>
      </c>
      <c r="E24" s="1295">
        <v>42598</v>
      </c>
      <c r="F24" s="1294" t="s">
        <v>2418</v>
      </c>
      <c r="G24" s="1294" t="s">
        <v>2419</v>
      </c>
      <c r="H24" s="1294" t="s">
        <v>297</v>
      </c>
      <c r="I24" s="1294" t="s">
        <v>279</v>
      </c>
      <c r="J24" s="1294" t="s">
        <v>2431</v>
      </c>
      <c r="K24" s="1294" t="s">
        <v>2422</v>
      </c>
      <c r="L24" s="1294" t="s">
        <v>2432</v>
      </c>
      <c r="M24" s="1294" t="s">
        <v>711</v>
      </c>
      <c r="N24" s="1296" t="s">
        <v>113</v>
      </c>
    </row>
    <row r="25" spans="1:14" hidden="1" x14ac:dyDescent="0.3">
      <c r="A25" s="1293">
        <v>1806</v>
      </c>
      <c r="B25" s="1294" t="s">
        <v>2464</v>
      </c>
      <c r="C25" s="1294" t="s">
        <v>1683</v>
      </c>
      <c r="D25" s="1295">
        <v>43311</v>
      </c>
      <c r="E25" s="1295">
        <v>43311</v>
      </c>
      <c r="F25" s="1294" t="s">
        <v>2418</v>
      </c>
      <c r="G25" s="1294" t="s">
        <v>2434</v>
      </c>
      <c r="H25" s="1294" t="s">
        <v>297</v>
      </c>
      <c r="I25" s="1294" t="s">
        <v>279</v>
      </c>
      <c r="J25" s="1294" t="s">
        <v>1354</v>
      </c>
      <c r="K25" s="1294" t="s">
        <v>2422</v>
      </c>
      <c r="L25" s="1294" t="s">
        <v>1332</v>
      </c>
      <c r="M25" s="1294" t="s">
        <v>711</v>
      </c>
      <c r="N25" s="1296" t="s">
        <v>115</v>
      </c>
    </row>
    <row r="26" spans="1:14" hidden="1" x14ac:dyDescent="0.3">
      <c r="A26" s="1293">
        <v>2025</v>
      </c>
      <c r="B26" s="1294" t="s">
        <v>2465</v>
      </c>
      <c r="C26" s="1294" t="s">
        <v>1681</v>
      </c>
      <c r="D26" s="1295">
        <v>43614</v>
      </c>
      <c r="E26" s="1295">
        <v>43614</v>
      </c>
      <c r="F26" s="1294" t="s">
        <v>2418</v>
      </c>
      <c r="G26" s="1294" t="s">
        <v>2419</v>
      </c>
      <c r="H26" s="1294" t="s">
        <v>297</v>
      </c>
      <c r="I26" s="1294" t="s">
        <v>2420</v>
      </c>
      <c r="J26" s="1294" t="s">
        <v>2421</v>
      </c>
      <c r="K26" s="1294" t="s">
        <v>2422</v>
      </c>
      <c r="L26" s="1294" t="s">
        <v>1353</v>
      </c>
      <c r="M26" s="1294" t="s">
        <v>711</v>
      </c>
      <c r="N26" s="1296" t="s">
        <v>114</v>
      </c>
    </row>
    <row r="27" spans="1:14" hidden="1" x14ac:dyDescent="0.3">
      <c r="A27" s="1293">
        <v>2742</v>
      </c>
      <c r="B27" s="1294" t="s">
        <v>2466</v>
      </c>
      <c r="C27" s="1294" t="s">
        <v>1682</v>
      </c>
      <c r="D27" s="1295">
        <v>44550</v>
      </c>
      <c r="E27" s="1295">
        <v>44550</v>
      </c>
      <c r="F27" s="1294" t="s">
        <v>2418</v>
      </c>
      <c r="G27" s="1294" t="s">
        <v>2419</v>
      </c>
      <c r="H27" s="1294" t="s">
        <v>297</v>
      </c>
      <c r="I27" s="1294" t="s">
        <v>279</v>
      </c>
      <c r="J27" s="1294" t="s">
        <v>2425</v>
      </c>
      <c r="K27" s="1294" t="s">
        <v>2422</v>
      </c>
      <c r="L27" s="1294" t="s">
        <v>1350</v>
      </c>
      <c r="M27" s="1294" t="s">
        <v>711</v>
      </c>
      <c r="N27" s="1296" t="s">
        <v>114</v>
      </c>
    </row>
    <row r="28" spans="1:14" hidden="1" x14ac:dyDescent="0.3">
      <c r="A28" s="1293">
        <v>3150</v>
      </c>
      <c r="B28" s="1294" t="s">
        <v>2467</v>
      </c>
      <c r="C28" s="1294" t="s">
        <v>1681</v>
      </c>
      <c r="D28" s="1295">
        <v>44991</v>
      </c>
      <c r="E28" s="1295">
        <v>44991</v>
      </c>
      <c r="F28" s="1294" t="s">
        <v>2418</v>
      </c>
      <c r="G28" s="1294" t="s">
        <v>2419</v>
      </c>
      <c r="H28" s="1294" t="s">
        <v>297</v>
      </c>
      <c r="I28" s="1294" t="s">
        <v>279</v>
      </c>
      <c r="J28" s="1294" t="s">
        <v>2421</v>
      </c>
      <c r="K28" s="1294" t="s">
        <v>2422</v>
      </c>
      <c r="L28" s="1294" t="s">
        <v>1353</v>
      </c>
      <c r="M28" s="1294" t="s">
        <v>711</v>
      </c>
      <c r="N28" s="1296" t="s">
        <v>114</v>
      </c>
    </row>
    <row r="29" spans="1:14" hidden="1" x14ac:dyDescent="0.3">
      <c r="A29" s="1293">
        <v>3083</v>
      </c>
      <c r="B29" s="1294" t="s">
        <v>2468</v>
      </c>
      <c r="C29" s="1294" t="s">
        <v>1682</v>
      </c>
      <c r="D29" s="1295">
        <v>44973</v>
      </c>
      <c r="E29" s="1295">
        <v>44973</v>
      </c>
      <c r="F29" s="1294" t="s">
        <v>2418</v>
      </c>
      <c r="G29" s="1294" t="s">
        <v>2419</v>
      </c>
      <c r="H29" s="1294" t="s">
        <v>297</v>
      </c>
      <c r="I29" s="1294" t="s">
        <v>279</v>
      </c>
      <c r="J29" s="1294" t="s">
        <v>2425</v>
      </c>
      <c r="K29" s="1294" t="s">
        <v>2422</v>
      </c>
      <c r="L29" s="1294" t="s">
        <v>1350</v>
      </c>
      <c r="M29" s="1294" t="s">
        <v>711</v>
      </c>
      <c r="N29" s="1296" t="s">
        <v>114</v>
      </c>
    </row>
    <row r="30" spans="1:14" hidden="1" x14ac:dyDescent="0.3">
      <c r="A30" s="1293">
        <v>1357</v>
      </c>
      <c r="B30" s="1294" t="s">
        <v>2469</v>
      </c>
      <c r="C30" s="1294" t="s">
        <v>1682</v>
      </c>
      <c r="D30" s="1295">
        <v>41855</v>
      </c>
      <c r="E30" s="1295">
        <v>41855</v>
      </c>
      <c r="F30" s="1294" t="s">
        <v>2418</v>
      </c>
      <c r="G30" s="1294" t="s">
        <v>2419</v>
      </c>
      <c r="H30" s="1294" t="s">
        <v>297</v>
      </c>
      <c r="I30" s="1294" t="s">
        <v>279</v>
      </c>
      <c r="J30" s="1294" t="s">
        <v>2437</v>
      </c>
      <c r="K30" s="1294" t="s">
        <v>2422</v>
      </c>
      <c r="L30" s="1294" t="s">
        <v>1353</v>
      </c>
      <c r="M30" s="1294" t="s">
        <v>711</v>
      </c>
      <c r="N30" s="1296" t="s">
        <v>114</v>
      </c>
    </row>
    <row r="31" spans="1:14" hidden="1" x14ac:dyDescent="0.3">
      <c r="A31" s="1293">
        <v>3068</v>
      </c>
      <c r="B31" s="1294" t="s">
        <v>2470</v>
      </c>
      <c r="C31" s="1294" t="s">
        <v>1680</v>
      </c>
      <c r="D31" s="1295">
        <v>44950</v>
      </c>
      <c r="E31" s="1295">
        <v>44950</v>
      </c>
      <c r="F31" s="1294" t="s">
        <v>2418</v>
      </c>
      <c r="G31" s="1294" t="s">
        <v>2419</v>
      </c>
      <c r="H31" s="1294" t="s">
        <v>297</v>
      </c>
      <c r="I31" s="1294" t="s">
        <v>2420</v>
      </c>
      <c r="J31" s="1294" t="s">
        <v>2431</v>
      </c>
      <c r="K31" s="1294" t="s">
        <v>2422</v>
      </c>
      <c r="L31" s="1294" t="s">
        <v>2432</v>
      </c>
      <c r="M31" s="1294" t="s">
        <v>711</v>
      </c>
      <c r="N31" s="1296" t="s">
        <v>113</v>
      </c>
    </row>
    <row r="32" spans="1:14" hidden="1" x14ac:dyDescent="0.3">
      <c r="A32" s="1293">
        <v>1914</v>
      </c>
      <c r="B32" s="1294" t="s">
        <v>2471</v>
      </c>
      <c r="C32" s="1294" t="s">
        <v>1682</v>
      </c>
      <c r="D32" s="1295">
        <v>43451</v>
      </c>
      <c r="E32" s="1295">
        <v>43451</v>
      </c>
      <c r="F32" s="1294" t="s">
        <v>2418</v>
      </c>
      <c r="G32" s="1294" t="s">
        <v>2434</v>
      </c>
      <c r="H32" s="1294" t="s">
        <v>297</v>
      </c>
      <c r="I32" s="1294" t="s">
        <v>279</v>
      </c>
      <c r="J32" s="1294" t="s">
        <v>2425</v>
      </c>
      <c r="K32" s="1294" t="s">
        <v>2422</v>
      </c>
      <c r="L32" s="1294" t="s">
        <v>1350</v>
      </c>
      <c r="M32" s="1294" t="s">
        <v>711</v>
      </c>
      <c r="N32" s="1296" t="s">
        <v>114</v>
      </c>
    </row>
    <row r="33" spans="1:14" hidden="1" x14ac:dyDescent="0.3">
      <c r="A33" s="1293">
        <v>2705</v>
      </c>
      <c r="B33" s="1294" t="s">
        <v>2472</v>
      </c>
      <c r="C33" s="1294" t="s">
        <v>1682</v>
      </c>
      <c r="D33" s="1295">
        <v>44524</v>
      </c>
      <c r="E33" s="1295">
        <v>44524</v>
      </c>
      <c r="F33" s="1294" t="s">
        <v>2418</v>
      </c>
      <c r="G33" s="1294" t="s">
        <v>2434</v>
      </c>
      <c r="H33" s="1294" t="s">
        <v>297</v>
      </c>
      <c r="I33" s="1294" t="s">
        <v>279</v>
      </c>
      <c r="J33" s="1294" t="s">
        <v>2437</v>
      </c>
      <c r="K33" s="1294" t="s">
        <v>2422</v>
      </c>
      <c r="L33" s="1294" t="s">
        <v>1353</v>
      </c>
      <c r="M33" s="1294" t="s">
        <v>711</v>
      </c>
      <c r="N33" s="1296" t="s">
        <v>114</v>
      </c>
    </row>
    <row r="34" spans="1:14" hidden="1" x14ac:dyDescent="0.3">
      <c r="A34" s="1293">
        <v>1580</v>
      </c>
      <c r="B34" s="1294" t="s">
        <v>2473</v>
      </c>
      <c r="C34" s="1294" t="s">
        <v>2474</v>
      </c>
      <c r="D34" s="1295">
        <v>42772</v>
      </c>
      <c r="E34" s="1295">
        <v>42772</v>
      </c>
      <c r="F34" s="1294" t="s">
        <v>2418</v>
      </c>
      <c r="G34" s="1294" t="s">
        <v>2419</v>
      </c>
      <c r="H34" s="1294" t="s">
        <v>297</v>
      </c>
      <c r="I34" s="1294" t="s">
        <v>2424</v>
      </c>
      <c r="J34" s="1294" t="s">
        <v>2431</v>
      </c>
      <c r="K34" s="1294" t="s">
        <v>2422</v>
      </c>
      <c r="L34" s="1294" t="s">
        <v>2432</v>
      </c>
      <c r="M34" s="1294" t="s">
        <v>716</v>
      </c>
      <c r="N34" s="1296" t="s">
        <v>113</v>
      </c>
    </row>
    <row r="35" spans="1:14" hidden="1" x14ac:dyDescent="0.3">
      <c r="A35" s="1293">
        <v>1811</v>
      </c>
      <c r="B35" s="1294" t="s">
        <v>2475</v>
      </c>
      <c r="C35" s="1294" t="s">
        <v>1682</v>
      </c>
      <c r="D35" s="1295">
        <v>43318</v>
      </c>
      <c r="E35" s="1295">
        <v>43318</v>
      </c>
      <c r="F35" s="1294" t="s">
        <v>2418</v>
      </c>
      <c r="G35" s="1294" t="s">
        <v>2476</v>
      </c>
      <c r="H35" s="1294" t="s">
        <v>297</v>
      </c>
      <c r="I35" s="1294" t="s">
        <v>279</v>
      </c>
      <c r="J35" s="1294" t="s">
        <v>2437</v>
      </c>
      <c r="K35" s="1294" t="s">
        <v>2422</v>
      </c>
      <c r="L35" s="1294" t="s">
        <v>1353</v>
      </c>
      <c r="M35" s="1294" t="s">
        <v>711</v>
      </c>
      <c r="N35" s="1296" t="s">
        <v>114</v>
      </c>
    </row>
    <row r="36" spans="1:14" hidden="1" x14ac:dyDescent="0.3">
      <c r="A36" s="1293">
        <v>2948</v>
      </c>
      <c r="B36" s="1294" t="s">
        <v>2477</v>
      </c>
      <c r="C36" s="1294" t="s">
        <v>1682</v>
      </c>
      <c r="D36" s="1295">
        <v>44753</v>
      </c>
      <c r="E36" s="1295">
        <v>44753</v>
      </c>
      <c r="F36" s="1294" t="s">
        <v>2418</v>
      </c>
      <c r="G36" s="1294" t="s">
        <v>2419</v>
      </c>
      <c r="H36" s="1294" t="s">
        <v>297</v>
      </c>
      <c r="I36" s="1294" t="s">
        <v>279</v>
      </c>
      <c r="J36" s="1294" t="s">
        <v>2425</v>
      </c>
      <c r="K36" s="1294" t="s">
        <v>2422</v>
      </c>
      <c r="L36" s="1294" t="s">
        <v>1350</v>
      </c>
      <c r="M36" s="1294" t="s">
        <v>711</v>
      </c>
      <c r="N36" s="1296" t="s">
        <v>114</v>
      </c>
    </row>
    <row r="37" spans="1:14" hidden="1" x14ac:dyDescent="0.3">
      <c r="A37" s="1293">
        <v>2881</v>
      </c>
      <c r="B37" s="1294" t="s">
        <v>2478</v>
      </c>
      <c r="C37" s="1294" t="s">
        <v>1680</v>
      </c>
      <c r="D37" s="1295">
        <v>44685</v>
      </c>
      <c r="E37" s="1295">
        <v>44685</v>
      </c>
      <c r="F37" s="1294" t="s">
        <v>2418</v>
      </c>
      <c r="G37" s="1294" t="s">
        <v>2434</v>
      </c>
      <c r="H37" s="1294" t="s">
        <v>297</v>
      </c>
      <c r="I37" s="1294" t="s">
        <v>279</v>
      </c>
      <c r="J37" s="1294" t="s">
        <v>2431</v>
      </c>
      <c r="K37" s="1294" t="s">
        <v>2422</v>
      </c>
      <c r="L37" s="1294" t="s">
        <v>2432</v>
      </c>
      <c r="M37" s="1294" t="s">
        <v>711</v>
      </c>
      <c r="N37" s="1296" t="s">
        <v>113</v>
      </c>
    </row>
    <row r="38" spans="1:14" hidden="1" x14ac:dyDescent="0.3">
      <c r="A38" s="1293">
        <v>1187</v>
      </c>
      <c r="B38" s="1294" t="s">
        <v>2479</v>
      </c>
      <c r="C38" s="1294" t="s">
        <v>1682</v>
      </c>
      <c r="D38" s="1295">
        <v>40952</v>
      </c>
      <c r="E38" s="1295">
        <v>40952</v>
      </c>
      <c r="F38" s="1294" t="s">
        <v>2418</v>
      </c>
      <c r="G38" s="1294" t="s">
        <v>2419</v>
      </c>
      <c r="H38" s="1294" t="s">
        <v>297</v>
      </c>
      <c r="I38" s="1294" t="s">
        <v>279</v>
      </c>
      <c r="J38" s="1294" t="s">
        <v>2425</v>
      </c>
      <c r="K38" s="1294" t="s">
        <v>2422</v>
      </c>
      <c r="L38" s="1294" t="s">
        <v>1350</v>
      </c>
      <c r="M38" s="1294" t="s">
        <v>711</v>
      </c>
      <c r="N38" s="1296" t="s">
        <v>114</v>
      </c>
    </row>
    <row r="39" spans="1:14" hidden="1" x14ac:dyDescent="0.3">
      <c r="A39" s="1293">
        <v>1306</v>
      </c>
      <c r="B39" s="1294" t="s">
        <v>2480</v>
      </c>
      <c r="C39" s="1294" t="s">
        <v>1681</v>
      </c>
      <c r="D39" s="1295">
        <v>41537</v>
      </c>
      <c r="E39" s="1295">
        <v>41537</v>
      </c>
      <c r="F39" s="1294" t="s">
        <v>2418</v>
      </c>
      <c r="G39" s="1294" t="s">
        <v>2419</v>
      </c>
      <c r="H39" s="1294" t="s">
        <v>297</v>
      </c>
      <c r="I39" s="1294" t="s">
        <v>2420</v>
      </c>
      <c r="J39" s="1294" t="s">
        <v>2421</v>
      </c>
      <c r="K39" s="1294" t="s">
        <v>2422</v>
      </c>
      <c r="L39" s="1294" t="s">
        <v>1353</v>
      </c>
      <c r="M39" s="1294" t="s">
        <v>711</v>
      </c>
      <c r="N39" s="1296" t="s">
        <v>114</v>
      </c>
    </row>
    <row r="40" spans="1:14" hidden="1" x14ac:dyDescent="0.3">
      <c r="A40" s="1293">
        <v>8114</v>
      </c>
      <c r="B40" s="1294" t="s">
        <v>2481</v>
      </c>
      <c r="C40" s="1294" t="s">
        <v>538</v>
      </c>
      <c r="D40" s="1295">
        <v>42779</v>
      </c>
      <c r="E40" s="1295">
        <v>42779</v>
      </c>
      <c r="F40" s="1294" t="s">
        <v>2418</v>
      </c>
      <c r="G40" s="1294" t="s">
        <v>2482</v>
      </c>
      <c r="H40" s="1294" t="s">
        <v>297</v>
      </c>
      <c r="I40" s="1294" t="s">
        <v>279</v>
      </c>
      <c r="J40" s="1294" t="s">
        <v>1396</v>
      </c>
      <c r="K40" s="1294" t="s">
        <v>2459</v>
      </c>
      <c r="L40" s="1294" t="s">
        <v>1332</v>
      </c>
      <c r="M40" s="1294" t="s">
        <v>765</v>
      </c>
      <c r="N40" s="1296" t="s">
        <v>115</v>
      </c>
    </row>
    <row r="41" spans="1:14" hidden="1" x14ac:dyDescent="0.3">
      <c r="A41" s="1293">
        <v>3036</v>
      </c>
      <c r="B41" s="1294" t="s">
        <v>2483</v>
      </c>
      <c r="C41" s="1294" t="s">
        <v>1680</v>
      </c>
      <c r="D41" s="1295">
        <v>44872</v>
      </c>
      <c r="E41" s="1295">
        <v>44872</v>
      </c>
      <c r="F41" s="1294" t="s">
        <v>2418</v>
      </c>
      <c r="G41" s="1294" t="s">
        <v>2419</v>
      </c>
      <c r="H41" s="1294" t="s">
        <v>297</v>
      </c>
      <c r="I41" s="1294" t="s">
        <v>279</v>
      </c>
      <c r="J41" s="1294" t="s">
        <v>2431</v>
      </c>
      <c r="K41" s="1294" t="s">
        <v>2422</v>
      </c>
      <c r="L41" s="1294" t="s">
        <v>2432</v>
      </c>
      <c r="M41" s="1294" t="s">
        <v>711</v>
      </c>
      <c r="N41" s="1296" t="s">
        <v>113</v>
      </c>
    </row>
    <row r="42" spans="1:14" hidden="1" x14ac:dyDescent="0.3">
      <c r="A42" s="1293">
        <v>1269</v>
      </c>
      <c r="B42" s="1294" t="s">
        <v>2484</v>
      </c>
      <c r="C42" s="1294" t="s">
        <v>1681</v>
      </c>
      <c r="D42" s="1295">
        <v>41339</v>
      </c>
      <c r="E42" s="1295">
        <v>41339</v>
      </c>
      <c r="F42" s="1294" t="s">
        <v>2418</v>
      </c>
      <c r="G42" s="1294" t="s">
        <v>2419</v>
      </c>
      <c r="H42" s="1294" t="s">
        <v>297</v>
      </c>
      <c r="I42" s="1294" t="s">
        <v>2420</v>
      </c>
      <c r="J42" s="1294" t="s">
        <v>2427</v>
      </c>
      <c r="K42" s="1294" t="s">
        <v>2422</v>
      </c>
      <c r="L42" s="1294" t="s">
        <v>1350</v>
      </c>
      <c r="M42" s="1294" t="s">
        <v>711</v>
      </c>
      <c r="N42" s="1296" t="s">
        <v>114</v>
      </c>
    </row>
    <row r="43" spans="1:14" hidden="1" x14ac:dyDescent="0.3">
      <c r="A43" s="1293">
        <v>2923</v>
      </c>
      <c r="B43" s="1294" t="s">
        <v>2485</v>
      </c>
      <c r="C43" s="1294" t="s">
        <v>1680</v>
      </c>
      <c r="D43" s="1295">
        <v>44725</v>
      </c>
      <c r="E43" s="1295">
        <v>44725</v>
      </c>
      <c r="F43" s="1294" t="s">
        <v>2418</v>
      </c>
      <c r="G43" s="1294" t="s">
        <v>2434</v>
      </c>
      <c r="H43" s="1294" t="s">
        <v>297</v>
      </c>
      <c r="I43" s="1294" t="s">
        <v>279</v>
      </c>
      <c r="J43" s="1294" t="s">
        <v>2431</v>
      </c>
      <c r="K43" s="1294" t="s">
        <v>2422</v>
      </c>
      <c r="L43" s="1294" t="s">
        <v>2432</v>
      </c>
      <c r="M43" s="1294" t="s">
        <v>711</v>
      </c>
      <c r="N43" s="1296" t="s">
        <v>113</v>
      </c>
    </row>
    <row r="44" spans="1:14" hidden="1" x14ac:dyDescent="0.3">
      <c r="A44" s="1293">
        <v>2230</v>
      </c>
      <c r="B44" s="1294" t="s">
        <v>2486</v>
      </c>
      <c r="C44" s="1294" t="s">
        <v>2474</v>
      </c>
      <c r="D44" s="1295">
        <v>44060</v>
      </c>
      <c r="E44" s="1295">
        <v>44060</v>
      </c>
      <c r="F44" s="1294" t="s">
        <v>2418</v>
      </c>
      <c r="G44" s="1294" t="s">
        <v>2419</v>
      </c>
      <c r="H44" s="1294" t="s">
        <v>255</v>
      </c>
      <c r="I44" s="1294" t="s">
        <v>1216</v>
      </c>
      <c r="J44" s="1294" t="s">
        <v>2446</v>
      </c>
      <c r="K44" s="1294" t="s">
        <v>2422</v>
      </c>
      <c r="L44" s="1294" t="s">
        <v>2447</v>
      </c>
      <c r="M44" s="1294" t="s">
        <v>716</v>
      </c>
      <c r="N44" s="1296" t="s">
        <v>113</v>
      </c>
    </row>
    <row r="45" spans="1:14" hidden="1" x14ac:dyDescent="0.3">
      <c r="A45" s="1293">
        <v>2472</v>
      </c>
      <c r="B45" s="1294" t="s">
        <v>2487</v>
      </c>
      <c r="C45" s="1294" t="s">
        <v>2474</v>
      </c>
      <c r="D45" s="1295">
        <v>44362</v>
      </c>
      <c r="E45" s="1295">
        <v>44362</v>
      </c>
      <c r="F45" s="1294" t="s">
        <v>2418</v>
      </c>
      <c r="G45" s="1294" t="s">
        <v>2419</v>
      </c>
      <c r="H45" s="1294" t="s">
        <v>255</v>
      </c>
      <c r="I45" s="1294" t="s">
        <v>1216</v>
      </c>
      <c r="J45" s="1294" t="s">
        <v>2446</v>
      </c>
      <c r="K45" s="1294" t="s">
        <v>2422</v>
      </c>
      <c r="L45" s="1294" t="s">
        <v>2447</v>
      </c>
      <c r="M45" s="1294" t="s">
        <v>716</v>
      </c>
      <c r="N45" s="1296" t="s">
        <v>113</v>
      </c>
    </row>
    <row r="46" spans="1:14" hidden="1" x14ac:dyDescent="0.3">
      <c r="A46" s="1293">
        <v>1839</v>
      </c>
      <c r="B46" s="1294" t="s">
        <v>2488</v>
      </c>
      <c r="C46" s="1294" t="s">
        <v>1683</v>
      </c>
      <c r="D46" s="1295">
        <v>43339</v>
      </c>
      <c r="E46" s="1295">
        <v>43339</v>
      </c>
      <c r="F46" s="1294" t="s">
        <v>2418</v>
      </c>
      <c r="G46" s="1294" t="s">
        <v>2419</v>
      </c>
      <c r="H46" s="1294" t="s">
        <v>255</v>
      </c>
      <c r="I46" s="1294" t="s">
        <v>290</v>
      </c>
      <c r="J46" s="1294" t="s">
        <v>1354</v>
      </c>
      <c r="K46" s="1294" t="s">
        <v>2422</v>
      </c>
      <c r="L46" s="1294" t="s">
        <v>1332</v>
      </c>
      <c r="M46" s="1294" t="s">
        <v>711</v>
      </c>
      <c r="N46" s="1296" t="s">
        <v>115</v>
      </c>
    </row>
    <row r="47" spans="1:14" hidden="1" x14ac:dyDescent="0.3">
      <c r="A47" s="1293">
        <v>2460</v>
      </c>
      <c r="B47" s="1294" t="s">
        <v>2489</v>
      </c>
      <c r="C47" s="1294" t="s">
        <v>1681</v>
      </c>
      <c r="D47" s="1295">
        <v>44349</v>
      </c>
      <c r="E47" s="1295">
        <v>44349</v>
      </c>
      <c r="F47" s="1294" t="s">
        <v>2418</v>
      </c>
      <c r="G47" s="1294" t="s">
        <v>2434</v>
      </c>
      <c r="H47" s="1294" t="s">
        <v>255</v>
      </c>
      <c r="I47" s="1294" t="s">
        <v>290</v>
      </c>
      <c r="J47" s="1294" t="s">
        <v>2427</v>
      </c>
      <c r="K47" s="1294" t="s">
        <v>2422</v>
      </c>
      <c r="L47" s="1294" t="s">
        <v>1350</v>
      </c>
      <c r="M47" s="1294" t="s">
        <v>711</v>
      </c>
      <c r="N47" s="1296" t="s">
        <v>114</v>
      </c>
    </row>
    <row r="48" spans="1:14" hidden="1" x14ac:dyDescent="0.3">
      <c r="A48" s="1293">
        <v>2501</v>
      </c>
      <c r="B48" s="1294" t="s">
        <v>2490</v>
      </c>
      <c r="C48" s="1294" t="s">
        <v>1681</v>
      </c>
      <c r="D48" s="1295">
        <v>44382</v>
      </c>
      <c r="E48" s="1295">
        <v>44382</v>
      </c>
      <c r="F48" s="1294" t="s">
        <v>2418</v>
      </c>
      <c r="G48" s="1294" t="s">
        <v>2419</v>
      </c>
      <c r="H48" s="1294" t="s">
        <v>255</v>
      </c>
      <c r="I48" s="1294" t="s">
        <v>290</v>
      </c>
      <c r="J48" s="1294" t="s">
        <v>2421</v>
      </c>
      <c r="K48" s="1294" t="s">
        <v>2422</v>
      </c>
      <c r="L48" s="1294" t="s">
        <v>1353</v>
      </c>
      <c r="M48" s="1294" t="s">
        <v>711</v>
      </c>
      <c r="N48" s="1296" t="s">
        <v>114</v>
      </c>
    </row>
    <row r="49" spans="1:14" hidden="1" x14ac:dyDescent="0.3">
      <c r="A49" s="1293">
        <v>2864</v>
      </c>
      <c r="B49" s="1294" t="s">
        <v>2491</v>
      </c>
      <c r="C49" s="1294" t="s">
        <v>1680</v>
      </c>
      <c r="D49" s="1295">
        <v>44655</v>
      </c>
      <c r="E49" s="1295">
        <v>44655</v>
      </c>
      <c r="F49" s="1294" t="s">
        <v>2418</v>
      </c>
      <c r="G49" s="1294" t="s">
        <v>2434</v>
      </c>
      <c r="H49" s="1294" t="s">
        <v>255</v>
      </c>
      <c r="I49" s="1294" t="s">
        <v>1217</v>
      </c>
      <c r="J49" s="1294" t="s">
        <v>2431</v>
      </c>
      <c r="K49" s="1294" t="s">
        <v>2422</v>
      </c>
      <c r="L49" s="1294" t="s">
        <v>2432</v>
      </c>
      <c r="M49" s="1294" t="s">
        <v>711</v>
      </c>
      <c r="N49" s="1296" t="s">
        <v>113</v>
      </c>
    </row>
    <row r="50" spans="1:14" hidden="1" x14ac:dyDescent="0.3">
      <c r="A50" s="1293">
        <v>2586</v>
      </c>
      <c r="B50" s="1294" t="s">
        <v>2492</v>
      </c>
      <c r="C50" s="1294" t="s">
        <v>1680</v>
      </c>
      <c r="D50" s="1295">
        <v>44431</v>
      </c>
      <c r="E50" s="1295">
        <v>44431</v>
      </c>
      <c r="F50" s="1294" t="s">
        <v>2418</v>
      </c>
      <c r="G50" s="1294" t="s">
        <v>2419</v>
      </c>
      <c r="H50" s="1294" t="s">
        <v>255</v>
      </c>
      <c r="I50" s="1294" t="s">
        <v>1217</v>
      </c>
      <c r="J50" s="1294" t="s">
        <v>2446</v>
      </c>
      <c r="K50" s="1294" t="s">
        <v>2422</v>
      </c>
      <c r="L50" s="1294" t="s">
        <v>2447</v>
      </c>
      <c r="M50" s="1294" t="s">
        <v>711</v>
      </c>
      <c r="N50" s="1296" t="s">
        <v>113</v>
      </c>
    </row>
    <row r="51" spans="1:14" hidden="1" x14ac:dyDescent="0.3">
      <c r="A51" s="1293">
        <v>2879</v>
      </c>
      <c r="B51" s="1294" t="s">
        <v>2493</v>
      </c>
      <c r="C51" s="1294" t="s">
        <v>1680</v>
      </c>
      <c r="D51" s="1295">
        <v>44676</v>
      </c>
      <c r="E51" s="1295">
        <v>44676</v>
      </c>
      <c r="F51" s="1294" t="s">
        <v>2418</v>
      </c>
      <c r="G51" s="1294" t="s">
        <v>2434</v>
      </c>
      <c r="H51" s="1294" t="s">
        <v>255</v>
      </c>
      <c r="I51" s="1294" t="s">
        <v>290</v>
      </c>
      <c r="J51" s="1294" t="s">
        <v>2431</v>
      </c>
      <c r="K51" s="1294" t="s">
        <v>2422</v>
      </c>
      <c r="L51" s="1294" t="s">
        <v>2432</v>
      </c>
      <c r="M51" s="1294" t="s">
        <v>711</v>
      </c>
      <c r="N51" s="1296" t="s">
        <v>113</v>
      </c>
    </row>
    <row r="52" spans="1:14" hidden="1" x14ac:dyDescent="0.3">
      <c r="A52" s="1293">
        <v>8433</v>
      </c>
      <c r="B52" s="1294" t="s">
        <v>2494</v>
      </c>
      <c r="C52" s="1294" t="s">
        <v>721</v>
      </c>
      <c r="D52" s="1295">
        <v>44655</v>
      </c>
      <c r="E52" s="1295">
        <v>44655</v>
      </c>
      <c r="F52" s="1294" t="s">
        <v>2418</v>
      </c>
      <c r="G52" s="1294" t="s">
        <v>2495</v>
      </c>
      <c r="H52" s="1294" t="s">
        <v>255</v>
      </c>
      <c r="I52" s="1294" t="s">
        <v>290</v>
      </c>
      <c r="J52" s="1294" t="s">
        <v>2496</v>
      </c>
      <c r="K52" s="1294" t="s">
        <v>330</v>
      </c>
      <c r="L52" s="1294" t="s">
        <v>1372</v>
      </c>
      <c r="M52" s="1294" t="s">
        <v>765</v>
      </c>
      <c r="N52" s="1296" t="s">
        <v>116</v>
      </c>
    </row>
    <row r="53" spans="1:14" hidden="1" x14ac:dyDescent="0.3">
      <c r="A53" s="1293">
        <v>2877</v>
      </c>
      <c r="B53" s="1294" t="s">
        <v>2497</v>
      </c>
      <c r="C53" s="1294" t="s">
        <v>1681</v>
      </c>
      <c r="D53" s="1295">
        <v>44676</v>
      </c>
      <c r="E53" s="1295">
        <v>44676</v>
      </c>
      <c r="F53" s="1294" t="s">
        <v>2418</v>
      </c>
      <c r="G53" s="1294" t="s">
        <v>2434</v>
      </c>
      <c r="H53" s="1294" t="s">
        <v>255</v>
      </c>
      <c r="I53" s="1294" t="s">
        <v>290</v>
      </c>
      <c r="J53" s="1294" t="s">
        <v>2427</v>
      </c>
      <c r="K53" s="1294" t="s">
        <v>2422</v>
      </c>
      <c r="L53" s="1294" t="s">
        <v>1350</v>
      </c>
      <c r="M53" s="1294" t="s">
        <v>711</v>
      </c>
      <c r="N53" s="1296" t="s">
        <v>114</v>
      </c>
    </row>
    <row r="54" spans="1:14" hidden="1" x14ac:dyDescent="0.3">
      <c r="A54" s="1293">
        <v>2956</v>
      </c>
      <c r="B54" s="1294" t="s">
        <v>2498</v>
      </c>
      <c r="C54" s="1294" t="s">
        <v>538</v>
      </c>
      <c r="D54" s="1295">
        <v>44774</v>
      </c>
      <c r="E54" s="1295">
        <v>44774</v>
      </c>
      <c r="F54" s="1294" t="s">
        <v>2418</v>
      </c>
      <c r="G54" s="1294" t="s">
        <v>2499</v>
      </c>
      <c r="H54" s="1294" t="s">
        <v>255</v>
      </c>
      <c r="I54" s="1294" t="s">
        <v>290</v>
      </c>
      <c r="J54" s="1294" t="s">
        <v>1354</v>
      </c>
      <c r="K54" s="1294" t="s">
        <v>2459</v>
      </c>
      <c r="L54" s="1294" t="s">
        <v>1332</v>
      </c>
      <c r="M54" s="1294" t="s">
        <v>765</v>
      </c>
      <c r="N54" s="1296" t="s">
        <v>115</v>
      </c>
    </row>
    <row r="55" spans="1:14" hidden="1" x14ac:dyDescent="0.3">
      <c r="A55" s="1293">
        <v>3122</v>
      </c>
      <c r="B55" s="1294" t="s">
        <v>2500</v>
      </c>
      <c r="C55" s="1294" t="s">
        <v>2451</v>
      </c>
      <c r="D55" s="1295">
        <v>44984</v>
      </c>
      <c r="E55" s="1295">
        <v>44984</v>
      </c>
      <c r="F55" s="1294" t="s">
        <v>2418</v>
      </c>
      <c r="G55" s="1294" t="s">
        <v>2419</v>
      </c>
      <c r="H55" s="1294" t="s">
        <v>255</v>
      </c>
      <c r="I55" s="1294" t="s">
        <v>290</v>
      </c>
      <c r="J55" s="1294" t="s">
        <v>2449</v>
      </c>
      <c r="K55" s="1294" t="s">
        <v>2422</v>
      </c>
      <c r="L55" s="1294" t="s">
        <v>2450</v>
      </c>
      <c r="M55" s="1294" t="s">
        <v>711</v>
      </c>
      <c r="N55" s="1296" t="s">
        <v>2452</v>
      </c>
    </row>
    <row r="56" spans="1:14" hidden="1" x14ac:dyDescent="0.3">
      <c r="A56" s="1293">
        <v>2989</v>
      </c>
      <c r="B56" s="1294" t="s">
        <v>2501</v>
      </c>
      <c r="C56" s="1294" t="s">
        <v>2451</v>
      </c>
      <c r="D56" s="1295">
        <v>44791</v>
      </c>
      <c r="E56" s="1295">
        <v>44791</v>
      </c>
      <c r="F56" s="1294" t="s">
        <v>2418</v>
      </c>
      <c r="G56" s="1294" t="s">
        <v>2434</v>
      </c>
      <c r="H56" s="1294" t="s">
        <v>255</v>
      </c>
      <c r="I56" s="1294" t="s">
        <v>290</v>
      </c>
      <c r="J56" s="1294" t="s">
        <v>2449</v>
      </c>
      <c r="K56" s="1294" t="s">
        <v>2422</v>
      </c>
      <c r="L56" s="1294" t="s">
        <v>2450</v>
      </c>
      <c r="M56" s="1294" t="s">
        <v>711</v>
      </c>
      <c r="N56" s="1296" t="s">
        <v>2452</v>
      </c>
    </row>
    <row r="57" spans="1:14" hidden="1" x14ac:dyDescent="0.3">
      <c r="A57" s="1293">
        <v>3123</v>
      </c>
      <c r="B57" s="1294" t="s">
        <v>2502</v>
      </c>
      <c r="C57" s="1294" t="s">
        <v>2451</v>
      </c>
      <c r="D57" s="1295">
        <v>44984</v>
      </c>
      <c r="E57" s="1295">
        <v>44984</v>
      </c>
      <c r="F57" s="1294" t="s">
        <v>2418</v>
      </c>
      <c r="G57" s="1294" t="s">
        <v>2419</v>
      </c>
      <c r="H57" s="1294" t="s">
        <v>255</v>
      </c>
      <c r="I57" s="1294" t="s">
        <v>290</v>
      </c>
      <c r="J57" s="1294" t="s">
        <v>2449</v>
      </c>
      <c r="K57" s="1294" t="s">
        <v>2422</v>
      </c>
      <c r="L57" s="1294" t="s">
        <v>2450</v>
      </c>
      <c r="M57" s="1294" t="s">
        <v>711</v>
      </c>
      <c r="N57" s="1296" t="s">
        <v>2452</v>
      </c>
    </row>
    <row r="58" spans="1:14" hidden="1" x14ac:dyDescent="0.3">
      <c r="A58" s="1293">
        <v>2579</v>
      </c>
      <c r="B58" s="1294" t="s">
        <v>2503</v>
      </c>
      <c r="C58" s="1294" t="s">
        <v>1680</v>
      </c>
      <c r="D58" s="1295">
        <v>44431</v>
      </c>
      <c r="E58" s="1295">
        <v>44431</v>
      </c>
      <c r="F58" s="1294" t="s">
        <v>2418</v>
      </c>
      <c r="G58" s="1294" t="s">
        <v>2434</v>
      </c>
      <c r="H58" s="1294" t="s">
        <v>255</v>
      </c>
      <c r="I58" s="1294" t="s">
        <v>1217</v>
      </c>
      <c r="J58" s="1294" t="s">
        <v>2446</v>
      </c>
      <c r="K58" s="1294" t="s">
        <v>2422</v>
      </c>
      <c r="L58" s="1294" t="s">
        <v>2447</v>
      </c>
      <c r="M58" s="1294" t="s">
        <v>711</v>
      </c>
      <c r="N58" s="1296" t="s">
        <v>113</v>
      </c>
    </row>
    <row r="59" spans="1:14" hidden="1" x14ac:dyDescent="0.3">
      <c r="A59" s="1293">
        <v>1671</v>
      </c>
      <c r="B59" s="1294" t="s">
        <v>2504</v>
      </c>
      <c r="C59" s="1294" t="s">
        <v>721</v>
      </c>
      <c r="D59" s="1295">
        <v>43045</v>
      </c>
      <c r="E59" s="1295">
        <v>43045</v>
      </c>
      <c r="F59" s="1294" t="s">
        <v>2418</v>
      </c>
      <c r="G59" s="1294" t="s">
        <v>2434</v>
      </c>
      <c r="H59" s="1294" t="s">
        <v>255</v>
      </c>
      <c r="I59" s="1294" t="s">
        <v>290</v>
      </c>
      <c r="J59" s="1294" t="s">
        <v>1333</v>
      </c>
      <c r="K59" s="1294" t="s">
        <v>2422</v>
      </c>
      <c r="L59" s="1294" t="s">
        <v>1376</v>
      </c>
      <c r="M59" s="1294" t="s">
        <v>711</v>
      </c>
      <c r="N59" s="1296" t="s">
        <v>116</v>
      </c>
    </row>
    <row r="60" spans="1:14" hidden="1" x14ac:dyDescent="0.3">
      <c r="A60" s="1293">
        <v>1850</v>
      </c>
      <c r="B60" s="1294" t="s">
        <v>2505</v>
      </c>
      <c r="C60" s="1294" t="s">
        <v>1681</v>
      </c>
      <c r="D60" s="1295">
        <v>43360</v>
      </c>
      <c r="E60" s="1295">
        <v>43360</v>
      </c>
      <c r="F60" s="1294" t="s">
        <v>2418</v>
      </c>
      <c r="G60" s="1294" t="s">
        <v>2434</v>
      </c>
      <c r="H60" s="1294" t="s">
        <v>255</v>
      </c>
      <c r="I60" s="1294" t="s">
        <v>290</v>
      </c>
      <c r="J60" s="1294" t="s">
        <v>2427</v>
      </c>
      <c r="K60" s="1294" t="s">
        <v>2422</v>
      </c>
      <c r="L60" s="1294" t="s">
        <v>1350</v>
      </c>
      <c r="M60" s="1294" t="s">
        <v>711</v>
      </c>
      <c r="N60" s="1296" t="s">
        <v>114</v>
      </c>
    </row>
    <row r="61" spans="1:14" hidden="1" x14ac:dyDescent="0.3">
      <c r="A61" s="1293">
        <v>3125</v>
      </c>
      <c r="B61" s="1294" t="s">
        <v>2506</v>
      </c>
      <c r="C61" s="1294" t="s">
        <v>2451</v>
      </c>
      <c r="D61" s="1295">
        <v>44984</v>
      </c>
      <c r="E61" s="1295">
        <v>44984</v>
      </c>
      <c r="F61" s="1294" t="s">
        <v>2418</v>
      </c>
      <c r="G61" s="1294" t="s">
        <v>2419</v>
      </c>
      <c r="H61" s="1294" t="s">
        <v>255</v>
      </c>
      <c r="I61" s="1294" t="s">
        <v>1217</v>
      </c>
      <c r="J61" s="1294" t="s">
        <v>2449</v>
      </c>
      <c r="K61" s="1294" t="s">
        <v>2422</v>
      </c>
      <c r="L61" s="1294" t="s">
        <v>2450</v>
      </c>
      <c r="M61" s="1294" t="s">
        <v>711</v>
      </c>
      <c r="N61" s="1296" t="s">
        <v>2452</v>
      </c>
    </row>
    <row r="62" spans="1:14" hidden="1" x14ac:dyDescent="0.3">
      <c r="A62" s="1293">
        <v>2957</v>
      </c>
      <c r="B62" s="1294" t="s">
        <v>2507</v>
      </c>
      <c r="C62" s="1294" t="s">
        <v>1681</v>
      </c>
      <c r="D62" s="1295">
        <v>44781</v>
      </c>
      <c r="E62" s="1295">
        <v>44781</v>
      </c>
      <c r="F62" s="1294" t="s">
        <v>2418</v>
      </c>
      <c r="G62" s="1294" t="s">
        <v>2508</v>
      </c>
      <c r="H62" s="1294" t="s">
        <v>255</v>
      </c>
      <c r="I62" s="1294" t="s">
        <v>290</v>
      </c>
      <c r="J62" s="1294" t="s">
        <v>2421</v>
      </c>
      <c r="K62" s="1294" t="s">
        <v>2422</v>
      </c>
      <c r="L62" s="1294" t="s">
        <v>1353</v>
      </c>
      <c r="M62" s="1294" t="s">
        <v>711</v>
      </c>
      <c r="N62" s="1296" t="s">
        <v>114</v>
      </c>
    </row>
    <row r="63" spans="1:14" hidden="1" x14ac:dyDescent="0.3">
      <c r="A63" s="1293">
        <v>3062</v>
      </c>
      <c r="B63" s="1294" t="s">
        <v>2509</v>
      </c>
      <c r="C63" s="1294" t="s">
        <v>1680</v>
      </c>
      <c r="D63" s="1295">
        <v>44935</v>
      </c>
      <c r="E63" s="1295">
        <v>44935</v>
      </c>
      <c r="F63" s="1294" t="s">
        <v>2418</v>
      </c>
      <c r="G63" s="1294" t="s">
        <v>2419</v>
      </c>
      <c r="H63" s="1294" t="s">
        <v>255</v>
      </c>
      <c r="I63" s="1294" t="s">
        <v>1217</v>
      </c>
      <c r="J63" s="1294" t="s">
        <v>2431</v>
      </c>
      <c r="K63" s="1294" t="s">
        <v>2422</v>
      </c>
      <c r="L63" s="1294" t="s">
        <v>2432</v>
      </c>
      <c r="M63" s="1294" t="s">
        <v>711</v>
      </c>
      <c r="N63" s="1296" t="s">
        <v>113</v>
      </c>
    </row>
    <row r="64" spans="1:14" hidden="1" x14ac:dyDescent="0.3">
      <c r="A64" s="1293">
        <v>2911</v>
      </c>
      <c r="B64" s="1294" t="s">
        <v>2510</v>
      </c>
      <c r="C64" s="1294" t="s">
        <v>1680</v>
      </c>
      <c r="D64" s="1295">
        <v>44704</v>
      </c>
      <c r="E64" s="1295">
        <v>44704</v>
      </c>
      <c r="F64" s="1294" t="s">
        <v>2418</v>
      </c>
      <c r="G64" s="1294" t="s">
        <v>2434</v>
      </c>
      <c r="H64" s="1294" t="s">
        <v>255</v>
      </c>
      <c r="I64" s="1294" t="s">
        <v>290</v>
      </c>
      <c r="J64" s="1294" t="s">
        <v>2431</v>
      </c>
      <c r="K64" s="1294" t="s">
        <v>2422</v>
      </c>
      <c r="L64" s="1294" t="s">
        <v>2432</v>
      </c>
      <c r="M64" s="1294" t="s">
        <v>711</v>
      </c>
      <c r="N64" s="1296" t="s">
        <v>113</v>
      </c>
    </row>
    <row r="65" spans="1:14" hidden="1" x14ac:dyDescent="0.3">
      <c r="A65" s="1293">
        <v>2661</v>
      </c>
      <c r="B65" s="1294" t="s">
        <v>2511</v>
      </c>
      <c r="C65" s="1294" t="s">
        <v>1680</v>
      </c>
      <c r="D65" s="1295">
        <v>44489</v>
      </c>
      <c r="E65" s="1295">
        <v>44489</v>
      </c>
      <c r="F65" s="1294" t="s">
        <v>2418</v>
      </c>
      <c r="G65" s="1294" t="s">
        <v>2419</v>
      </c>
      <c r="H65" s="1294" t="s">
        <v>255</v>
      </c>
      <c r="I65" s="1294" t="s">
        <v>2512</v>
      </c>
      <c r="J65" s="1294" t="s">
        <v>2431</v>
      </c>
      <c r="K65" s="1294" t="s">
        <v>2422</v>
      </c>
      <c r="L65" s="1294" t="s">
        <v>2432</v>
      </c>
      <c r="M65" s="1294" t="s">
        <v>711</v>
      </c>
      <c r="N65" s="1296" t="s">
        <v>113</v>
      </c>
    </row>
    <row r="66" spans="1:14" hidden="1" x14ac:dyDescent="0.3">
      <c r="A66" s="1293">
        <v>2462</v>
      </c>
      <c r="B66" s="1294" t="s">
        <v>2513</v>
      </c>
      <c r="C66" s="1294" t="s">
        <v>1681</v>
      </c>
      <c r="D66" s="1295">
        <v>44354</v>
      </c>
      <c r="E66" s="1295">
        <v>44354</v>
      </c>
      <c r="F66" s="1294" t="s">
        <v>2418</v>
      </c>
      <c r="G66" s="1294" t="s">
        <v>2514</v>
      </c>
      <c r="H66" s="1294" t="s">
        <v>255</v>
      </c>
      <c r="I66" s="1294" t="s">
        <v>290</v>
      </c>
      <c r="J66" s="1294" t="s">
        <v>2421</v>
      </c>
      <c r="K66" s="1294" t="s">
        <v>2422</v>
      </c>
      <c r="L66" s="1294" t="s">
        <v>1353</v>
      </c>
      <c r="M66" s="1294" t="s">
        <v>711</v>
      </c>
      <c r="N66" s="1296" t="s">
        <v>114</v>
      </c>
    </row>
    <row r="67" spans="1:14" hidden="1" x14ac:dyDescent="0.3">
      <c r="A67" s="1293">
        <v>2620</v>
      </c>
      <c r="B67" s="1294" t="s">
        <v>2515</v>
      </c>
      <c r="C67" s="1294" t="s">
        <v>1681</v>
      </c>
      <c r="D67" s="1295">
        <v>44440</v>
      </c>
      <c r="E67" s="1295">
        <v>44440</v>
      </c>
      <c r="F67" s="1294" t="s">
        <v>2418</v>
      </c>
      <c r="G67" s="1294" t="s">
        <v>2419</v>
      </c>
      <c r="H67" s="1294" t="s">
        <v>255</v>
      </c>
      <c r="I67" s="1294" t="s">
        <v>290</v>
      </c>
      <c r="J67" s="1294" t="s">
        <v>2427</v>
      </c>
      <c r="K67" s="1294" t="s">
        <v>2422</v>
      </c>
      <c r="L67" s="1294" t="s">
        <v>1350</v>
      </c>
      <c r="M67" s="1294" t="s">
        <v>711</v>
      </c>
      <c r="N67" s="1296" t="s">
        <v>114</v>
      </c>
    </row>
    <row r="68" spans="1:14" hidden="1" x14ac:dyDescent="0.3">
      <c r="A68" s="1293">
        <v>2964</v>
      </c>
      <c r="B68" s="1294" t="s">
        <v>2516</v>
      </c>
      <c r="C68" s="1294" t="s">
        <v>2451</v>
      </c>
      <c r="D68" s="1295">
        <v>44791</v>
      </c>
      <c r="E68" s="1295">
        <v>44791</v>
      </c>
      <c r="F68" s="1294" t="s">
        <v>2418</v>
      </c>
      <c r="G68" s="1294" t="s">
        <v>2419</v>
      </c>
      <c r="H68" s="1294" t="s">
        <v>255</v>
      </c>
      <c r="I68" s="1294" t="s">
        <v>290</v>
      </c>
      <c r="J68" s="1294" t="s">
        <v>2449</v>
      </c>
      <c r="K68" s="1294" t="s">
        <v>2422</v>
      </c>
      <c r="L68" s="1294" t="s">
        <v>2450</v>
      </c>
      <c r="M68" s="1294" t="s">
        <v>711</v>
      </c>
      <c r="N68" s="1296" t="s">
        <v>2452</v>
      </c>
    </row>
    <row r="69" spans="1:14" hidden="1" x14ac:dyDescent="0.3">
      <c r="A69" s="1293">
        <v>2120</v>
      </c>
      <c r="B69" s="1294" t="s">
        <v>2517</v>
      </c>
      <c r="C69" s="1294" t="s">
        <v>2474</v>
      </c>
      <c r="D69" s="1295">
        <v>43787</v>
      </c>
      <c r="E69" s="1295">
        <v>43787</v>
      </c>
      <c r="F69" s="1294" t="s">
        <v>2418</v>
      </c>
      <c r="G69" s="1294" t="s">
        <v>2419</v>
      </c>
      <c r="H69" s="1294" t="s">
        <v>255</v>
      </c>
      <c r="I69" s="1294" t="s">
        <v>1216</v>
      </c>
      <c r="J69" s="1294" t="s">
        <v>2446</v>
      </c>
      <c r="K69" s="1294" t="s">
        <v>2422</v>
      </c>
      <c r="L69" s="1294" t="s">
        <v>2447</v>
      </c>
      <c r="M69" s="1294" t="s">
        <v>716</v>
      </c>
      <c r="N69" s="1296" t="s">
        <v>113</v>
      </c>
    </row>
    <row r="70" spans="1:14" hidden="1" x14ac:dyDescent="0.3">
      <c r="A70" s="1293">
        <v>2959</v>
      </c>
      <c r="B70" s="1294" t="s">
        <v>2518</v>
      </c>
      <c r="C70" s="1294" t="s">
        <v>1681</v>
      </c>
      <c r="D70" s="1295">
        <v>44784</v>
      </c>
      <c r="E70" s="1295">
        <v>44784</v>
      </c>
      <c r="F70" s="1294" t="s">
        <v>2418</v>
      </c>
      <c r="G70" s="1294" t="s">
        <v>2419</v>
      </c>
      <c r="H70" s="1294" t="s">
        <v>255</v>
      </c>
      <c r="I70" s="1294" t="s">
        <v>2512</v>
      </c>
      <c r="J70" s="1294" t="s">
        <v>2421</v>
      </c>
      <c r="K70" s="1294" t="s">
        <v>2422</v>
      </c>
      <c r="L70" s="1294" t="s">
        <v>1353</v>
      </c>
      <c r="M70" s="1294" t="s">
        <v>711</v>
      </c>
      <c r="N70" s="1296" t="s">
        <v>114</v>
      </c>
    </row>
    <row r="71" spans="1:14" hidden="1" x14ac:dyDescent="0.3">
      <c r="A71" s="1293">
        <v>2994</v>
      </c>
      <c r="B71" s="1294" t="s">
        <v>2519</v>
      </c>
      <c r="C71" s="1294" t="s">
        <v>2451</v>
      </c>
      <c r="D71" s="1295">
        <v>44791</v>
      </c>
      <c r="E71" s="1295">
        <v>44791</v>
      </c>
      <c r="F71" s="1294" t="s">
        <v>2418</v>
      </c>
      <c r="G71" s="1294" t="s">
        <v>2419</v>
      </c>
      <c r="H71" s="1294" t="s">
        <v>255</v>
      </c>
      <c r="I71" s="1294" t="s">
        <v>290</v>
      </c>
      <c r="J71" s="1294" t="s">
        <v>2449</v>
      </c>
      <c r="K71" s="1294" t="s">
        <v>2422</v>
      </c>
      <c r="L71" s="1294" t="s">
        <v>2450</v>
      </c>
      <c r="M71" s="1294" t="s">
        <v>711</v>
      </c>
      <c r="N71" s="1296" t="s">
        <v>2452</v>
      </c>
    </row>
    <row r="72" spans="1:14" hidden="1" x14ac:dyDescent="0.3">
      <c r="A72" s="1293">
        <v>2555</v>
      </c>
      <c r="B72" s="1294" t="s">
        <v>2520</v>
      </c>
      <c r="C72" s="1294" t="s">
        <v>1680</v>
      </c>
      <c r="D72" s="1295">
        <v>44431</v>
      </c>
      <c r="E72" s="1295">
        <v>44431</v>
      </c>
      <c r="F72" s="1294" t="s">
        <v>2418</v>
      </c>
      <c r="G72" s="1294" t="s">
        <v>2434</v>
      </c>
      <c r="H72" s="1294" t="s">
        <v>255</v>
      </c>
      <c r="I72" s="1294" t="s">
        <v>290</v>
      </c>
      <c r="J72" s="1294" t="s">
        <v>2446</v>
      </c>
      <c r="K72" s="1294" t="s">
        <v>2422</v>
      </c>
      <c r="L72" s="1294" t="s">
        <v>2447</v>
      </c>
      <c r="M72" s="1294" t="s">
        <v>711</v>
      </c>
      <c r="N72" s="1296" t="s">
        <v>113</v>
      </c>
    </row>
    <row r="73" spans="1:14" hidden="1" x14ac:dyDescent="0.3">
      <c r="A73" s="1293">
        <v>3415</v>
      </c>
      <c r="B73" s="1294" t="s">
        <v>2521</v>
      </c>
      <c r="C73" s="1294" t="s">
        <v>2474</v>
      </c>
      <c r="D73" s="1295">
        <v>45621</v>
      </c>
      <c r="E73" s="1295">
        <v>45621</v>
      </c>
      <c r="F73" s="1294" t="s">
        <v>2418</v>
      </c>
      <c r="G73" s="1294" t="s">
        <v>2522</v>
      </c>
      <c r="H73" s="1294" t="s">
        <v>255</v>
      </c>
      <c r="I73" s="1294" t="s">
        <v>1216</v>
      </c>
      <c r="J73" s="1294" t="s">
        <v>2446</v>
      </c>
      <c r="K73" s="1294" t="s">
        <v>2422</v>
      </c>
      <c r="L73" s="1294" t="s">
        <v>2447</v>
      </c>
      <c r="M73" s="1294" t="s">
        <v>716</v>
      </c>
      <c r="N73" s="1296" t="s">
        <v>113</v>
      </c>
    </row>
    <row r="74" spans="1:14" hidden="1" x14ac:dyDescent="0.3">
      <c r="A74" s="1293">
        <v>2568</v>
      </c>
      <c r="B74" s="1294" t="s">
        <v>2523</v>
      </c>
      <c r="C74" s="1294" t="s">
        <v>1680</v>
      </c>
      <c r="D74" s="1295">
        <v>44431</v>
      </c>
      <c r="E74" s="1295">
        <v>44431</v>
      </c>
      <c r="F74" s="1294" t="s">
        <v>2418</v>
      </c>
      <c r="G74" s="1294" t="s">
        <v>2419</v>
      </c>
      <c r="H74" s="1294" t="s">
        <v>255</v>
      </c>
      <c r="I74" s="1294" t="s">
        <v>1217</v>
      </c>
      <c r="J74" s="1294" t="s">
        <v>2446</v>
      </c>
      <c r="K74" s="1294" t="s">
        <v>2422</v>
      </c>
      <c r="L74" s="1294" t="s">
        <v>2447</v>
      </c>
      <c r="M74" s="1294" t="s">
        <v>711</v>
      </c>
      <c r="N74" s="1296" t="s">
        <v>113</v>
      </c>
    </row>
    <row r="75" spans="1:14" hidden="1" x14ac:dyDescent="0.3">
      <c r="A75" s="1293">
        <v>3057</v>
      </c>
      <c r="B75" s="1294" t="s">
        <v>2524</v>
      </c>
      <c r="C75" s="1294" t="s">
        <v>2474</v>
      </c>
      <c r="D75" s="1295">
        <v>44928</v>
      </c>
      <c r="E75" s="1295">
        <v>44928</v>
      </c>
      <c r="F75" s="1294" t="s">
        <v>2418</v>
      </c>
      <c r="G75" s="1294" t="s">
        <v>2419</v>
      </c>
      <c r="H75" s="1294" t="s">
        <v>255</v>
      </c>
      <c r="I75" s="1294" t="s">
        <v>1216</v>
      </c>
      <c r="J75" s="1294" t="s">
        <v>2446</v>
      </c>
      <c r="K75" s="1294" t="s">
        <v>2422</v>
      </c>
      <c r="L75" s="1294" t="s">
        <v>2447</v>
      </c>
      <c r="M75" s="1294" t="s">
        <v>716</v>
      </c>
      <c r="N75" s="1296" t="s">
        <v>113</v>
      </c>
    </row>
    <row r="76" spans="1:14" hidden="1" x14ac:dyDescent="0.3">
      <c r="A76" s="1293">
        <v>2397</v>
      </c>
      <c r="B76" s="1294" t="s">
        <v>2525</v>
      </c>
      <c r="C76" s="1294" t="s">
        <v>1680</v>
      </c>
      <c r="D76" s="1295">
        <v>44298</v>
      </c>
      <c r="E76" s="1295">
        <v>44298</v>
      </c>
      <c r="F76" s="1294" t="s">
        <v>2418</v>
      </c>
      <c r="G76" s="1294" t="s">
        <v>2476</v>
      </c>
      <c r="H76" s="1294" t="s">
        <v>255</v>
      </c>
      <c r="I76" s="1294" t="s">
        <v>290</v>
      </c>
      <c r="J76" s="1294" t="s">
        <v>2431</v>
      </c>
      <c r="K76" s="1294" t="s">
        <v>2422</v>
      </c>
      <c r="L76" s="1294" t="s">
        <v>2432</v>
      </c>
      <c r="M76" s="1294" t="s">
        <v>711</v>
      </c>
      <c r="N76" s="1296" t="s">
        <v>113</v>
      </c>
    </row>
    <row r="77" spans="1:14" hidden="1" x14ac:dyDescent="0.3">
      <c r="A77" s="1293">
        <v>2982</v>
      </c>
      <c r="B77" s="1294" t="s">
        <v>2526</v>
      </c>
      <c r="C77" s="1294" t="s">
        <v>2451</v>
      </c>
      <c r="D77" s="1295">
        <v>44791</v>
      </c>
      <c r="E77" s="1295">
        <v>44791</v>
      </c>
      <c r="F77" s="1294" t="s">
        <v>2418</v>
      </c>
      <c r="G77" s="1294" t="s">
        <v>2434</v>
      </c>
      <c r="H77" s="1294" t="s">
        <v>255</v>
      </c>
      <c r="I77" s="1294" t="s">
        <v>290</v>
      </c>
      <c r="J77" s="1294" t="s">
        <v>2449</v>
      </c>
      <c r="K77" s="1294" t="s">
        <v>2422</v>
      </c>
      <c r="L77" s="1294" t="s">
        <v>2450</v>
      </c>
      <c r="M77" s="1294" t="s">
        <v>711</v>
      </c>
      <c r="N77" s="1296" t="s">
        <v>2452</v>
      </c>
    </row>
    <row r="78" spans="1:14" hidden="1" x14ac:dyDescent="0.3">
      <c r="A78" s="1293">
        <v>3104</v>
      </c>
      <c r="B78" s="1294" t="s">
        <v>2527</v>
      </c>
      <c r="C78" s="1294" t="s">
        <v>2451</v>
      </c>
      <c r="D78" s="1295">
        <v>44984</v>
      </c>
      <c r="E78" s="1295">
        <v>44984</v>
      </c>
      <c r="F78" s="1294" t="s">
        <v>2418</v>
      </c>
      <c r="G78" s="1294" t="s">
        <v>2434</v>
      </c>
      <c r="H78" s="1294" t="s">
        <v>255</v>
      </c>
      <c r="I78" s="1294" t="s">
        <v>1217</v>
      </c>
      <c r="J78" s="1294" t="s">
        <v>2449</v>
      </c>
      <c r="K78" s="1294" t="s">
        <v>2422</v>
      </c>
      <c r="L78" s="1294" t="s">
        <v>2450</v>
      </c>
      <c r="M78" s="1294" t="s">
        <v>711</v>
      </c>
      <c r="N78" s="1296" t="s">
        <v>2452</v>
      </c>
    </row>
    <row r="79" spans="1:14" hidden="1" x14ac:dyDescent="0.3">
      <c r="A79" s="1293">
        <v>2394</v>
      </c>
      <c r="B79" s="1294" t="s">
        <v>2528</v>
      </c>
      <c r="C79" s="1294" t="s">
        <v>1681</v>
      </c>
      <c r="D79" s="1295">
        <v>44295</v>
      </c>
      <c r="E79" s="1295">
        <v>44295</v>
      </c>
      <c r="F79" s="1294" t="s">
        <v>2418</v>
      </c>
      <c r="G79" s="1294" t="s">
        <v>2434</v>
      </c>
      <c r="H79" s="1294" t="s">
        <v>262</v>
      </c>
      <c r="I79" s="1294" t="s">
        <v>1211</v>
      </c>
      <c r="J79" s="1294" t="s">
        <v>2427</v>
      </c>
      <c r="K79" s="1294" t="s">
        <v>2422</v>
      </c>
      <c r="L79" s="1294" t="s">
        <v>1350</v>
      </c>
      <c r="M79" s="1294" t="s">
        <v>711</v>
      </c>
      <c r="N79" s="1296" t="s">
        <v>114</v>
      </c>
    </row>
    <row r="80" spans="1:14" hidden="1" x14ac:dyDescent="0.3">
      <c r="A80" s="1293">
        <v>3047</v>
      </c>
      <c r="B80" s="1294" t="s">
        <v>2529</v>
      </c>
      <c r="C80" s="1294" t="s">
        <v>1680</v>
      </c>
      <c r="D80" s="1295">
        <v>44897</v>
      </c>
      <c r="E80" s="1295">
        <v>44897</v>
      </c>
      <c r="F80" s="1294" t="s">
        <v>2418</v>
      </c>
      <c r="G80" s="1294" t="s">
        <v>2508</v>
      </c>
      <c r="H80" s="1294" t="s">
        <v>262</v>
      </c>
      <c r="I80" s="1294" t="s">
        <v>1209</v>
      </c>
      <c r="J80" s="1294" t="s">
        <v>2431</v>
      </c>
      <c r="K80" s="1294" t="s">
        <v>2422</v>
      </c>
      <c r="L80" s="1294" t="s">
        <v>2432</v>
      </c>
      <c r="M80" s="1294" t="s">
        <v>711</v>
      </c>
      <c r="N80" s="1296" t="s">
        <v>113</v>
      </c>
    </row>
    <row r="81" spans="1:14" hidden="1" x14ac:dyDescent="0.3">
      <c r="A81" s="1293">
        <v>1855</v>
      </c>
      <c r="B81" s="1294" t="s">
        <v>2530</v>
      </c>
      <c r="C81" s="1294" t="s">
        <v>1711</v>
      </c>
      <c r="D81" s="1295">
        <v>45118</v>
      </c>
      <c r="E81" s="1295">
        <v>43367</v>
      </c>
      <c r="F81" s="1294" t="s">
        <v>2418</v>
      </c>
      <c r="G81" s="1294" t="s">
        <v>2531</v>
      </c>
      <c r="H81" s="1294" t="s">
        <v>262</v>
      </c>
      <c r="I81" s="1294" t="s">
        <v>1208</v>
      </c>
      <c r="J81" s="1294" t="s">
        <v>1354</v>
      </c>
      <c r="K81" s="1294" t="s">
        <v>2459</v>
      </c>
      <c r="L81" s="1294" t="s">
        <v>1332</v>
      </c>
      <c r="M81" s="1294" t="s">
        <v>2532</v>
      </c>
      <c r="N81" s="1296" t="s">
        <v>115</v>
      </c>
    </row>
    <row r="82" spans="1:14" hidden="1" x14ac:dyDescent="0.3">
      <c r="A82" s="1293">
        <v>2826</v>
      </c>
      <c r="B82" s="1294" t="s">
        <v>2533</v>
      </c>
      <c r="C82" s="1294" t="s">
        <v>1680</v>
      </c>
      <c r="D82" s="1295">
        <v>44620</v>
      </c>
      <c r="E82" s="1295">
        <v>44620</v>
      </c>
      <c r="F82" s="1294" t="s">
        <v>2418</v>
      </c>
      <c r="G82" s="1294" t="s">
        <v>2419</v>
      </c>
      <c r="H82" s="1294" t="s">
        <v>262</v>
      </c>
      <c r="I82" s="1294" t="s">
        <v>1209</v>
      </c>
      <c r="J82" s="1294" t="s">
        <v>2431</v>
      </c>
      <c r="K82" s="1294" t="s">
        <v>2422</v>
      </c>
      <c r="L82" s="1294" t="s">
        <v>2432</v>
      </c>
      <c r="M82" s="1294" t="s">
        <v>711</v>
      </c>
      <c r="N82" s="1296" t="s">
        <v>113</v>
      </c>
    </row>
    <row r="83" spans="1:14" hidden="1" x14ac:dyDescent="0.3">
      <c r="A83" s="1293">
        <v>2876</v>
      </c>
      <c r="B83" s="1294" t="s">
        <v>2534</v>
      </c>
      <c r="C83" s="1294" t="s">
        <v>2474</v>
      </c>
      <c r="D83" s="1295">
        <v>44676</v>
      </c>
      <c r="E83" s="1295">
        <v>44676</v>
      </c>
      <c r="F83" s="1294" t="s">
        <v>2418</v>
      </c>
      <c r="G83" s="1294" t="s">
        <v>2419</v>
      </c>
      <c r="H83" s="1294" t="s">
        <v>262</v>
      </c>
      <c r="I83" s="1294" t="s">
        <v>1208</v>
      </c>
      <c r="J83" s="1294" t="s">
        <v>2431</v>
      </c>
      <c r="K83" s="1294" t="s">
        <v>2422</v>
      </c>
      <c r="L83" s="1294" t="s">
        <v>2432</v>
      </c>
      <c r="M83" s="1294" t="s">
        <v>716</v>
      </c>
      <c r="N83" s="1296" t="s">
        <v>113</v>
      </c>
    </row>
    <row r="84" spans="1:14" hidden="1" x14ac:dyDescent="0.3">
      <c r="A84" s="1293">
        <v>2993</v>
      </c>
      <c r="B84" s="1294" t="s">
        <v>2535</v>
      </c>
      <c r="C84" s="1294" t="s">
        <v>2451</v>
      </c>
      <c r="D84" s="1295">
        <v>44791</v>
      </c>
      <c r="E84" s="1295">
        <v>44791</v>
      </c>
      <c r="F84" s="1294" t="s">
        <v>2418</v>
      </c>
      <c r="G84" s="1294" t="s">
        <v>2419</v>
      </c>
      <c r="H84" s="1294" t="s">
        <v>262</v>
      </c>
      <c r="I84" s="1294" t="s">
        <v>2536</v>
      </c>
      <c r="J84" s="1294" t="s">
        <v>2449</v>
      </c>
      <c r="K84" s="1294" t="s">
        <v>2422</v>
      </c>
      <c r="L84" s="1294" t="s">
        <v>2450</v>
      </c>
      <c r="M84" s="1294" t="s">
        <v>711</v>
      </c>
      <c r="N84" s="1296" t="s">
        <v>2452</v>
      </c>
    </row>
    <row r="85" spans="1:14" hidden="1" x14ac:dyDescent="0.3">
      <c r="A85" s="1293">
        <v>2256</v>
      </c>
      <c r="B85" s="1294" t="s">
        <v>2537</v>
      </c>
      <c r="C85" s="1294" t="s">
        <v>536</v>
      </c>
      <c r="D85" s="1295">
        <v>45313</v>
      </c>
      <c r="E85" s="1295">
        <v>44125</v>
      </c>
      <c r="F85" s="1294" t="s">
        <v>2418</v>
      </c>
      <c r="G85" s="1294" t="s">
        <v>2538</v>
      </c>
      <c r="H85" s="1294" t="s">
        <v>262</v>
      </c>
      <c r="I85" s="1294" t="s">
        <v>2536</v>
      </c>
      <c r="J85" s="1294" t="s">
        <v>2427</v>
      </c>
      <c r="K85" s="1294" t="s">
        <v>330</v>
      </c>
      <c r="L85" s="1294" t="s">
        <v>1350</v>
      </c>
      <c r="M85" s="1294" t="s">
        <v>765</v>
      </c>
      <c r="N85" s="1296" t="s">
        <v>114</v>
      </c>
    </row>
    <row r="86" spans="1:14" hidden="1" x14ac:dyDescent="0.3">
      <c r="A86" s="1293">
        <v>1444</v>
      </c>
      <c r="B86" s="1294" t="s">
        <v>2539</v>
      </c>
      <c r="C86" s="1294" t="s">
        <v>721</v>
      </c>
      <c r="D86" s="1295">
        <v>42313</v>
      </c>
      <c r="E86" s="1295">
        <v>42313</v>
      </c>
      <c r="F86" s="1294" t="s">
        <v>2418</v>
      </c>
      <c r="G86" s="1294" t="s">
        <v>2419</v>
      </c>
      <c r="H86" s="1294" t="s">
        <v>262</v>
      </c>
      <c r="I86" s="1294" t="s">
        <v>1211</v>
      </c>
      <c r="J86" s="1294" t="s">
        <v>1333</v>
      </c>
      <c r="K86" s="1294" t="s">
        <v>2422</v>
      </c>
      <c r="L86" s="1294" t="s">
        <v>1376</v>
      </c>
      <c r="M86" s="1294" t="s">
        <v>711</v>
      </c>
      <c r="N86" s="1296" t="s">
        <v>116</v>
      </c>
    </row>
    <row r="87" spans="1:14" hidden="1" x14ac:dyDescent="0.3">
      <c r="A87" s="1293">
        <v>2100</v>
      </c>
      <c r="B87" s="1294" t="s">
        <v>2540</v>
      </c>
      <c r="C87" s="1294" t="s">
        <v>1711</v>
      </c>
      <c r="D87" s="1295">
        <v>43739</v>
      </c>
      <c r="E87" s="1295">
        <v>43739</v>
      </c>
      <c r="F87" s="1294" t="s">
        <v>2418</v>
      </c>
      <c r="G87" s="1294" t="s">
        <v>2419</v>
      </c>
      <c r="H87" s="1294" t="s">
        <v>262</v>
      </c>
      <c r="I87" s="1294" t="s">
        <v>1208</v>
      </c>
      <c r="J87" s="1294" t="s">
        <v>1396</v>
      </c>
      <c r="K87" s="1294" t="s">
        <v>2422</v>
      </c>
      <c r="L87" s="1294" t="s">
        <v>1332</v>
      </c>
      <c r="M87" s="1294" t="s">
        <v>716</v>
      </c>
      <c r="N87" s="1296" t="s">
        <v>115</v>
      </c>
    </row>
    <row r="88" spans="1:14" hidden="1" x14ac:dyDescent="0.3">
      <c r="A88" s="1293">
        <v>1034</v>
      </c>
      <c r="B88" s="1294" t="s">
        <v>2541</v>
      </c>
      <c r="C88" s="1294" t="s">
        <v>1681</v>
      </c>
      <c r="D88" s="1295">
        <v>39846</v>
      </c>
      <c r="E88" s="1295">
        <v>39846</v>
      </c>
      <c r="F88" s="1294" t="s">
        <v>2418</v>
      </c>
      <c r="G88" s="1294" t="s">
        <v>2419</v>
      </c>
      <c r="H88" s="1294" t="s">
        <v>262</v>
      </c>
      <c r="I88" s="1294" t="s">
        <v>1211</v>
      </c>
      <c r="J88" s="1294" t="s">
        <v>2427</v>
      </c>
      <c r="K88" s="1294" t="s">
        <v>2422</v>
      </c>
      <c r="L88" s="1294" t="s">
        <v>1350</v>
      </c>
      <c r="M88" s="1294" t="s">
        <v>711</v>
      </c>
      <c r="N88" s="1296" t="s">
        <v>114</v>
      </c>
    </row>
    <row r="89" spans="1:14" hidden="1" x14ac:dyDescent="0.3">
      <c r="A89" s="1293">
        <v>2779</v>
      </c>
      <c r="B89" s="1294" t="s">
        <v>2542</v>
      </c>
      <c r="C89" s="1294" t="s">
        <v>1681</v>
      </c>
      <c r="D89" s="1295">
        <v>44580</v>
      </c>
      <c r="E89" s="1295">
        <v>44580</v>
      </c>
      <c r="F89" s="1294" t="s">
        <v>2418</v>
      </c>
      <c r="G89" s="1294" t="s">
        <v>2419</v>
      </c>
      <c r="H89" s="1294" t="s">
        <v>262</v>
      </c>
      <c r="I89" s="1294" t="s">
        <v>2543</v>
      </c>
      <c r="J89" s="1294" t="s">
        <v>2421</v>
      </c>
      <c r="K89" s="1294" t="s">
        <v>2422</v>
      </c>
      <c r="L89" s="1294" t="s">
        <v>1353</v>
      </c>
      <c r="M89" s="1294" t="s">
        <v>711</v>
      </c>
      <c r="N89" s="1296" t="s">
        <v>114</v>
      </c>
    </row>
    <row r="90" spans="1:14" hidden="1" x14ac:dyDescent="0.3">
      <c r="A90" s="1293">
        <v>3014</v>
      </c>
      <c r="B90" s="1294" t="s">
        <v>2544</v>
      </c>
      <c r="C90" s="1294" t="s">
        <v>1681</v>
      </c>
      <c r="D90" s="1295">
        <v>44837</v>
      </c>
      <c r="E90" s="1295">
        <v>44837</v>
      </c>
      <c r="F90" s="1294" t="s">
        <v>2418</v>
      </c>
      <c r="G90" s="1294" t="s">
        <v>2508</v>
      </c>
      <c r="H90" s="1294" t="s">
        <v>262</v>
      </c>
      <c r="I90" s="1294" t="s">
        <v>1207</v>
      </c>
      <c r="J90" s="1294" t="s">
        <v>2427</v>
      </c>
      <c r="K90" s="1294" t="s">
        <v>2422</v>
      </c>
      <c r="L90" s="1294" t="s">
        <v>1350</v>
      </c>
      <c r="M90" s="1294" t="s">
        <v>711</v>
      </c>
      <c r="N90" s="1296" t="s">
        <v>114</v>
      </c>
    </row>
    <row r="91" spans="1:14" hidden="1" x14ac:dyDescent="0.3">
      <c r="A91" s="1293">
        <v>1895</v>
      </c>
      <c r="B91" s="1294" t="s">
        <v>2545</v>
      </c>
      <c r="C91" s="1294" t="s">
        <v>1680</v>
      </c>
      <c r="D91" s="1295">
        <v>43430</v>
      </c>
      <c r="E91" s="1295">
        <v>43430</v>
      </c>
      <c r="F91" s="1294" t="s">
        <v>2418</v>
      </c>
      <c r="G91" s="1294" t="s">
        <v>2522</v>
      </c>
      <c r="H91" s="1294" t="s">
        <v>262</v>
      </c>
      <c r="I91" s="1294" t="s">
        <v>1209</v>
      </c>
      <c r="J91" s="1294" t="s">
        <v>2431</v>
      </c>
      <c r="K91" s="1294" t="s">
        <v>2422</v>
      </c>
      <c r="L91" s="1294" t="s">
        <v>2432</v>
      </c>
      <c r="M91" s="1294" t="s">
        <v>711</v>
      </c>
      <c r="N91" s="1296" t="s">
        <v>113</v>
      </c>
    </row>
    <row r="92" spans="1:14" hidden="1" x14ac:dyDescent="0.3">
      <c r="A92" s="1293">
        <v>1712</v>
      </c>
      <c r="B92" s="1294" t="s">
        <v>2546</v>
      </c>
      <c r="C92" s="1294" t="s">
        <v>1684</v>
      </c>
      <c r="D92" s="1295">
        <v>43108</v>
      </c>
      <c r="E92" s="1295">
        <v>43108</v>
      </c>
      <c r="F92" s="1294" t="s">
        <v>2418</v>
      </c>
      <c r="G92" s="1294" t="s">
        <v>2419</v>
      </c>
      <c r="H92" s="1294" t="s">
        <v>262</v>
      </c>
      <c r="I92" s="1294" t="s">
        <v>1212</v>
      </c>
      <c r="J92" s="1294" t="s">
        <v>1351</v>
      </c>
      <c r="K92" s="1294" t="s">
        <v>2422</v>
      </c>
      <c r="L92" s="1294" t="s">
        <v>1329</v>
      </c>
      <c r="M92" s="1294" t="s">
        <v>711</v>
      </c>
      <c r="N92" s="1296" t="s">
        <v>115</v>
      </c>
    </row>
    <row r="93" spans="1:14" hidden="1" x14ac:dyDescent="0.3">
      <c r="A93" s="1293">
        <v>1647</v>
      </c>
      <c r="B93" s="1294" t="s">
        <v>2547</v>
      </c>
      <c r="C93" s="1294" t="s">
        <v>1681</v>
      </c>
      <c r="D93" s="1295">
        <v>42954</v>
      </c>
      <c r="E93" s="1295">
        <v>42954</v>
      </c>
      <c r="F93" s="1294" t="s">
        <v>2418</v>
      </c>
      <c r="G93" s="1294" t="s">
        <v>2419</v>
      </c>
      <c r="H93" s="1294" t="s">
        <v>262</v>
      </c>
      <c r="I93" s="1294" t="s">
        <v>1209</v>
      </c>
      <c r="J93" s="1294" t="s">
        <v>2421</v>
      </c>
      <c r="K93" s="1294" t="s">
        <v>2422</v>
      </c>
      <c r="L93" s="1294" t="s">
        <v>1353</v>
      </c>
      <c r="M93" s="1294" t="s">
        <v>711</v>
      </c>
      <c r="N93" s="1296" t="s">
        <v>114</v>
      </c>
    </row>
    <row r="94" spans="1:14" hidden="1" x14ac:dyDescent="0.3">
      <c r="A94" s="1293">
        <v>2767</v>
      </c>
      <c r="B94" s="1294" t="s">
        <v>2548</v>
      </c>
      <c r="C94" s="1294" t="s">
        <v>2549</v>
      </c>
      <c r="D94" s="1295">
        <v>44578</v>
      </c>
      <c r="E94" s="1295">
        <v>44578</v>
      </c>
      <c r="F94" s="1294" t="s">
        <v>2418</v>
      </c>
      <c r="G94" s="1294" t="s">
        <v>2419</v>
      </c>
      <c r="H94" s="1294" t="s">
        <v>262</v>
      </c>
      <c r="I94" s="1294" t="s">
        <v>1208</v>
      </c>
      <c r="J94" s="1294" t="s">
        <v>2449</v>
      </c>
      <c r="K94" s="1294" t="s">
        <v>2422</v>
      </c>
      <c r="L94" s="1294" t="s">
        <v>2450</v>
      </c>
      <c r="M94" s="1294" t="s">
        <v>716</v>
      </c>
      <c r="N94" s="1296" t="s">
        <v>2452</v>
      </c>
    </row>
    <row r="95" spans="1:14" hidden="1" x14ac:dyDescent="0.3">
      <c r="A95" s="1293">
        <v>2783</v>
      </c>
      <c r="B95" s="1294" t="s">
        <v>2550</v>
      </c>
      <c r="C95" s="1294" t="s">
        <v>1710</v>
      </c>
      <c r="D95" s="1295">
        <v>44585</v>
      </c>
      <c r="E95" s="1295">
        <v>44585</v>
      </c>
      <c r="F95" s="1294" t="s">
        <v>2418</v>
      </c>
      <c r="G95" s="1294" t="s">
        <v>2434</v>
      </c>
      <c r="H95" s="1294" t="s">
        <v>262</v>
      </c>
      <c r="I95" s="1294" t="s">
        <v>1208</v>
      </c>
      <c r="J95" s="1294" t="s">
        <v>2437</v>
      </c>
      <c r="K95" s="1294" t="s">
        <v>2422</v>
      </c>
      <c r="L95" s="1294" t="s">
        <v>1353</v>
      </c>
      <c r="M95" s="1294" t="s">
        <v>716</v>
      </c>
      <c r="N95" s="1296" t="s">
        <v>114</v>
      </c>
    </row>
    <row r="96" spans="1:14" hidden="1" x14ac:dyDescent="0.3">
      <c r="A96" s="1293">
        <v>2722</v>
      </c>
      <c r="B96" s="1294" t="s">
        <v>2551</v>
      </c>
      <c r="C96" s="1294" t="s">
        <v>1681</v>
      </c>
      <c r="D96" s="1295">
        <v>44536</v>
      </c>
      <c r="E96" s="1295">
        <v>44536</v>
      </c>
      <c r="F96" s="1294" t="s">
        <v>2418</v>
      </c>
      <c r="G96" s="1294" t="s">
        <v>2508</v>
      </c>
      <c r="H96" s="1294" t="s">
        <v>262</v>
      </c>
      <c r="I96" s="1294" t="s">
        <v>1211</v>
      </c>
      <c r="J96" s="1294" t="s">
        <v>2421</v>
      </c>
      <c r="K96" s="1294" t="s">
        <v>2422</v>
      </c>
      <c r="L96" s="1294" t="s">
        <v>1353</v>
      </c>
      <c r="M96" s="1294" t="s">
        <v>711</v>
      </c>
      <c r="N96" s="1296" t="s">
        <v>114</v>
      </c>
    </row>
    <row r="97" spans="1:14" hidden="1" x14ac:dyDescent="0.3">
      <c r="A97" s="1293">
        <v>2112</v>
      </c>
      <c r="B97" s="1294" t="s">
        <v>2552</v>
      </c>
      <c r="C97" s="1294" t="s">
        <v>1711</v>
      </c>
      <c r="D97" s="1295">
        <v>43773</v>
      </c>
      <c r="E97" s="1295">
        <v>43773</v>
      </c>
      <c r="F97" s="1294" t="s">
        <v>2418</v>
      </c>
      <c r="G97" s="1294" t="s">
        <v>2419</v>
      </c>
      <c r="H97" s="1294" t="s">
        <v>262</v>
      </c>
      <c r="I97" s="1294" t="s">
        <v>1208</v>
      </c>
      <c r="J97" s="1294" t="s">
        <v>2553</v>
      </c>
      <c r="K97" s="1294" t="s">
        <v>2422</v>
      </c>
      <c r="L97" s="1294" t="s">
        <v>1329</v>
      </c>
      <c r="M97" s="1294" t="s">
        <v>716</v>
      </c>
      <c r="N97" s="1296" t="s">
        <v>115</v>
      </c>
    </row>
    <row r="98" spans="1:14" hidden="1" x14ac:dyDescent="0.3">
      <c r="A98" s="1293">
        <v>2747</v>
      </c>
      <c r="B98" s="1294" t="s">
        <v>2554</v>
      </c>
      <c r="C98" s="1294" t="s">
        <v>1681</v>
      </c>
      <c r="D98" s="1295">
        <v>44557</v>
      </c>
      <c r="E98" s="1295">
        <v>44557</v>
      </c>
      <c r="F98" s="1294" t="s">
        <v>2418</v>
      </c>
      <c r="G98" s="1294" t="s">
        <v>2508</v>
      </c>
      <c r="H98" s="1294" t="s">
        <v>262</v>
      </c>
      <c r="I98" s="1294" t="s">
        <v>2543</v>
      </c>
      <c r="J98" s="1294" t="s">
        <v>2421</v>
      </c>
      <c r="K98" s="1294" t="s">
        <v>2422</v>
      </c>
      <c r="L98" s="1294" t="s">
        <v>1353</v>
      </c>
      <c r="M98" s="1294" t="s">
        <v>711</v>
      </c>
      <c r="N98" s="1296" t="s">
        <v>114</v>
      </c>
    </row>
    <row r="99" spans="1:14" hidden="1" x14ac:dyDescent="0.3">
      <c r="A99" s="1293">
        <v>1479</v>
      </c>
      <c r="B99" s="1294" t="s">
        <v>2555</v>
      </c>
      <c r="C99" s="1294" t="s">
        <v>538</v>
      </c>
      <c r="D99" s="1295">
        <v>45233</v>
      </c>
      <c r="E99" s="1295">
        <v>42464</v>
      </c>
      <c r="F99" s="1294" t="s">
        <v>2418</v>
      </c>
      <c r="G99" s="1294" t="s">
        <v>2556</v>
      </c>
      <c r="H99" s="1294" t="s">
        <v>262</v>
      </c>
      <c r="I99" s="1294" t="s">
        <v>1207</v>
      </c>
      <c r="J99" s="1294" t="s">
        <v>1354</v>
      </c>
      <c r="K99" s="1294" t="s">
        <v>2459</v>
      </c>
      <c r="L99" s="1294" t="s">
        <v>1332</v>
      </c>
      <c r="M99" s="1294" t="s">
        <v>765</v>
      </c>
      <c r="N99" s="1296" t="s">
        <v>115</v>
      </c>
    </row>
    <row r="100" spans="1:14" hidden="1" x14ac:dyDescent="0.3">
      <c r="A100" s="1293">
        <v>2681</v>
      </c>
      <c r="B100" s="1294" t="s">
        <v>2557</v>
      </c>
      <c r="C100" s="1294" t="s">
        <v>1683</v>
      </c>
      <c r="D100" s="1295">
        <v>44508</v>
      </c>
      <c r="E100" s="1295">
        <v>44508</v>
      </c>
      <c r="F100" s="1294" t="s">
        <v>2418</v>
      </c>
      <c r="G100" s="1294" t="s">
        <v>2508</v>
      </c>
      <c r="H100" s="1294" t="s">
        <v>262</v>
      </c>
      <c r="I100" s="1294" t="s">
        <v>1211</v>
      </c>
      <c r="J100" s="1294" t="s">
        <v>1354</v>
      </c>
      <c r="K100" s="1294" t="s">
        <v>2422</v>
      </c>
      <c r="L100" s="1294" t="s">
        <v>1332</v>
      </c>
      <c r="M100" s="1294" t="s">
        <v>711</v>
      </c>
      <c r="N100" s="1296" t="s">
        <v>115</v>
      </c>
    </row>
    <row r="101" spans="1:14" hidden="1" x14ac:dyDescent="0.3">
      <c r="A101" s="1293">
        <v>1861</v>
      </c>
      <c r="B101" s="1294" t="s">
        <v>2558</v>
      </c>
      <c r="C101" s="1294" t="s">
        <v>1712</v>
      </c>
      <c r="D101" s="1295">
        <v>43381</v>
      </c>
      <c r="E101" s="1295">
        <v>43381</v>
      </c>
      <c r="F101" s="1294" t="s">
        <v>2418</v>
      </c>
      <c r="G101" s="1294" t="s">
        <v>2419</v>
      </c>
      <c r="H101" s="1294" t="s">
        <v>262</v>
      </c>
      <c r="I101" s="1294" t="s">
        <v>1208</v>
      </c>
      <c r="J101" s="1294" t="s">
        <v>1333</v>
      </c>
      <c r="K101" s="1294" t="s">
        <v>2422</v>
      </c>
      <c r="L101" s="1294" t="s">
        <v>1376</v>
      </c>
      <c r="M101" s="1294" t="s">
        <v>716</v>
      </c>
      <c r="N101" s="1296" t="s">
        <v>116</v>
      </c>
    </row>
    <row r="102" spans="1:14" hidden="1" x14ac:dyDescent="0.3">
      <c r="A102" s="1293">
        <v>3156</v>
      </c>
      <c r="B102" s="1294" t="s">
        <v>2559</v>
      </c>
      <c r="C102" s="1294" t="s">
        <v>1680</v>
      </c>
      <c r="D102" s="1295">
        <v>45005</v>
      </c>
      <c r="E102" s="1295">
        <v>45005</v>
      </c>
      <c r="F102" s="1294" t="s">
        <v>2418</v>
      </c>
      <c r="G102" s="1294" t="s">
        <v>2419</v>
      </c>
      <c r="H102" s="1294" t="s">
        <v>262</v>
      </c>
      <c r="I102" s="1294" t="s">
        <v>1209</v>
      </c>
      <c r="J102" s="1294" t="s">
        <v>2431</v>
      </c>
      <c r="K102" s="1294" t="s">
        <v>2422</v>
      </c>
      <c r="L102" s="1294" t="s">
        <v>2432</v>
      </c>
      <c r="M102" s="1294" t="s">
        <v>711</v>
      </c>
      <c r="N102" s="1296" t="s">
        <v>113</v>
      </c>
    </row>
    <row r="103" spans="1:14" hidden="1" x14ac:dyDescent="0.3">
      <c r="A103" s="1293">
        <v>3177</v>
      </c>
      <c r="B103" s="1294" t="s">
        <v>2560</v>
      </c>
      <c r="C103" s="1294" t="s">
        <v>1681</v>
      </c>
      <c r="D103" s="1295">
        <v>45048</v>
      </c>
      <c r="E103" s="1295">
        <v>45048</v>
      </c>
      <c r="F103" s="1294" t="s">
        <v>2418</v>
      </c>
      <c r="G103" s="1294" t="s">
        <v>2419</v>
      </c>
      <c r="H103" s="1294" t="s">
        <v>262</v>
      </c>
      <c r="I103" s="1294" t="s">
        <v>1211</v>
      </c>
      <c r="J103" s="1294" t="s">
        <v>2421</v>
      </c>
      <c r="K103" s="1294" t="s">
        <v>2422</v>
      </c>
      <c r="L103" s="1294" t="s">
        <v>1353</v>
      </c>
      <c r="M103" s="1294" t="s">
        <v>711</v>
      </c>
      <c r="N103" s="1296" t="s">
        <v>114</v>
      </c>
    </row>
    <row r="104" spans="1:14" hidden="1" x14ac:dyDescent="0.3">
      <c r="A104" s="1293">
        <v>2665</v>
      </c>
      <c r="B104" s="1294" t="s">
        <v>2561</v>
      </c>
      <c r="C104" s="1294" t="s">
        <v>1681</v>
      </c>
      <c r="D104" s="1295">
        <v>44495</v>
      </c>
      <c r="E104" s="1295">
        <v>44495</v>
      </c>
      <c r="F104" s="1294" t="s">
        <v>2418</v>
      </c>
      <c r="G104" s="1294" t="s">
        <v>2419</v>
      </c>
      <c r="H104" s="1294" t="s">
        <v>262</v>
      </c>
      <c r="I104" s="1294" t="s">
        <v>1211</v>
      </c>
      <c r="J104" s="1294" t="s">
        <v>2421</v>
      </c>
      <c r="K104" s="1294" t="s">
        <v>2422</v>
      </c>
      <c r="L104" s="1294" t="s">
        <v>1353</v>
      </c>
      <c r="M104" s="1294" t="s">
        <v>711</v>
      </c>
      <c r="N104" s="1296" t="s">
        <v>114</v>
      </c>
    </row>
    <row r="105" spans="1:14" hidden="1" x14ac:dyDescent="0.3">
      <c r="A105" s="1293">
        <v>2238</v>
      </c>
      <c r="B105" s="1294" t="s">
        <v>2562</v>
      </c>
      <c r="C105" s="1294" t="s">
        <v>1680</v>
      </c>
      <c r="D105" s="1295">
        <v>44081</v>
      </c>
      <c r="E105" s="1295">
        <v>44081</v>
      </c>
      <c r="F105" s="1294" t="s">
        <v>2418</v>
      </c>
      <c r="G105" s="1294" t="s">
        <v>2434</v>
      </c>
      <c r="H105" s="1294" t="s">
        <v>262</v>
      </c>
      <c r="I105" s="1294" t="s">
        <v>1209</v>
      </c>
      <c r="J105" s="1294" t="s">
        <v>2431</v>
      </c>
      <c r="K105" s="1294" t="s">
        <v>2422</v>
      </c>
      <c r="L105" s="1294" t="s">
        <v>2432</v>
      </c>
      <c r="M105" s="1294" t="s">
        <v>711</v>
      </c>
      <c r="N105" s="1296" t="s">
        <v>113</v>
      </c>
    </row>
    <row r="106" spans="1:14" hidden="1" x14ac:dyDescent="0.3">
      <c r="A106" s="1293">
        <v>8388</v>
      </c>
      <c r="B106" s="1294" t="s">
        <v>2563</v>
      </c>
      <c r="C106" s="1294" t="s">
        <v>540</v>
      </c>
      <c r="D106" s="1295">
        <v>44340</v>
      </c>
      <c r="E106" s="1295">
        <v>44340</v>
      </c>
      <c r="F106" s="1294" t="s">
        <v>2418</v>
      </c>
      <c r="G106" s="1294" t="s">
        <v>2564</v>
      </c>
      <c r="H106" s="1294" t="s">
        <v>262</v>
      </c>
      <c r="I106" s="1294" t="s">
        <v>2536</v>
      </c>
      <c r="J106" s="1294" t="s">
        <v>1351</v>
      </c>
      <c r="K106" s="1294" t="s">
        <v>2459</v>
      </c>
      <c r="L106" s="1294" t="s">
        <v>1329</v>
      </c>
      <c r="M106" s="1294" t="s">
        <v>765</v>
      </c>
      <c r="N106" s="1296" t="s">
        <v>115</v>
      </c>
    </row>
    <row r="107" spans="1:14" hidden="1" x14ac:dyDescent="0.3">
      <c r="A107" s="1293">
        <v>2707</v>
      </c>
      <c r="B107" s="1294" t="s">
        <v>2565</v>
      </c>
      <c r="C107" s="1294" t="s">
        <v>1681</v>
      </c>
      <c r="D107" s="1295">
        <v>44525</v>
      </c>
      <c r="E107" s="1295">
        <v>44525</v>
      </c>
      <c r="F107" s="1294" t="s">
        <v>2418</v>
      </c>
      <c r="G107" s="1294" t="s">
        <v>2419</v>
      </c>
      <c r="H107" s="1294" t="s">
        <v>262</v>
      </c>
      <c r="I107" s="1294" t="s">
        <v>1211</v>
      </c>
      <c r="J107" s="1294" t="s">
        <v>2421</v>
      </c>
      <c r="K107" s="1294" t="s">
        <v>2422</v>
      </c>
      <c r="L107" s="1294" t="s">
        <v>1353</v>
      </c>
      <c r="M107" s="1294" t="s">
        <v>711</v>
      </c>
      <c r="N107" s="1296" t="s">
        <v>114</v>
      </c>
    </row>
    <row r="108" spans="1:14" hidden="1" x14ac:dyDescent="0.3">
      <c r="A108" s="1293">
        <v>2712</v>
      </c>
      <c r="B108" s="1294" t="s">
        <v>2566</v>
      </c>
      <c r="C108" s="1294" t="s">
        <v>1710</v>
      </c>
      <c r="D108" s="1295">
        <v>44531</v>
      </c>
      <c r="E108" s="1295">
        <v>44531</v>
      </c>
      <c r="F108" s="1294" t="s">
        <v>2418</v>
      </c>
      <c r="G108" s="1294" t="s">
        <v>2434</v>
      </c>
      <c r="H108" s="1294" t="s">
        <v>262</v>
      </c>
      <c r="I108" s="1294" t="s">
        <v>1208</v>
      </c>
      <c r="J108" s="1294" t="s">
        <v>2437</v>
      </c>
      <c r="K108" s="1294" t="s">
        <v>2422</v>
      </c>
      <c r="L108" s="1294" t="s">
        <v>1353</v>
      </c>
      <c r="M108" s="1294" t="s">
        <v>716</v>
      </c>
      <c r="N108" s="1296" t="s">
        <v>114</v>
      </c>
    </row>
    <row r="109" spans="1:14" hidden="1" x14ac:dyDescent="0.3">
      <c r="A109" s="1293">
        <v>3209</v>
      </c>
      <c r="B109" s="1294" t="s">
        <v>2567</v>
      </c>
      <c r="C109" s="1294" t="s">
        <v>1681</v>
      </c>
      <c r="D109" s="1295">
        <v>45117</v>
      </c>
      <c r="E109" s="1295">
        <v>45117</v>
      </c>
      <c r="F109" s="1294" t="s">
        <v>2418</v>
      </c>
      <c r="G109" s="1294" t="s">
        <v>2419</v>
      </c>
      <c r="H109" s="1294" t="s">
        <v>262</v>
      </c>
      <c r="I109" s="1294" t="s">
        <v>1211</v>
      </c>
      <c r="J109" s="1294" t="s">
        <v>2427</v>
      </c>
      <c r="K109" s="1294" t="s">
        <v>2422</v>
      </c>
      <c r="L109" s="1294" t="s">
        <v>1350</v>
      </c>
      <c r="M109" s="1294" t="s">
        <v>711</v>
      </c>
      <c r="N109" s="1296" t="s">
        <v>114</v>
      </c>
    </row>
    <row r="110" spans="1:14" hidden="1" x14ac:dyDescent="0.3">
      <c r="A110" s="1293">
        <v>2687</v>
      </c>
      <c r="B110" s="1294" t="s">
        <v>2568</v>
      </c>
      <c r="C110" s="1294" t="s">
        <v>1681</v>
      </c>
      <c r="D110" s="1295">
        <v>44515</v>
      </c>
      <c r="E110" s="1295">
        <v>44515</v>
      </c>
      <c r="F110" s="1294" t="s">
        <v>2418</v>
      </c>
      <c r="G110" s="1294" t="s">
        <v>2434</v>
      </c>
      <c r="H110" s="1294" t="s">
        <v>262</v>
      </c>
      <c r="I110" s="1294" t="s">
        <v>1209</v>
      </c>
      <c r="J110" s="1294" t="s">
        <v>2427</v>
      </c>
      <c r="K110" s="1294" t="s">
        <v>2422</v>
      </c>
      <c r="L110" s="1294" t="s">
        <v>1350</v>
      </c>
      <c r="M110" s="1294" t="s">
        <v>711</v>
      </c>
      <c r="N110" s="1296" t="s">
        <v>114</v>
      </c>
    </row>
    <row r="111" spans="1:14" hidden="1" x14ac:dyDescent="0.3">
      <c r="A111" s="1293">
        <v>2493</v>
      </c>
      <c r="B111" s="1294" t="s">
        <v>2569</v>
      </c>
      <c r="C111" s="1294" t="s">
        <v>1680</v>
      </c>
      <c r="D111" s="1295">
        <v>44375</v>
      </c>
      <c r="E111" s="1295">
        <v>44375</v>
      </c>
      <c r="F111" s="1294" t="s">
        <v>2418</v>
      </c>
      <c r="G111" s="1294" t="s">
        <v>2508</v>
      </c>
      <c r="H111" s="1294" t="s">
        <v>262</v>
      </c>
      <c r="I111" s="1294" t="s">
        <v>1209</v>
      </c>
      <c r="J111" s="1294" t="s">
        <v>2431</v>
      </c>
      <c r="K111" s="1294" t="s">
        <v>2422</v>
      </c>
      <c r="L111" s="1294" t="s">
        <v>2432</v>
      </c>
      <c r="M111" s="1294" t="s">
        <v>711</v>
      </c>
      <c r="N111" s="1296" t="s">
        <v>113</v>
      </c>
    </row>
    <row r="112" spans="1:14" hidden="1" x14ac:dyDescent="0.3">
      <c r="A112" s="1293">
        <v>2874</v>
      </c>
      <c r="B112" s="1294" t="s">
        <v>2570</v>
      </c>
      <c r="C112" s="1294" t="s">
        <v>1681</v>
      </c>
      <c r="D112" s="1295">
        <v>44671</v>
      </c>
      <c r="E112" s="1295">
        <v>44671</v>
      </c>
      <c r="F112" s="1294" t="s">
        <v>2418</v>
      </c>
      <c r="G112" s="1294" t="s">
        <v>2434</v>
      </c>
      <c r="H112" s="1294" t="s">
        <v>262</v>
      </c>
      <c r="I112" s="1294" t="s">
        <v>1209</v>
      </c>
      <c r="J112" s="1294" t="s">
        <v>2427</v>
      </c>
      <c r="K112" s="1294" t="s">
        <v>2422</v>
      </c>
      <c r="L112" s="1294" t="s">
        <v>1350</v>
      </c>
      <c r="M112" s="1294" t="s">
        <v>711</v>
      </c>
      <c r="N112" s="1296" t="s">
        <v>114</v>
      </c>
    </row>
    <row r="113" spans="1:14" hidden="1" x14ac:dyDescent="0.3">
      <c r="A113" s="1293">
        <v>2704</v>
      </c>
      <c r="B113" s="1294" t="s">
        <v>2571</v>
      </c>
      <c r="C113" s="1294" t="s">
        <v>1681</v>
      </c>
      <c r="D113" s="1295">
        <v>44522</v>
      </c>
      <c r="E113" s="1295">
        <v>44522</v>
      </c>
      <c r="F113" s="1294" t="s">
        <v>2418</v>
      </c>
      <c r="G113" s="1294" t="s">
        <v>2419</v>
      </c>
      <c r="H113" s="1294" t="s">
        <v>262</v>
      </c>
      <c r="I113" s="1294" t="s">
        <v>1211</v>
      </c>
      <c r="J113" s="1294" t="s">
        <v>2427</v>
      </c>
      <c r="K113" s="1294" t="s">
        <v>2422</v>
      </c>
      <c r="L113" s="1294" t="s">
        <v>1350</v>
      </c>
      <c r="M113" s="1294" t="s">
        <v>711</v>
      </c>
      <c r="N113" s="1296" t="s">
        <v>114</v>
      </c>
    </row>
    <row r="114" spans="1:14" hidden="1" x14ac:dyDescent="0.3">
      <c r="A114" s="1293">
        <v>3339</v>
      </c>
      <c r="B114" s="1294" t="s">
        <v>2572</v>
      </c>
      <c r="C114" s="1294" t="s">
        <v>1681</v>
      </c>
      <c r="D114" s="1295">
        <v>45393</v>
      </c>
      <c r="E114" s="1295">
        <v>45393</v>
      </c>
      <c r="F114" s="1294" t="s">
        <v>2418</v>
      </c>
      <c r="G114" s="1294" t="s">
        <v>2434</v>
      </c>
      <c r="H114" s="1294" t="s">
        <v>262</v>
      </c>
      <c r="I114" s="1294" t="s">
        <v>2536</v>
      </c>
      <c r="J114" s="1294" t="s">
        <v>2421</v>
      </c>
      <c r="K114" s="1294" t="s">
        <v>2422</v>
      </c>
      <c r="L114" s="1294" t="s">
        <v>1353</v>
      </c>
      <c r="M114" s="1294" t="s">
        <v>711</v>
      </c>
      <c r="N114" s="1296" t="s">
        <v>114</v>
      </c>
    </row>
    <row r="115" spans="1:14" hidden="1" x14ac:dyDescent="0.3">
      <c r="A115" s="1293">
        <v>2389</v>
      </c>
      <c r="B115" s="1294" t="s">
        <v>2573</v>
      </c>
      <c r="C115" s="1294" t="s">
        <v>1681</v>
      </c>
      <c r="D115" s="1295">
        <v>44293</v>
      </c>
      <c r="E115" s="1295">
        <v>44293</v>
      </c>
      <c r="F115" s="1294" t="s">
        <v>2418</v>
      </c>
      <c r="G115" s="1294" t="s">
        <v>2434</v>
      </c>
      <c r="H115" s="1294" t="s">
        <v>262</v>
      </c>
      <c r="I115" s="1294" t="s">
        <v>2543</v>
      </c>
      <c r="J115" s="1294" t="s">
        <v>2421</v>
      </c>
      <c r="K115" s="1294" t="s">
        <v>2422</v>
      </c>
      <c r="L115" s="1294" t="s">
        <v>1353</v>
      </c>
      <c r="M115" s="1294" t="s">
        <v>711</v>
      </c>
      <c r="N115" s="1296" t="s">
        <v>114</v>
      </c>
    </row>
    <row r="116" spans="1:14" hidden="1" x14ac:dyDescent="0.3">
      <c r="A116" s="1293">
        <v>3332</v>
      </c>
      <c r="B116" s="1294" t="s">
        <v>2574</v>
      </c>
      <c r="C116" s="1294" t="s">
        <v>538</v>
      </c>
      <c r="D116" s="1295">
        <v>45544</v>
      </c>
      <c r="E116" s="1295">
        <v>45544</v>
      </c>
      <c r="F116" s="1294" t="s">
        <v>2418</v>
      </c>
      <c r="G116" s="1294" t="s">
        <v>2538</v>
      </c>
      <c r="H116" s="1294" t="s">
        <v>262</v>
      </c>
      <c r="I116" s="1294" t="s">
        <v>1213</v>
      </c>
      <c r="J116" s="1294" t="s">
        <v>1354</v>
      </c>
      <c r="K116" s="1294" t="s">
        <v>330</v>
      </c>
      <c r="L116" s="1294" t="s">
        <v>1332</v>
      </c>
      <c r="M116" s="1294" t="s">
        <v>765</v>
      </c>
      <c r="N116" s="1296" t="s">
        <v>115</v>
      </c>
    </row>
    <row r="117" spans="1:14" hidden="1" x14ac:dyDescent="0.3">
      <c r="A117" s="1293">
        <v>3298</v>
      </c>
      <c r="B117" s="1294" t="s">
        <v>2575</v>
      </c>
      <c r="C117" s="1294" t="s">
        <v>1681</v>
      </c>
      <c r="D117" s="1295">
        <v>45313</v>
      </c>
      <c r="E117" s="1295">
        <v>45313</v>
      </c>
      <c r="F117" s="1294" t="s">
        <v>2418</v>
      </c>
      <c r="G117" s="1294" t="s">
        <v>2434</v>
      </c>
      <c r="H117" s="1294" t="s">
        <v>262</v>
      </c>
      <c r="I117" s="1294" t="s">
        <v>2536</v>
      </c>
      <c r="J117" s="1294" t="s">
        <v>2427</v>
      </c>
      <c r="K117" s="1294" t="s">
        <v>2422</v>
      </c>
      <c r="L117" s="1294" t="s">
        <v>1350</v>
      </c>
      <c r="M117" s="1294" t="s">
        <v>711</v>
      </c>
      <c r="N117" s="1296" t="s">
        <v>114</v>
      </c>
    </row>
    <row r="118" spans="1:14" hidden="1" x14ac:dyDescent="0.3">
      <c r="A118" s="1293">
        <v>2258</v>
      </c>
      <c r="B118" s="1294" t="s">
        <v>2576</v>
      </c>
      <c r="C118" s="1294" t="s">
        <v>1681</v>
      </c>
      <c r="D118" s="1295">
        <v>44130</v>
      </c>
      <c r="E118" s="1295">
        <v>44130</v>
      </c>
      <c r="F118" s="1294" t="s">
        <v>2418</v>
      </c>
      <c r="G118" s="1294" t="s">
        <v>2419</v>
      </c>
      <c r="H118" s="1294" t="s">
        <v>262</v>
      </c>
      <c r="I118" s="1294" t="s">
        <v>1209</v>
      </c>
      <c r="J118" s="1294" t="s">
        <v>2421</v>
      </c>
      <c r="K118" s="1294" t="s">
        <v>2422</v>
      </c>
      <c r="L118" s="1294" t="s">
        <v>1353</v>
      </c>
      <c r="M118" s="1294" t="s">
        <v>711</v>
      </c>
      <c r="N118" s="1296" t="s">
        <v>114</v>
      </c>
    </row>
    <row r="119" spans="1:14" hidden="1" x14ac:dyDescent="0.3">
      <c r="A119" s="1293">
        <v>1687</v>
      </c>
      <c r="B119" s="1294" t="s">
        <v>2577</v>
      </c>
      <c r="C119" s="1294" t="s">
        <v>1680</v>
      </c>
      <c r="D119" s="1295">
        <v>43059</v>
      </c>
      <c r="E119" s="1295">
        <v>43059</v>
      </c>
      <c r="F119" s="1294" t="s">
        <v>2418</v>
      </c>
      <c r="G119" s="1294" t="s">
        <v>2419</v>
      </c>
      <c r="H119" s="1294" t="s">
        <v>262</v>
      </c>
      <c r="I119" s="1294" t="s">
        <v>1209</v>
      </c>
      <c r="J119" s="1294" t="s">
        <v>2431</v>
      </c>
      <c r="K119" s="1294" t="s">
        <v>2422</v>
      </c>
      <c r="L119" s="1294" t="s">
        <v>2432</v>
      </c>
      <c r="M119" s="1294" t="s">
        <v>711</v>
      </c>
      <c r="N119" s="1296" t="s">
        <v>113</v>
      </c>
    </row>
    <row r="120" spans="1:14" hidden="1" x14ac:dyDescent="0.3">
      <c r="A120" s="1293">
        <v>2786</v>
      </c>
      <c r="B120" s="1294" t="s">
        <v>2578</v>
      </c>
      <c r="C120" s="1294" t="s">
        <v>1680</v>
      </c>
      <c r="D120" s="1295">
        <v>44592</v>
      </c>
      <c r="E120" s="1295">
        <v>44592</v>
      </c>
      <c r="F120" s="1294" t="s">
        <v>2418</v>
      </c>
      <c r="G120" s="1294" t="s">
        <v>2419</v>
      </c>
      <c r="H120" s="1294" t="s">
        <v>262</v>
      </c>
      <c r="I120" s="1294" t="s">
        <v>1211</v>
      </c>
      <c r="J120" s="1294" t="s">
        <v>2431</v>
      </c>
      <c r="K120" s="1294" t="s">
        <v>2422</v>
      </c>
      <c r="L120" s="1294" t="s">
        <v>2432</v>
      </c>
      <c r="M120" s="1294" t="s">
        <v>711</v>
      </c>
      <c r="N120" s="1296" t="s">
        <v>113</v>
      </c>
    </row>
    <row r="121" spans="1:14" hidden="1" x14ac:dyDescent="0.3">
      <c r="A121" s="1293">
        <v>1525</v>
      </c>
      <c r="B121" s="1294" t="s">
        <v>2579</v>
      </c>
      <c r="C121" s="1294" t="s">
        <v>536</v>
      </c>
      <c r="D121" s="1295">
        <v>45600</v>
      </c>
      <c r="E121" s="1295">
        <v>42598</v>
      </c>
      <c r="F121" s="1294" t="s">
        <v>2418</v>
      </c>
      <c r="G121" s="1294" t="s">
        <v>2538</v>
      </c>
      <c r="H121" s="1294" t="s">
        <v>262</v>
      </c>
      <c r="I121" s="1294" t="s">
        <v>1209</v>
      </c>
      <c r="J121" s="1294" t="s">
        <v>2421</v>
      </c>
      <c r="K121" s="1294" t="s">
        <v>330</v>
      </c>
      <c r="L121" s="1294" t="s">
        <v>1353</v>
      </c>
      <c r="M121" s="1294" t="s">
        <v>765</v>
      </c>
      <c r="N121" s="1296" t="s">
        <v>114</v>
      </c>
    </row>
    <row r="122" spans="1:14" hidden="1" x14ac:dyDescent="0.3">
      <c r="A122" s="1293">
        <v>8385</v>
      </c>
      <c r="B122" s="1294" t="s">
        <v>2580</v>
      </c>
      <c r="C122" s="1294" t="s">
        <v>721</v>
      </c>
      <c r="D122" s="1295">
        <v>44319</v>
      </c>
      <c r="E122" s="1295">
        <v>44319</v>
      </c>
      <c r="F122" s="1294" t="s">
        <v>2418</v>
      </c>
      <c r="G122" s="1294" t="s">
        <v>2538</v>
      </c>
      <c r="H122" s="1294" t="s">
        <v>262</v>
      </c>
      <c r="I122" s="1294" t="s">
        <v>1211</v>
      </c>
      <c r="J122" s="1294" t="s">
        <v>2496</v>
      </c>
      <c r="K122" s="1294" t="s">
        <v>330</v>
      </c>
      <c r="L122" s="1294" t="s">
        <v>1372</v>
      </c>
      <c r="M122" s="1294" t="s">
        <v>765</v>
      </c>
      <c r="N122" s="1296" t="s">
        <v>116</v>
      </c>
    </row>
    <row r="123" spans="1:14" hidden="1" x14ac:dyDescent="0.3">
      <c r="A123" s="1293">
        <v>2537</v>
      </c>
      <c r="B123" s="1294" t="s">
        <v>2581</v>
      </c>
      <c r="C123" s="1294" t="s">
        <v>1681</v>
      </c>
      <c r="D123" s="1295">
        <v>44418</v>
      </c>
      <c r="E123" s="1295">
        <v>44418</v>
      </c>
      <c r="F123" s="1294" t="s">
        <v>2418</v>
      </c>
      <c r="G123" s="1294" t="s">
        <v>2419</v>
      </c>
      <c r="H123" s="1294" t="s">
        <v>262</v>
      </c>
      <c r="I123" s="1294" t="s">
        <v>1207</v>
      </c>
      <c r="J123" s="1294" t="s">
        <v>2421</v>
      </c>
      <c r="K123" s="1294" t="s">
        <v>2422</v>
      </c>
      <c r="L123" s="1294" t="s">
        <v>1353</v>
      </c>
      <c r="M123" s="1294" t="s">
        <v>711</v>
      </c>
      <c r="N123" s="1296" t="s">
        <v>114</v>
      </c>
    </row>
    <row r="124" spans="1:14" hidden="1" x14ac:dyDescent="0.3">
      <c r="A124" s="1293">
        <v>1857</v>
      </c>
      <c r="B124" s="1294" t="s">
        <v>2582</v>
      </c>
      <c r="C124" s="1294" t="s">
        <v>1710</v>
      </c>
      <c r="D124" s="1295">
        <v>43367</v>
      </c>
      <c r="E124" s="1295">
        <v>43367</v>
      </c>
      <c r="F124" s="1294" t="s">
        <v>2418</v>
      </c>
      <c r="G124" s="1294" t="s">
        <v>2419</v>
      </c>
      <c r="H124" s="1294" t="s">
        <v>262</v>
      </c>
      <c r="I124" s="1294" t="s">
        <v>1208</v>
      </c>
      <c r="J124" s="1294" t="s">
        <v>2437</v>
      </c>
      <c r="K124" s="1294" t="s">
        <v>2422</v>
      </c>
      <c r="L124" s="1294" t="s">
        <v>1353</v>
      </c>
      <c r="M124" s="1294" t="s">
        <v>716</v>
      </c>
      <c r="N124" s="1296" t="s">
        <v>114</v>
      </c>
    </row>
    <row r="125" spans="1:14" hidden="1" x14ac:dyDescent="0.3">
      <c r="A125" s="1293">
        <v>1375</v>
      </c>
      <c r="B125" s="1294" t="s">
        <v>2583</v>
      </c>
      <c r="C125" s="1294" t="s">
        <v>1680</v>
      </c>
      <c r="D125" s="1295">
        <v>41855</v>
      </c>
      <c r="E125" s="1295">
        <v>41855</v>
      </c>
      <c r="F125" s="1294" t="s">
        <v>2418</v>
      </c>
      <c r="G125" s="1294" t="s">
        <v>2419</v>
      </c>
      <c r="H125" s="1294" t="s">
        <v>262</v>
      </c>
      <c r="I125" s="1294" t="s">
        <v>1209</v>
      </c>
      <c r="J125" s="1294" t="s">
        <v>2431</v>
      </c>
      <c r="K125" s="1294" t="s">
        <v>2422</v>
      </c>
      <c r="L125" s="1294" t="s">
        <v>2432</v>
      </c>
      <c r="M125" s="1294" t="s">
        <v>711</v>
      </c>
      <c r="N125" s="1296" t="s">
        <v>113</v>
      </c>
    </row>
    <row r="126" spans="1:14" hidden="1" x14ac:dyDescent="0.3">
      <c r="A126" s="1293">
        <v>2834</v>
      </c>
      <c r="B126" s="1294" t="s">
        <v>2584</v>
      </c>
      <c r="C126" s="1294" t="s">
        <v>1680</v>
      </c>
      <c r="D126" s="1295">
        <v>44627</v>
      </c>
      <c r="E126" s="1295">
        <v>44627</v>
      </c>
      <c r="F126" s="1294" t="s">
        <v>2418</v>
      </c>
      <c r="G126" s="1294" t="s">
        <v>2419</v>
      </c>
      <c r="H126" s="1294" t="s">
        <v>262</v>
      </c>
      <c r="I126" s="1294" t="s">
        <v>1211</v>
      </c>
      <c r="J126" s="1294" t="s">
        <v>2431</v>
      </c>
      <c r="K126" s="1294" t="s">
        <v>2422</v>
      </c>
      <c r="L126" s="1294" t="s">
        <v>2432</v>
      </c>
      <c r="M126" s="1294" t="s">
        <v>711</v>
      </c>
      <c r="N126" s="1296" t="s">
        <v>113</v>
      </c>
    </row>
    <row r="127" spans="1:14" hidden="1" x14ac:dyDescent="0.3">
      <c r="A127" s="1293">
        <v>2965</v>
      </c>
      <c r="B127" s="1294" t="s">
        <v>2585</v>
      </c>
      <c r="C127" s="1294" t="s">
        <v>2451</v>
      </c>
      <c r="D127" s="1295">
        <v>44791</v>
      </c>
      <c r="E127" s="1295">
        <v>44791</v>
      </c>
      <c r="F127" s="1294" t="s">
        <v>2418</v>
      </c>
      <c r="G127" s="1294" t="s">
        <v>2419</v>
      </c>
      <c r="H127" s="1294" t="s">
        <v>262</v>
      </c>
      <c r="I127" s="1294" t="s">
        <v>2536</v>
      </c>
      <c r="J127" s="1294" t="s">
        <v>2449</v>
      </c>
      <c r="K127" s="1294" t="s">
        <v>2422</v>
      </c>
      <c r="L127" s="1294" t="s">
        <v>2450</v>
      </c>
      <c r="M127" s="1294" t="s">
        <v>711</v>
      </c>
      <c r="N127" s="1296" t="s">
        <v>2452</v>
      </c>
    </row>
    <row r="128" spans="1:14" hidden="1" x14ac:dyDescent="0.3">
      <c r="A128" s="1293">
        <v>3000</v>
      </c>
      <c r="B128" s="1294" t="s">
        <v>2586</v>
      </c>
      <c r="C128" s="1294" t="s">
        <v>2451</v>
      </c>
      <c r="D128" s="1295">
        <v>44791</v>
      </c>
      <c r="E128" s="1295">
        <v>44791</v>
      </c>
      <c r="F128" s="1294" t="s">
        <v>2418</v>
      </c>
      <c r="G128" s="1294" t="s">
        <v>2419</v>
      </c>
      <c r="H128" s="1294" t="s">
        <v>262</v>
      </c>
      <c r="I128" s="1294" t="s">
        <v>1212</v>
      </c>
      <c r="J128" s="1294" t="s">
        <v>2449</v>
      </c>
      <c r="K128" s="1294" t="s">
        <v>2422</v>
      </c>
      <c r="L128" s="1294" t="s">
        <v>2450</v>
      </c>
      <c r="M128" s="1294" t="s">
        <v>711</v>
      </c>
      <c r="N128" s="1296" t="s">
        <v>2452</v>
      </c>
    </row>
    <row r="129" spans="1:14" hidden="1" x14ac:dyDescent="0.3">
      <c r="A129" s="1293">
        <v>3328</v>
      </c>
      <c r="B129" s="1294" t="s">
        <v>2587</v>
      </c>
      <c r="C129" s="1294" t="s">
        <v>1683</v>
      </c>
      <c r="D129" s="1295">
        <v>45334</v>
      </c>
      <c r="E129" s="1295">
        <v>45334</v>
      </c>
      <c r="F129" s="1294" t="s">
        <v>2418</v>
      </c>
      <c r="G129" s="1294" t="s">
        <v>2419</v>
      </c>
      <c r="H129" s="1294" t="s">
        <v>262</v>
      </c>
      <c r="I129" s="1294" t="s">
        <v>2536</v>
      </c>
      <c r="J129" s="1294" t="s">
        <v>1354</v>
      </c>
      <c r="K129" s="1294" t="s">
        <v>2422</v>
      </c>
      <c r="L129" s="1294" t="s">
        <v>1332</v>
      </c>
      <c r="M129" s="1294" t="s">
        <v>711</v>
      </c>
      <c r="N129" s="1296" t="s">
        <v>115</v>
      </c>
    </row>
    <row r="130" spans="1:14" hidden="1" x14ac:dyDescent="0.3">
      <c r="A130" s="1293">
        <v>2743</v>
      </c>
      <c r="B130" s="1294" t="s">
        <v>2588</v>
      </c>
      <c r="C130" s="1294" t="s">
        <v>1683</v>
      </c>
      <c r="D130" s="1295">
        <v>44550</v>
      </c>
      <c r="E130" s="1295">
        <v>44550</v>
      </c>
      <c r="F130" s="1294" t="s">
        <v>2418</v>
      </c>
      <c r="G130" s="1294" t="s">
        <v>2419</v>
      </c>
      <c r="H130" s="1294" t="s">
        <v>262</v>
      </c>
      <c r="I130" s="1294" t="s">
        <v>1207</v>
      </c>
      <c r="J130" s="1294" t="s">
        <v>1354</v>
      </c>
      <c r="K130" s="1294" t="s">
        <v>2422</v>
      </c>
      <c r="L130" s="1294" t="s">
        <v>1332</v>
      </c>
      <c r="M130" s="1294" t="s">
        <v>711</v>
      </c>
      <c r="N130" s="1296" t="s">
        <v>115</v>
      </c>
    </row>
    <row r="131" spans="1:14" hidden="1" x14ac:dyDescent="0.3">
      <c r="A131" s="1293">
        <v>2519</v>
      </c>
      <c r="B131" s="1294" t="s">
        <v>2589</v>
      </c>
      <c r="C131" s="1294" t="s">
        <v>1684</v>
      </c>
      <c r="D131" s="1295">
        <v>44407</v>
      </c>
      <c r="E131" s="1295">
        <v>44407</v>
      </c>
      <c r="F131" s="1294" t="s">
        <v>2418</v>
      </c>
      <c r="G131" s="1294" t="s">
        <v>2434</v>
      </c>
      <c r="H131" s="1294" t="s">
        <v>262</v>
      </c>
      <c r="I131" s="1294" t="s">
        <v>1209</v>
      </c>
      <c r="J131" s="1294" t="s">
        <v>1351</v>
      </c>
      <c r="K131" s="1294" t="s">
        <v>2422</v>
      </c>
      <c r="L131" s="1294" t="s">
        <v>1329</v>
      </c>
      <c r="M131" s="1294" t="s">
        <v>711</v>
      </c>
      <c r="N131" s="1296" t="s">
        <v>115</v>
      </c>
    </row>
    <row r="132" spans="1:14" hidden="1" x14ac:dyDescent="0.3">
      <c r="A132" s="1293">
        <v>1969</v>
      </c>
      <c r="B132" s="1294" t="s">
        <v>2590</v>
      </c>
      <c r="C132" s="1294" t="s">
        <v>1680</v>
      </c>
      <c r="D132" s="1295">
        <v>43542</v>
      </c>
      <c r="E132" s="1295">
        <v>43542</v>
      </c>
      <c r="F132" s="1294" t="s">
        <v>2418</v>
      </c>
      <c r="G132" s="1294" t="s">
        <v>2434</v>
      </c>
      <c r="H132" s="1294" t="s">
        <v>262</v>
      </c>
      <c r="I132" s="1294" t="s">
        <v>1211</v>
      </c>
      <c r="J132" s="1294" t="s">
        <v>2431</v>
      </c>
      <c r="K132" s="1294" t="s">
        <v>2422</v>
      </c>
      <c r="L132" s="1294" t="s">
        <v>2432</v>
      </c>
      <c r="M132" s="1294" t="s">
        <v>711</v>
      </c>
      <c r="N132" s="1296" t="s">
        <v>113</v>
      </c>
    </row>
    <row r="133" spans="1:14" hidden="1" x14ac:dyDescent="0.3">
      <c r="A133" s="1293">
        <v>2251</v>
      </c>
      <c r="B133" s="1294" t="s">
        <v>2591</v>
      </c>
      <c r="C133" s="1294" t="s">
        <v>1680</v>
      </c>
      <c r="D133" s="1295">
        <v>44118</v>
      </c>
      <c r="E133" s="1295">
        <v>44118</v>
      </c>
      <c r="F133" s="1294" t="s">
        <v>2418</v>
      </c>
      <c r="G133" s="1294" t="s">
        <v>2434</v>
      </c>
      <c r="H133" s="1294" t="s">
        <v>262</v>
      </c>
      <c r="I133" s="1294" t="s">
        <v>1211</v>
      </c>
      <c r="J133" s="1294" t="s">
        <v>2431</v>
      </c>
      <c r="K133" s="1294" t="s">
        <v>2422</v>
      </c>
      <c r="L133" s="1294" t="s">
        <v>2432</v>
      </c>
      <c r="M133" s="1294" t="s">
        <v>711</v>
      </c>
      <c r="N133" s="1296" t="s">
        <v>113</v>
      </c>
    </row>
    <row r="134" spans="1:14" hidden="1" x14ac:dyDescent="0.3">
      <c r="A134" s="1293">
        <v>2910</v>
      </c>
      <c r="B134" s="1294" t="s">
        <v>2592</v>
      </c>
      <c r="C134" s="1294" t="s">
        <v>1683</v>
      </c>
      <c r="D134" s="1295">
        <v>44704</v>
      </c>
      <c r="E134" s="1295">
        <v>44704</v>
      </c>
      <c r="F134" s="1294" t="s">
        <v>2418</v>
      </c>
      <c r="G134" s="1294" t="s">
        <v>2476</v>
      </c>
      <c r="H134" s="1294" t="s">
        <v>262</v>
      </c>
      <c r="I134" s="1294" t="s">
        <v>2536</v>
      </c>
      <c r="J134" s="1294" t="s">
        <v>1354</v>
      </c>
      <c r="K134" s="1294" t="s">
        <v>2422</v>
      </c>
      <c r="L134" s="1294" t="s">
        <v>1332</v>
      </c>
      <c r="M134" s="1294" t="s">
        <v>711</v>
      </c>
      <c r="N134" s="1296" t="s">
        <v>115</v>
      </c>
    </row>
    <row r="135" spans="1:14" hidden="1" x14ac:dyDescent="0.3">
      <c r="A135" s="1293">
        <v>2865</v>
      </c>
      <c r="B135" s="1294" t="s">
        <v>2593</v>
      </c>
      <c r="C135" s="1294" t="s">
        <v>1683</v>
      </c>
      <c r="D135" s="1295">
        <v>44658</v>
      </c>
      <c r="E135" s="1295">
        <v>44658</v>
      </c>
      <c r="F135" s="1294" t="s">
        <v>2418</v>
      </c>
      <c r="G135" s="1294" t="s">
        <v>2434</v>
      </c>
      <c r="H135" s="1294" t="s">
        <v>262</v>
      </c>
      <c r="I135" s="1294" t="s">
        <v>1211</v>
      </c>
      <c r="J135" s="1294" t="s">
        <v>1354</v>
      </c>
      <c r="K135" s="1294" t="s">
        <v>2422</v>
      </c>
      <c r="L135" s="1294" t="s">
        <v>1332</v>
      </c>
      <c r="M135" s="1294" t="s">
        <v>711</v>
      </c>
      <c r="N135" s="1296" t="s">
        <v>115</v>
      </c>
    </row>
    <row r="136" spans="1:14" hidden="1" x14ac:dyDescent="0.3">
      <c r="A136" s="1293">
        <v>1524</v>
      </c>
      <c r="B136" s="1294" t="s">
        <v>2594</v>
      </c>
      <c r="C136" s="1294" t="s">
        <v>1680</v>
      </c>
      <c r="D136" s="1295">
        <v>42598</v>
      </c>
      <c r="E136" s="1295">
        <v>42598</v>
      </c>
      <c r="F136" s="1294" t="s">
        <v>2418</v>
      </c>
      <c r="G136" s="1294" t="s">
        <v>2419</v>
      </c>
      <c r="H136" s="1294" t="s">
        <v>262</v>
      </c>
      <c r="I136" s="1294" t="s">
        <v>1211</v>
      </c>
      <c r="J136" s="1294" t="s">
        <v>2431</v>
      </c>
      <c r="K136" s="1294" t="s">
        <v>2422</v>
      </c>
      <c r="L136" s="1294" t="s">
        <v>2432</v>
      </c>
      <c r="M136" s="1294" t="s">
        <v>711</v>
      </c>
      <c r="N136" s="1296" t="s">
        <v>113</v>
      </c>
    </row>
    <row r="137" spans="1:14" hidden="1" x14ac:dyDescent="0.3">
      <c r="A137" s="1293">
        <v>1466</v>
      </c>
      <c r="B137" s="1294" t="s">
        <v>2595</v>
      </c>
      <c r="C137" s="1294" t="s">
        <v>534</v>
      </c>
      <c r="D137" s="1295">
        <v>44747</v>
      </c>
      <c r="E137" s="1295">
        <v>42401</v>
      </c>
      <c r="F137" s="1294" t="s">
        <v>2418</v>
      </c>
      <c r="G137" s="1294" t="s">
        <v>2564</v>
      </c>
      <c r="H137" s="1294" t="s">
        <v>262</v>
      </c>
      <c r="I137" s="1294" t="s">
        <v>1207</v>
      </c>
      <c r="J137" s="1294" t="s">
        <v>2431</v>
      </c>
      <c r="K137" s="1294" t="s">
        <v>2459</v>
      </c>
      <c r="L137" s="1294" t="s">
        <v>2432</v>
      </c>
      <c r="M137" s="1294" t="s">
        <v>765</v>
      </c>
      <c r="N137" s="1296" t="s">
        <v>113</v>
      </c>
    </row>
    <row r="138" spans="1:14" hidden="1" x14ac:dyDescent="0.3">
      <c r="A138" s="1293">
        <v>2143</v>
      </c>
      <c r="B138" s="1294" t="s">
        <v>2596</v>
      </c>
      <c r="C138" s="1294" t="s">
        <v>1681</v>
      </c>
      <c r="D138" s="1295">
        <v>43843</v>
      </c>
      <c r="E138" s="1295">
        <v>43843</v>
      </c>
      <c r="F138" s="1294" t="s">
        <v>2418</v>
      </c>
      <c r="G138" s="1294" t="s">
        <v>2434</v>
      </c>
      <c r="H138" s="1294" t="s">
        <v>262</v>
      </c>
      <c r="I138" s="1294" t="s">
        <v>1209</v>
      </c>
      <c r="J138" s="1294" t="s">
        <v>2421</v>
      </c>
      <c r="K138" s="1294" t="s">
        <v>2422</v>
      </c>
      <c r="L138" s="1294" t="s">
        <v>1353</v>
      </c>
      <c r="M138" s="1294" t="s">
        <v>711</v>
      </c>
      <c r="N138" s="1296" t="s">
        <v>114</v>
      </c>
    </row>
    <row r="139" spans="1:14" hidden="1" x14ac:dyDescent="0.3">
      <c r="A139" s="1293">
        <v>3054</v>
      </c>
      <c r="B139" s="1294" t="s">
        <v>2597</v>
      </c>
      <c r="C139" s="1294" t="s">
        <v>1680</v>
      </c>
      <c r="D139" s="1295">
        <v>44914</v>
      </c>
      <c r="E139" s="1295">
        <v>44914</v>
      </c>
      <c r="F139" s="1294" t="s">
        <v>2418</v>
      </c>
      <c r="G139" s="1294" t="s">
        <v>2419</v>
      </c>
      <c r="H139" s="1294" t="s">
        <v>262</v>
      </c>
      <c r="I139" s="1294" t="s">
        <v>1209</v>
      </c>
      <c r="J139" s="1294" t="s">
        <v>2431</v>
      </c>
      <c r="K139" s="1294" t="s">
        <v>2422</v>
      </c>
      <c r="L139" s="1294" t="s">
        <v>2432</v>
      </c>
      <c r="M139" s="1294" t="s">
        <v>711</v>
      </c>
      <c r="N139" s="1296" t="s">
        <v>113</v>
      </c>
    </row>
    <row r="140" spans="1:14" hidden="1" x14ac:dyDescent="0.3">
      <c r="A140" s="1293">
        <v>3219</v>
      </c>
      <c r="B140" s="1294" t="s">
        <v>2598</v>
      </c>
      <c r="C140" s="1294" t="s">
        <v>540</v>
      </c>
      <c r="D140" s="1295">
        <v>45154</v>
      </c>
      <c r="E140" s="1295">
        <v>45154</v>
      </c>
      <c r="F140" s="1294" t="s">
        <v>2418</v>
      </c>
      <c r="G140" s="1294" t="s">
        <v>2599</v>
      </c>
      <c r="H140" s="1294" t="s">
        <v>262</v>
      </c>
      <c r="I140" s="1294" t="s">
        <v>1213</v>
      </c>
      <c r="J140" s="1294" t="s">
        <v>2553</v>
      </c>
      <c r="K140" s="1294" t="s">
        <v>2459</v>
      </c>
      <c r="L140" s="1294" t="s">
        <v>1329</v>
      </c>
      <c r="M140" s="1294" t="s">
        <v>765</v>
      </c>
      <c r="N140" s="1296" t="s">
        <v>115</v>
      </c>
    </row>
    <row r="141" spans="1:14" hidden="1" x14ac:dyDescent="0.3">
      <c r="A141" s="1293">
        <v>3250</v>
      </c>
      <c r="B141" s="1294" t="s">
        <v>2600</v>
      </c>
      <c r="C141" s="1294" t="s">
        <v>721</v>
      </c>
      <c r="D141" s="1295">
        <v>45336</v>
      </c>
      <c r="E141" s="1295">
        <v>45336</v>
      </c>
      <c r="F141" s="1294" t="s">
        <v>2418</v>
      </c>
      <c r="G141" s="1294" t="s">
        <v>2531</v>
      </c>
      <c r="H141" s="1294" t="s">
        <v>262</v>
      </c>
      <c r="I141" s="1294" t="s">
        <v>1212</v>
      </c>
      <c r="J141" s="1294" t="s">
        <v>2601</v>
      </c>
      <c r="K141" s="1294" t="s">
        <v>2459</v>
      </c>
      <c r="L141" s="1294" t="s">
        <v>1376</v>
      </c>
      <c r="M141" s="1294" t="s">
        <v>765</v>
      </c>
      <c r="N141" s="1296" t="s">
        <v>116</v>
      </c>
    </row>
    <row r="142" spans="1:14" hidden="1" x14ac:dyDescent="0.3">
      <c r="A142" s="1293">
        <v>8250</v>
      </c>
      <c r="B142" s="1294" t="s">
        <v>2602</v>
      </c>
      <c r="C142" s="1294" t="s">
        <v>540</v>
      </c>
      <c r="D142" s="1295">
        <v>43500</v>
      </c>
      <c r="E142" s="1295">
        <v>43500</v>
      </c>
      <c r="F142" s="1294" t="s">
        <v>2418</v>
      </c>
      <c r="G142" s="1294" t="s">
        <v>2495</v>
      </c>
      <c r="H142" s="1294" t="s">
        <v>262</v>
      </c>
      <c r="I142" s="1294" t="s">
        <v>1211</v>
      </c>
      <c r="J142" s="1294" t="s">
        <v>2553</v>
      </c>
      <c r="K142" s="1294" t="s">
        <v>330</v>
      </c>
      <c r="L142" s="1294" t="s">
        <v>1329</v>
      </c>
      <c r="M142" s="1294" t="s">
        <v>765</v>
      </c>
      <c r="N142" s="1296" t="s">
        <v>115</v>
      </c>
    </row>
    <row r="143" spans="1:14" hidden="1" x14ac:dyDescent="0.3">
      <c r="A143" s="1293">
        <v>2348</v>
      </c>
      <c r="B143" s="1294" t="s">
        <v>2603</v>
      </c>
      <c r="C143" s="1294" t="s">
        <v>2474</v>
      </c>
      <c r="D143" s="1295">
        <v>44263</v>
      </c>
      <c r="E143" s="1295">
        <v>44263</v>
      </c>
      <c r="F143" s="1294" t="s">
        <v>2418</v>
      </c>
      <c r="G143" s="1294" t="s">
        <v>2419</v>
      </c>
      <c r="H143" s="1294" t="s">
        <v>262</v>
      </c>
      <c r="I143" s="1294" t="s">
        <v>1208</v>
      </c>
      <c r="J143" s="1294" t="s">
        <v>2431</v>
      </c>
      <c r="K143" s="1294" t="s">
        <v>2422</v>
      </c>
      <c r="L143" s="1294" t="s">
        <v>2432</v>
      </c>
      <c r="M143" s="1294" t="s">
        <v>716</v>
      </c>
      <c r="N143" s="1296" t="s">
        <v>113</v>
      </c>
    </row>
    <row r="144" spans="1:14" hidden="1" x14ac:dyDescent="0.3">
      <c r="A144" s="1293">
        <v>2900</v>
      </c>
      <c r="B144" s="1294" t="s">
        <v>2604</v>
      </c>
      <c r="C144" s="1294" t="s">
        <v>1681</v>
      </c>
      <c r="D144" s="1295">
        <v>44697</v>
      </c>
      <c r="E144" s="1295">
        <v>44697</v>
      </c>
      <c r="F144" s="1294" t="s">
        <v>2418</v>
      </c>
      <c r="G144" s="1294" t="s">
        <v>2419</v>
      </c>
      <c r="H144" s="1294" t="s">
        <v>262</v>
      </c>
      <c r="I144" s="1294" t="s">
        <v>2543</v>
      </c>
      <c r="J144" s="1294" t="s">
        <v>2427</v>
      </c>
      <c r="K144" s="1294" t="s">
        <v>2422</v>
      </c>
      <c r="L144" s="1294" t="s">
        <v>1350</v>
      </c>
      <c r="M144" s="1294" t="s">
        <v>711</v>
      </c>
      <c r="N144" s="1296" t="s">
        <v>114</v>
      </c>
    </row>
    <row r="145" spans="1:14" hidden="1" x14ac:dyDescent="0.3">
      <c r="A145" s="1293">
        <v>2697</v>
      </c>
      <c r="B145" s="1294" t="s">
        <v>2605</v>
      </c>
      <c r="C145" s="1294" t="s">
        <v>1680</v>
      </c>
      <c r="D145" s="1295">
        <v>44517</v>
      </c>
      <c r="E145" s="1295">
        <v>44517</v>
      </c>
      <c r="F145" s="1294" t="s">
        <v>2418</v>
      </c>
      <c r="G145" s="1294" t="s">
        <v>2434</v>
      </c>
      <c r="H145" s="1294" t="s">
        <v>262</v>
      </c>
      <c r="I145" s="1294" t="s">
        <v>1211</v>
      </c>
      <c r="J145" s="1294" t="s">
        <v>2431</v>
      </c>
      <c r="K145" s="1294" t="s">
        <v>2422</v>
      </c>
      <c r="L145" s="1294" t="s">
        <v>2432</v>
      </c>
      <c r="M145" s="1294" t="s">
        <v>711</v>
      </c>
      <c r="N145" s="1296" t="s">
        <v>113</v>
      </c>
    </row>
    <row r="146" spans="1:14" hidden="1" x14ac:dyDescent="0.3">
      <c r="A146" s="1293">
        <v>2792</v>
      </c>
      <c r="B146" s="1294" t="s">
        <v>2606</v>
      </c>
      <c r="C146" s="1294" t="s">
        <v>1680</v>
      </c>
      <c r="D146" s="1295">
        <v>44599</v>
      </c>
      <c r="E146" s="1295">
        <v>44599</v>
      </c>
      <c r="F146" s="1294" t="s">
        <v>2418</v>
      </c>
      <c r="G146" s="1294" t="s">
        <v>2434</v>
      </c>
      <c r="H146" s="1294" t="s">
        <v>262</v>
      </c>
      <c r="I146" s="1294" t="s">
        <v>1211</v>
      </c>
      <c r="J146" s="1294" t="s">
        <v>2431</v>
      </c>
      <c r="K146" s="1294" t="s">
        <v>2422</v>
      </c>
      <c r="L146" s="1294" t="s">
        <v>2432</v>
      </c>
      <c r="M146" s="1294" t="s">
        <v>711</v>
      </c>
      <c r="N146" s="1296" t="s">
        <v>113</v>
      </c>
    </row>
    <row r="147" spans="1:14" hidden="1" x14ac:dyDescent="0.3">
      <c r="A147" s="1293">
        <v>2943</v>
      </c>
      <c r="B147" s="1294" t="s">
        <v>2607</v>
      </c>
      <c r="C147" s="1294" t="s">
        <v>2474</v>
      </c>
      <c r="D147" s="1295">
        <v>44746</v>
      </c>
      <c r="E147" s="1295">
        <v>44746</v>
      </c>
      <c r="F147" s="1294" t="s">
        <v>2418</v>
      </c>
      <c r="G147" s="1294" t="s">
        <v>2419</v>
      </c>
      <c r="H147" s="1294" t="s">
        <v>262</v>
      </c>
      <c r="I147" s="1294" t="s">
        <v>1208</v>
      </c>
      <c r="J147" s="1294" t="s">
        <v>2431</v>
      </c>
      <c r="K147" s="1294" t="s">
        <v>2422</v>
      </c>
      <c r="L147" s="1294" t="s">
        <v>2432</v>
      </c>
      <c r="M147" s="1294" t="s">
        <v>716</v>
      </c>
      <c r="N147" s="1296" t="s">
        <v>113</v>
      </c>
    </row>
    <row r="148" spans="1:14" hidden="1" x14ac:dyDescent="0.3">
      <c r="A148" s="1293">
        <v>2693</v>
      </c>
      <c r="B148" s="1294" t="s">
        <v>2608</v>
      </c>
      <c r="C148" s="1294" t="s">
        <v>1681</v>
      </c>
      <c r="D148" s="1295">
        <v>44515</v>
      </c>
      <c r="E148" s="1295">
        <v>44515</v>
      </c>
      <c r="F148" s="1294" t="s">
        <v>2418</v>
      </c>
      <c r="G148" s="1294" t="s">
        <v>2419</v>
      </c>
      <c r="H148" s="1294" t="s">
        <v>262</v>
      </c>
      <c r="I148" s="1294" t="s">
        <v>1211</v>
      </c>
      <c r="J148" s="1294" t="s">
        <v>2421</v>
      </c>
      <c r="K148" s="1294" t="s">
        <v>2422</v>
      </c>
      <c r="L148" s="1294" t="s">
        <v>1353</v>
      </c>
      <c r="M148" s="1294" t="s">
        <v>711</v>
      </c>
      <c r="N148" s="1296" t="s">
        <v>114</v>
      </c>
    </row>
    <row r="149" spans="1:14" hidden="1" x14ac:dyDescent="0.3">
      <c r="A149" s="1293">
        <v>1619</v>
      </c>
      <c r="B149" s="1294" t="s">
        <v>2609</v>
      </c>
      <c r="C149" s="1294" t="s">
        <v>2474</v>
      </c>
      <c r="D149" s="1295">
        <v>42919</v>
      </c>
      <c r="E149" s="1295">
        <v>42919</v>
      </c>
      <c r="F149" s="1294" t="s">
        <v>2418</v>
      </c>
      <c r="G149" s="1294" t="s">
        <v>2419</v>
      </c>
      <c r="H149" s="1294" t="s">
        <v>262</v>
      </c>
      <c r="I149" s="1294" t="s">
        <v>1208</v>
      </c>
      <c r="J149" s="1294" t="s">
        <v>2431</v>
      </c>
      <c r="K149" s="1294" t="s">
        <v>2422</v>
      </c>
      <c r="L149" s="1294" t="s">
        <v>2432</v>
      </c>
      <c r="M149" s="1294" t="s">
        <v>716</v>
      </c>
      <c r="N149" s="1296" t="s">
        <v>113</v>
      </c>
    </row>
    <row r="150" spans="1:14" hidden="1" x14ac:dyDescent="0.3">
      <c r="A150" s="1293">
        <v>8414</v>
      </c>
      <c r="B150" s="1294" t="s">
        <v>2610</v>
      </c>
      <c r="C150" s="1294" t="s">
        <v>536</v>
      </c>
      <c r="D150" s="1295">
        <v>44571</v>
      </c>
      <c r="E150" s="1295">
        <v>44571</v>
      </c>
      <c r="F150" s="1294" t="s">
        <v>2418</v>
      </c>
      <c r="G150" s="1294" t="s">
        <v>2611</v>
      </c>
      <c r="H150" s="1294" t="s">
        <v>262</v>
      </c>
      <c r="I150" s="1294" t="s">
        <v>1211</v>
      </c>
      <c r="J150" s="1294" t="s">
        <v>2427</v>
      </c>
      <c r="K150" s="1294" t="s">
        <v>330</v>
      </c>
      <c r="L150" s="1294" t="s">
        <v>1350</v>
      </c>
      <c r="M150" s="1294" t="s">
        <v>765</v>
      </c>
      <c r="N150" s="1296" t="s">
        <v>114</v>
      </c>
    </row>
    <row r="151" spans="1:14" hidden="1" x14ac:dyDescent="0.3">
      <c r="A151" s="1293">
        <v>2393</v>
      </c>
      <c r="B151" s="1294" t="s">
        <v>2612</v>
      </c>
      <c r="C151" s="1294" t="s">
        <v>2474</v>
      </c>
      <c r="D151" s="1295">
        <v>44293</v>
      </c>
      <c r="E151" s="1295">
        <v>44293</v>
      </c>
      <c r="F151" s="1294" t="s">
        <v>2418</v>
      </c>
      <c r="G151" s="1294" t="s">
        <v>2419</v>
      </c>
      <c r="H151" s="1294" t="s">
        <v>262</v>
      </c>
      <c r="I151" s="1294" t="s">
        <v>1208</v>
      </c>
      <c r="J151" s="1294" t="s">
        <v>2446</v>
      </c>
      <c r="K151" s="1294" t="s">
        <v>2422</v>
      </c>
      <c r="L151" s="1294" t="s">
        <v>2447</v>
      </c>
      <c r="M151" s="1294" t="s">
        <v>716</v>
      </c>
      <c r="N151" s="1296" t="s">
        <v>113</v>
      </c>
    </row>
    <row r="152" spans="1:14" hidden="1" x14ac:dyDescent="0.3">
      <c r="A152" s="1293">
        <v>3191</v>
      </c>
      <c r="B152" s="1294" t="s">
        <v>2613</v>
      </c>
      <c r="C152" s="1294" t="s">
        <v>2474</v>
      </c>
      <c r="D152" s="1295">
        <v>45065</v>
      </c>
      <c r="E152" s="1295">
        <v>45065</v>
      </c>
      <c r="F152" s="1294" t="s">
        <v>2418</v>
      </c>
      <c r="G152" s="1294" t="s">
        <v>2419</v>
      </c>
      <c r="H152" s="1294" t="s">
        <v>262</v>
      </c>
      <c r="I152" s="1294" t="s">
        <v>1208</v>
      </c>
      <c r="J152" s="1294" t="s">
        <v>2431</v>
      </c>
      <c r="K152" s="1294" t="s">
        <v>2422</v>
      </c>
      <c r="L152" s="1294" t="s">
        <v>2432</v>
      </c>
      <c r="M152" s="1294" t="s">
        <v>716</v>
      </c>
      <c r="N152" s="1296" t="s">
        <v>113</v>
      </c>
    </row>
    <row r="153" spans="1:14" hidden="1" x14ac:dyDescent="0.3">
      <c r="A153" s="1293">
        <v>3012</v>
      </c>
      <c r="B153" s="1294" t="s">
        <v>2614</v>
      </c>
      <c r="C153" s="1294" t="s">
        <v>1681</v>
      </c>
      <c r="D153" s="1295">
        <v>44830</v>
      </c>
      <c r="E153" s="1295">
        <v>44830</v>
      </c>
      <c r="F153" s="1294" t="s">
        <v>2418</v>
      </c>
      <c r="G153" s="1294" t="s">
        <v>2476</v>
      </c>
      <c r="H153" s="1294" t="s">
        <v>262</v>
      </c>
      <c r="I153" s="1294" t="s">
        <v>1211</v>
      </c>
      <c r="J153" s="1294" t="s">
        <v>2427</v>
      </c>
      <c r="K153" s="1294" t="s">
        <v>2422</v>
      </c>
      <c r="L153" s="1294" t="s">
        <v>1350</v>
      </c>
      <c r="M153" s="1294" t="s">
        <v>711</v>
      </c>
      <c r="N153" s="1296" t="s">
        <v>114</v>
      </c>
    </row>
    <row r="154" spans="1:14" hidden="1" x14ac:dyDescent="0.3">
      <c r="A154" s="1293">
        <v>2753</v>
      </c>
      <c r="B154" s="1294" t="s">
        <v>2615</v>
      </c>
      <c r="C154" s="1294" t="s">
        <v>1681</v>
      </c>
      <c r="D154" s="1295">
        <v>44564</v>
      </c>
      <c r="E154" s="1295">
        <v>44564</v>
      </c>
      <c r="F154" s="1294" t="s">
        <v>2418</v>
      </c>
      <c r="G154" s="1294" t="s">
        <v>2419</v>
      </c>
      <c r="H154" s="1294" t="s">
        <v>262</v>
      </c>
      <c r="I154" s="1294" t="s">
        <v>1211</v>
      </c>
      <c r="J154" s="1294" t="s">
        <v>2421</v>
      </c>
      <c r="K154" s="1294" t="s">
        <v>2422</v>
      </c>
      <c r="L154" s="1294" t="s">
        <v>1353</v>
      </c>
      <c r="M154" s="1294" t="s">
        <v>711</v>
      </c>
      <c r="N154" s="1296" t="s">
        <v>114</v>
      </c>
    </row>
    <row r="155" spans="1:14" hidden="1" x14ac:dyDescent="0.3">
      <c r="A155" s="1293">
        <v>3160</v>
      </c>
      <c r="B155" s="1294" t="s">
        <v>2616</v>
      </c>
      <c r="C155" s="1294" t="s">
        <v>2474</v>
      </c>
      <c r="D155" s="1295">
        <v>45019</v>
      </c>
      <c r="E155" s="1295">
        <v>45019</v>
      </c>
      <c r="F155" s="1294" t="s">
        <v>2418</v>
      </c>
      <c r="G155" s="1294" t="s">
        <v>2419</v>
      </c>
      <c r="H155" s="1294" t="s">
        <v>262</v>
      </c>
      <c r="I155" s="1294" t="s">
        <v>1208</v>
      </c>
      <c r="J155" s="1294" t="s">
        <v>2431</v>
      </c>
      <c r="K155" s="1294" t="s">
        <v>2422</v>
      </c>
      <c r="L155" s="1294" t="s">
        <v>2432</v>
      </c>
      <c r="M155" s="1294" t="s">
        <v>716</v>
      </c>
      <c r="N155" s="1296" t="s">
        <v>113</v>
      </c>
    </row>
    <row r="156" spans="1:14" hidden="1" x14ac:dyDescent="0.3">
      <c r="A156" s="1293">
        <v>1522</v>
      </c>
      <c r="B156" s="1294" t="s">
        <v>2617</v>
      </c>
      <c r="C156" s="1294" t="s">
        <v>1680</v>
      </c>
      <c r="D156" s="1295">
        <v>42598</v>
      </c>
      <c r="E156" s="1295">
        <v>42598</v>
      </c>
      <c r="F156" s="1294" t="s">
        <v>2418</v>
      </c>
      <c r="G156" s="1294" t="s">
        <v>2419</v>
      </c>
      <c r="H156" s="1294" t="s">
        <v>262</v>
      </c>
      <c r="I156" s="1294" t="s">
        <v>1209</v>
      </c>
      <c r="J156" s="1294" t="s">
        <v>2431</v>
      </c>
      <c r="K156" s="1294" t="s">
        <v>2422</v>
      </c>
      <c r="L156" s="1294" t="s">
        <v>2432</v>
      </c>
      <c r="M156" s="1294" t="s">
        <v>711</v>
      </c>
      <c r="N156" s="1296" t="s">
        <v>113</v>
      </c>
    </row>
    <row r="157" spans="1:14" hidden="1" x14ac:dyDescent="0.3">
      <c r="A157" s="1293">
        <v>2141</v>
      </c>
      <c r="B157" s="1294" t="s">
        <v>2618</v>
      </c>
      <c r="C157" s="1294" t="s">
        <v>2474</v>
      </c>
      <c r="D157" s="1295">
        <v>43829</v>
      </c>
      <c r="E157" s="1295">
        <v>43829</v>
      </c>
      <c r="F157" s="1294" t="s">
        <v>2418</v>
      </c>
      <c r="G157" s="1294" t="s">
        <v>2419</v>
      </c>
      <c r="H157" s="1294" t="s">
        <v>262</v>
      </c>
      <c r="I157" s="1294" t="s">
        <v>1208</v>
      </c>
      <c r="J157" s="1294" t="s">
        <v>2431</v>
      </c>
      <c r="K157" s="1294" t="s">
        <v>2422</v>
      </c>
      <c r="L157" s="1294" t="s">
        <v>2432</v>
      </c>
      <c r="M157" s="1294" t="s">
        <v>716</v>
      </c>
      <c r="N157" s="1296" t="s">
        <v>113</v>
      </c>
    </row>
    <row r="158" spans="1:14" hidden="1" x14ac:dyDescent="0.3">
      <c r="A158" s="1293">
        <v>2523</v>
      </c>
      <c r="B158" s="1294" t="s">
        <v>2619</v>
      </c>
      <c r="C158" s="1294" t="s">
        <v>1680</v>
      </c>
      <c r="D158" s="1295">
        <v>44410</v>
      </c>
      <c r="E158" s="1295">
        <v>44410</v>
      </c>
      <c r="F158" s="1294" t="s">
        <v>2418</v>
      </c>
      <c r="G158" s="1294" t="s">
        <v>2419</v>
      </c>
      <c r="H158" s="1294" t="s">
        <v>262</v>
      </c>
      <c r="I158" s="1294" t="s">
        <v>1211</v>
      </c>
      <c r="J158" s="1294" t="s">
        <v>2431</v>
      </c>
      <c r="K158" s="1294" t="s">
        <v>2422</v>
      </c>
      <c r="L158" s="1294" t="s">
        <v>2432</v>
      </c>
      <c r="M158" s="1294" t="s">
        <v>711</v>
      </c>
      <c r="N158" s="1296" t="s">
        <v>113</v>
      </c>
    </row>
    <row r="159" spans="1:14" hidden="1" x14ac:dyDescent="0.3">
      <c r="A159" s="1293">
        <v>2110</v>
      </c>
      <c r="B159" s="1294" t="s">
        <v>2620</v>
      </c>
      <c r="C159" s="1294" t="s">
        <v>1681</v>
      </c>
      <c r="D159" s="1295">
        <v>43770</v>
      </c>
      <c r="E159" s="1295">
        <v>43770</v>
      </c>
      <c r="F159" s="1294" t="s">
        <v>2418</v>
      </c>
      <c r="G159" s="1294" t="s">
        <v>2419</v>
      </c>
      <c r="H159" s="1294" t="s">
        <v>262</v>
      </c>
      <c r="I159" s="1294" t="s">
        <v>1211</v>
      </c>
      <c r="J159" s="1294" t="s">
        <v>2427</v>
      </c>
      <c r="K159" s="1294" t="s">
        <v>2422</v>
      </c>
      <c r="L159" s="1294" t="s">
        <v>1350</v>
      </c>
      <c r="M159" s="1294" t="s">
        <v>711</v>
      </c>
      <c r="N159" s="1296" t="s">
        <v>114</v>
      </c>
    </row>
    <row r="160" spans="1:14" hidden="1" x14ac:dyDescent="0.3">
      <c r="A160" s="1293">
        <v>2745</v>
      </c>
      <c r="B160" s="1294" t="s">
        <v>2621</v>
      </c>
      <c r="C160" s="1294" t="s">
        <v>1681</v>
      </c>
      <c r="D160" s="1295">
        <v>44554</v>
      </c>
      <c r="E160" s="1295">
        <v>44554</v>
      </c>
      <c r="F160" s="1294" t="s">
        <v>2418</v>
      </c>
      <c r="G160" s="1294" t="s">
        <v>2419</v>
      </c>
      <c r="H160" s="1294" t="s">
        <v>262</v>
      </c>
      <c r="I160" s="1294" t="s">
        <v>1211</v>
      </c>
      <c r="J160" s="1294" t="s">
        <v>2421</v>
      </c>
      <c r="K160" s="1294" t="s">
        <v>2422</v>
      </c>
      <c r="L160" s="1294" t="s">
        <v>1353</v>
      </c>
      <c r="M160" s="1294" t="s">
        <v>711</v>
      </c>
      <c r="N160" s="1296" t="s">
        <v>114</v>
      </c>
    </row>
    <row r="161" spans="1:14" hidden="1" x14ac:dyDescent="0.3">
      <c r="A161" s="1293">
        <v>2758</v>
      </c>
      <c r="B161" s="1294" t="s">
        <v>2622</v>
      </c>
      <c r="C161" s="1294" t="s">
        <v>1680</v>
      </c>
      <c r="D161" s="1295">
        <v>44571</v>
      </c>
      <c r="E161" s="1295">
        <v>44571</v>
      </c>
      <c r="F161" s="1294" t="s">
        <v>2418</v>
      </c>
      <c r="G161" s="1294" t="s">
        <v>2508</v>
      </c>
      <c r="H161" s="1294" t="s">
        <v>262</v>
      </c>
      <c r="I161" s="1294" t="s">
        <v>1211</v>
      </c>
      <c r="J161" s="1294" t="s">
        <v>2446</v>
      </c>
      <c r="K161" s="1294" t="s">
        <v>2422</v>
      </c>
      <c r="L161" s="1294" t="s">
        <v>2447</v>
      </c>
      <c r="M161" s="1294" t="s">
        <v>711</v>
      </c>
      <c r="N161" s="1296" t="s">
        <v>113</v>
      </c>
    </row>
    <row r="162" spans="1:14" hidden="1" x14ac:dyDescent="0.3">
      <c r="A162" s="1293">
        <v>8305</v>
      </c>
      <c r="B162" s="1294" t="s">
        <v>2623</v>
      </c>
      <c r="C162" s="1294" t="s">
        <v>721</v>
      </c>
      <c r="D162" s="1295">
        <v>43731</v>
      </c>
      <c r="E162" s="1295">
        <v>43731</v>
      </c>
      <c r="F162" s="1294" t="s">
        <v>2418</v>
      </c>
      <c r="G162" s="1294" t="s">
        <v>2624</v>
      </c>
      <c r="H162" s="1294" t="s">
        <v>262</v>
      </c>
      <c r="I162" s="1294" t="s">
        <v>1205</v>
      </c>
      <c r="J162" s="1294" t="s">
        <v>1333</v>
      </c>
      <c r="K162" s="1294" t="s">
        <v>2459</v>
      </c>
      <c r="L162" s="1294" t="s">
        <v>1376</v>
      </c>
      <c r="M162" s="1294" t="s">
        <v>765</v>
      </c>
      <c r="N162" s="1296" t="s">
        <v>116</v>
      </c>
    </row>
    <row r="163" spans="1:14" hidden="1" x14ac:dyDescent="0.3">
      <c r="A163" s="1293">
        <v>8309</v>
      </c>
      <c r="B163" s="1294" t="s">
        <v>2625</v>
      </c>
      <c r="C163" s="1294" t="s">
        <v>721</v>
      </c>
      <c r="D163" s="1295">
        <v>43742</v>
      </c>
      <c r="E163" s="1295">
        <v>43742</v>
      </c>
      <c r="F163" s="1294" t="s">
        <v>2418</v>
      </c>
      <c r="G163" s="1294" t="s">
        <v>2626</v>
      </c>
      <c r="H163" s="1294" t="s">
        <v>262</v>
      </c>
      <c r="I163" s="1294" t="s">
        <v>1211</v>
      </c>
      <c r="J163" s="1294" t="s">
        <v>2627</v>
      </c>
      <c r="K163" s="1294" t="s">
        <v>330</v>
      </c>
      <c r="L163" s="1294" t="s">
        <v>1372</v>
      </c>
      <c r="M163" s="1294" t="s">
        <v>765</v>
      </c>
      <c r="N163" s="1296" t="s">
        <v>116</v>
      </c>
    </row>
    <row r="164" spans="1:14" hidden="1" x14ac:dyDescent="0.3">
      <c r="A164" s="1293">
        <v>2416</v>
      </c>
      <c r="B164" s="1294" t="s">
        <v>2628</v>
      </c>
      <c r="C164" s="1294" t="s">
        <v>1681</v>
      </c>
      <c r="D164" s="1295">
        <v>44307</v>
      </c>
      <c r="E164" s="1295">
        <v>44307</v>
      </c>
      <c r="F164" s="1294" t="s">
        <v>2418</v>
      </c>
      <c r="G164" s="1294" t="s">
        <v>2419</v>
      </c>
      <c r="H164" s="1294" t="s">
        <v>262</v>
      </c>
      <c r="I164" s="1294" t="s">
        <v>2543</v>
      </c>
      <c r="J164" s="1294" t="s">
        <v>2427</v>
      </c>
      <c r="K164" s="1294" t="s">
        <v>2422</v>
      </c>
      <c r="L164" s="1294" t="s">
        <v>1350</v>
      </c>
      <c r="M164" s="1294" t="s">
        <v>711</v>
      </c>
      <c r="N164" s="1296" t="s">
        <v>114</v>
      </c>
    </row>
    <row r="165" spans="1:14" hidden="1" x14ac:dyDescent="0.3">
      <c r="A165" s="1293">
        <v>3381</v>
      </c>
      <c r="B165" s="1294" t="s">
        <v>2629</v>
      </c>
      <c r="C165" s="1294" t="s">
        <v>1680</v>
      </c>
      <c r="D165" s="1295">
        <v>45547</v>
      </c>
      <c r="E165" s="1295">
        <v>45547</v>
      </c>
      <c r="F165" s="1294" t="s">
        <v>2418</v>
      </c>
      <c r="G165" s="1294" t="s">
        <v>2434</v>
      </c>
      <c r="H165" s="1294" t="s">
        <v>262</v>
      </c>
      <c r="I165" s="1294" t="s">
        <v>1209</v>
      </c>
      <c r="J165" s="1294" t="s">
        <v>2446</v>
      </c>
      <c r="K165" s="1294" t="s">
        <v>2422</v>
      </c>
      <c r="L165" s="1294" t="s">
        <v>2447</v>
      </c>
      <c r="M165" s="1294" t="s">
        <v>711</v>
      </c>
      <c r="N165" s="1296" t="s">
        <v>113</v>
      </c>
    </row>
    <row r="166" spans="1:14" hidden="1" x14ac:dyDescent="0.3">
      <c r="A166" s="1293">
        <v>2768</v>
      </c>
      <c r="B166" s="1294" t="s">
        <v>2630</v>
      </c>
      <c r="C166" s="1294" t="s">
        <v>2549</v>
      </c>
      <c r="D166" s="1295">
        <v>44578</v>
      </c>
      <c r="E166" s="1295">
        <v>44578</v>
      </c>
      <c r="F166" s="1294" t="s">
        <v>2418</v>
      </c>
      <c r="G166" s="1294" t="s">
        <v>2434</v>
      </c>
      <c r="H166" s="1294" t="s">
        <v>262</v>
      </c>
      <c r="I166" s="1294" t="s">
        <v>1208</v>
      </c>
      <c r="J166" s="1294" t="s">
        <v>2449</v>
      </c>
      <c r="K166" s="1294" t="s">
        <v>2422</v>
      </c>
      <c r="L166" s="1294" t="s">
        <v>2450</v>
      </c>
      <c r="M166" s="1294" t="s">
        <v>716</v>
      </c>
      <c r="N166" s="1296" t="s">
        <v>2452</v>
      </c>
    </row>
    <row r="167" spans="1:14" hidden="1" x14ac:dyDescent="0.3">
      <c r="A167" s="1293">
        <v>2308</v>
      </c>
      <c r="B167" s="1294" t="s">
        <v>2631</v>
      </c>
      <c r="C167" s="1294" t="s">
        <v>1680</v>
      </c>
      <c r="D167" s="1295">
        <v>44235</v>
      </c>
      <c r="E167" s="1295">
        <v>44235</v>
      </c>
      <c r="F167" s="1294" t="s">
        <v>2418</v>
      </c>
      <c r="G167" s="1294" t="s">
        <v>2434</v>
      </c>
      <c r="H167" s="1294" t="s">
        <v>262</v>
      </c>
      <c r="I167" s="1294" t="s">
        <v>1209</v>
      </c>
      <c r="J167" s="1294" t="s">
        <v>2431</v>
      </c>
      <c r="K167" s="1294" t="s">
        <v>2422</v>
      </c>
      <c r="L167" s="1294" t="s">
        <v>2432</v>
      </c>
      <c r="M167" s="1294" t="s">
        <v>711</v>
      </c>
      <c r="N167" s="1296" t="s">
        <v>113</v>
      </c>
    </row>
    <row r="168" spans="1:14" hidden="1" x14ac:dyDescent="0.3">
      <c r="A168" s="1293">
        <v>2562</v>
      </c>
      <c r="B168" s="1294" t="s">
        <v>2632</v>
      </c>
      <c r="C168" s="1294" t="s">
        <v>1680</v>
      </c>
      <c r="D168" s="1295">
        <v>44431</v>
      </c>
      <c r="E168" s="1295">
        <v>44431</v>
      </c>
      <c r="F168" s="1294" t="s">
        <v>2418</v>
      </c>
      <c r="G168" s="1294" t="s">
        <v>2419</v>
      </c>
      <c r="H168" s="1294" t="s">
        <v>262</v>
      </c>
      <c r="I168" s="1294" t="s">
        <v>1207</v>
      </c>
      <c r="J168" s="1294" t="s">
        <v>2446</v>
      </c>
      <c r="K168" s="1294" t="s">
        <v>2422</v>
      </c>
      <c r="L168" s="1294" t="s">
        <v>2447</v>
      </c>
      <c r="M168" s="1294" t="s">
        <v>711</v>
      </c>
      <c r="N168" s="1296" t="s">
        <v>113</v>
      </c>
    </row>
    <row r="169" spans="1:14" hidden="1" x14ac:dyDescent="0.3">
      <c r="A169" s="1293">
        <v>2015</v>
      </c>
      <c r="B169" s="1294" t="s">
        <v>2633</v>
      </c>
      <c r="C169" s="1294" t="s">
        <v>1681</v>
      </c>
      <c r="D169" s="1295">
        <v>43584</v>
      </c>
      <c r="E169" s="1295">
        <v>43584</v>
      </c>
      <c r="F169" s="1294" t="s">
        <v>2418</v>
      </c>
      <c r="G169" s="1294" t="s">
        <v>2434</v>
      </c>
      <c r="H169" s="1294" t="s">
        <v>262</v>
      </c>
      <c r="I169" s="1294" t="s">
        <v>1209</v>
      </c>
      <c r="J169" s="1294" t="s">
        <v>2421</v>
      </c>
      <c r="K169" s="1294" t="s">
        <v>2422</v>
      </c>
      <c r="L169" s="1294" t="s">
        <v>1353</v>
      </c>
      <c r="M169" s="1294" t="s">
        <v>711</v>
      </c>
      <c r="N169" s="1296" t="s">
        <v>114</v>
      </c>
    </row>
    <row r="170" spans="1:14" hidden="1" x14ac:dyDescent="0.3">
      <c r="A170" s="1293">
        <v>3107</v>
      </c>
      <c r="B170" s="1294" t="s">
        <v>2634</v>
      </c>
      <c r="C170" s="1294" t="s">
        <v>2451</v>
      </c>
      <c r="D170" s="1295">
        <v>44984</v>
      </c>
      <c r="E170" s="1295">
        <v>44984</v>
      </c>
      <c r="F170" s="1294" t="s">
        <v>2418</v>
      </c>
      <c r="G170" s="1294" t="s">
        <v>2419</v>
      </c>
      <c r="H170" s="1294" t="s">
        <v>262</v>
      </c>
      <c r="I170" s="1294" t="s">
        <v>1209</v>
      </c>
      <c r="J170" s="1294" t="s">
        <v>2449</v>
      </c>
      <c r="K170" s="1294" t="s">
        <v>2422</v>
      </c>
      <c r="L170" s="1294" t="s">
        <v>2450</v>
      </c>
      <c r="M170" s="1294" t="s">
        <v>711</v>
      </c>
      <c r="N170" s="1296" t="s">
        <v>2452</v>
      </c>
    </row>
    <row r="171" spans="1:14" hidden="1" x14ac:dyDescent="0.3">
      <c r="A171" s="1293">
        <v>2860</v>
      </c>
      <c r="B171" s="1294" t="s">
        <v>2635</v>
      </c>
      <c r="C171" s="1294" t="s">
        <v>1680</v>
      </c>
      <c r="D171" s="1295">
        <v>44652</v>
      </c>
      <c r="E171" s="1295">
        <v>44652</v>
      </c>
      <c r="F171" s="1294" t="s">
        <v>2418</v>
      </c>
      <c r="G171" s="1294" t="s">
        <v>2434</v>
      </c>
      <c r="H171" s="1294" t="s">
        <v>262</v>
      </c>
      <c r="I171" s="1294" t="s">
        <v>1211</v>
      </c>
      <c r="J171" s="1294" t="s">
        <v>2431</v>
      </c>
      <c r="K171" s="1294" t="s">
        <v>2422</v>
      </c>
      <c r="L171" s="1294" t="s">
        <v>2432</v>
      </c>
      <c r="M171" s="1294" t="s">
        <v>711</v>
      </c>
      <c r="N171" s="1296" t="s">
        <v>113</v>
      </c>
    </row>
    <row r="172" spans="1:14" hidden="1" x14ac:dyDescent="0.3">
      <c r="A172" s="1293">
        <v>2164</v>
      </c>
      <c r="B172" s="1294" t="s">
        <v>2636</v>
      </c>
      <c r="C172" s="1294" t="s">
        <v>1681</v>
      </c>
      <c r="D172" s="1295">
        <v>43969</v>
      </c>
      <c r="E172" s="1295">
        <v>43969</v>
      </c>
      <c r="F172" s="1294" t="s">
        <v>2418</v>
      </c>
      <c r="G172" s="1294" t="s">
        <v>2419</v>
      </c>
      <c r="H172" s="1294" t="s">
        <v>262</v>
      </c>
      <c r="I172" s="1294" t="s">
        <v>1211</v>
      </c>
      <c r="J172" s="1294" t="s">
        <v>2427</v>
      </c>
      <c r="K172" s="1294" t="s">
        <v>2422</v>
      </c>
      <c r="L172" s="1294" t="s">
        <v>1350</v>
      </c>
      <c r="M172" s="1294" t="s">
        <v>711</v>
      </c>
      <c r="N172" s="1296" t="s">
        <v>114</v>
      </c>
    </row>
    <row r="173" spans="1:14" hidden="1" x14ac:dyDescent="0.3">
      <c r="A173" s="1293">
        <v>2351</v>
      </c>
      <c r="B173" s="1294" t="s">
        <v>2637</v>
      </c>
      <c r="C173" s="1294" t="s">
        <v>2474</v>
      </c>
      <c r="D173" s="1295">
        <v>44265</v>
      </c>
      <c r="E173" s="1295">
        <v>44265</v>
      </c>
      <c r="F173" s="1294" t="s">
        <v>2418</v>
      </c>
      <c r="G173" s="1294" t="s">
        <v>2419</v>
      </c>
      <c r="H173" s="1294" t="s">
        <v>262</v>
      </c>
      <c r="I173" s="1294" t="s">
        <v>1208</v>
      </c>
      <c r="J173" s="1294" t="s">
        <v>2431</v>
      </c>
      <c r="K173" s="1294" t="s">
        <v>2422</v>
      </c>
      <c r="L173" s="1294" t="s">
        <v>2432</v>
      </c>
      <c r="M173" s="1294" t="s">
        <v>716</v>
      </c>
      <c r="N173" s="1296" t="s">
        <v>113</v>
      </c>
    </row>
    <row r="174" spans="1:14" hidden="1" x14ac:dyDescent="0.3">
      <c r="A174" s="1293">
        <v>2804</v>
      </c>
      <c r="B174" s="1294" t="s">
        <v>2638</v>
      </c>
      <c r="C174" s="1294" t="s">
        <v>1680</v>
      </c>
      <c r="D174" s="1295">
        <v>44606</v>
      </c>
      <c r="E174" s="1295">
        <v>44606</v>
      </c>
      <c r="F174" s="1294" t="s">
        <v>2418</v>
      </c>
      <c r="G174" s="1294" t="s">
        <v>2419</v>
      </c>
      <c r="H174" s="1294" t="s">
        <v>262</v>
      </c>
      <c r="I174" s="1294" t="s">
        <v>1211</v>
      </c>
      <c r="J174" s="1294" t="s">
        <v>2446</v>
      </c>
      <c r="K174" s="1294" t="s">
        <v>2422</v>
      </c>
      <c r="L174" s="1294" t="s">
        <v>2447</v>
      </c>
      <c r="M174" s="1294" t="s">
        <v>711</v>
      </c>
      <c r="N174" s="1296" t="s">
        <v>113</v>
      </c>
    </row>
    <row r="175" spans="1:14" hidden="1" x14ac:dyDescent="0.3">
      <c r="A175" s="1293">
        <v>3010</v>
      </c>
      <c r="B175" s="1294" t="s">
        <v>2639</v>
      </c>
      <c r="C175" s="1294" t="s">
        <v>1681</v>
      </c>
      <c r="D175" s="1295">
        <v>44820</v>
      </c>
      <c r="E175" s="1295">
        <v>44820</v>
      </c>
      <c r="F175" s="1294" t="s">
        <v>2418</v>
      </c>
      <c r="G175" s="1294" t="s">
        <v>2508</v>
      </c>
      <c r="H175" s="1294" t="s">
        <v>262</v>
      </c>
      <c r="I175" s="1294" t="s">
        <v>1211</v>
      </c>
      <c r="J175" s="1294" t="s">
        <v>2421</v>
      </c>
      <c r="K175" s="1294" t="s">
        <v>2422</v>
      </c>
      <c r="L175" s="1294" t="s">
        <v>1353</v>
      </c>
      <c r="M175" s="1294" t="s">
        <v>711</v>
      </c>
      <c r="N175" s="1296" t="s">
        <v>114</v>
      </c>
    </row>
    <row r="176" spans="1:14" hidden="1" x14ac:dyDescent="0.3">
      <c r="A176" s="1293">
        <v>2065</v>
      </c>
      <c r="B176" s="1294" t="s">
        <v>2640</v>
      </c>
      <c r="C176" s="1294" t="s">
        <v>1681</v>
      </c>
      <c r="D176" s="1295">
        <v>43654</v>
      </c>
      <c r="E176" s="1295">
        <v>43654</v>
      </c>
      <c r="F176" s="1294" t="s">
        <v>2418</v>
      </c>
      <c r="G176" s="1294" t="s">
        <v>2419</v>
      </c>
      <c r="H176" s="1294" t="s">
        <v>262</v>
      </c>
      <c r="I176" s="1294" t="s">
        <v>2543</v>
      </c>
      <c r="J176" s="1294" t="s">
        <v>2427</v>
      </c>
      <c r="K176" s="1294" t="s">
        <v>2422</v>
      </c>
      <c r="L176" s="1294" t="s">
        <v>1350</v>
      </c>
      <c r="M176" s="1294" t="s">
        <v>711</v>
      </c>
      <c r="N176" s="1296" t="s">
        <v>114</v>
      </c>
    </row>
    <row r="177" spans="1:14" hidden="1" x14ac:dyDescent="0.3">
      <c r="A177" s="1293">
        <v>2561</v>
      </c>
      <c r="B177" s="1294" t="s">
        <v>2641</v>
      </c>
      <c r="C177" s="1294" t="s">
        <v>1680</v>
      </c>
      <c r="D177" s="1295">
        <v>44431</v>
      </c>
      <c r="E177" s="1295">
        <v>44431</v>
      </c>
      <c r="F177" s="1294" t="s">
        <v>2418</v>
      </c>
      <c r="G177" s="1294" t="s">
        <v>2419</v>
      </c>
      <c r="H177" s="1294" t="s">
        <v>262</v>
      </c>
      <c r="I177" s="1294" t="s">
        <v>1209</v>
      </c>
      <c r="J177" s="1294" t="s">
        <v>2446</v>
      </c>
      <c r="K177" s="1294" t="s">
        <v>2422</v>
      </c>
      <c r="L177" s="1294" t="s">
        <v>2447</v>
      </c>
      <c r="M177" s="1294" t="s">
        <v>711</v>
      </c>
      <c r="N177" s="1296" t="s">
        <v>113</v>
      </c>
    </row>
    <row r="178" spans="1:14" hidden="1" x14ac:dyDescent="0.3">
      <c r="A178" s="1293">
        <v>1184</v>
      </c>
      <c r="B178" s="1294" t="s">
        <v>2642</v>
      </c>
      <c r="C178" s="1294" t="s">
        <v>534</v>
      </c>
      <c r="D178" s="1295">
        <v>44543</v>
      </c>
      <c r="E178" s="1295">
        <v>40911</v>
      </c>
      <c r="F178" s="1294" t="s">
        <v>2418</v>
      </c>
      <c r="G178" s="1294" t="s">
        <v>2538</v>
      </c>
      <c r="H178" s="1294" t="s">
        <v>262</v>
      </c>
      <c r="I178" s="1294" t="s">
        <v>1211</v>
      </c>
      <c r="J178" s="1294" t="s">
        <v>2431</v>
      </c>
      <c r="K178" s="1294" t="s">
        <v>330</v>
      </c>
      <c r="L178" s="1294" t="s">
        <v>2432</v>
      </c>
      <c r="M178" s="1294" t="s">
        <v>765</v>
      </c>
      <c r="N178" s="1296" t="s">
        <v>113</v>
      </c>
    </row>
    <row r="179" spans="1:14" hidden="1" x14ac:dyDescent="0.3">
      <c r="A179" s="1293">
        <v>3158</v>
      </c>
      <c r="B179" s="1294" t="s">
        <v>2643</v>
      </c>
      <c r="C179" s="1294" t="s">
        <v>2474</v>
      </c>
      <c r="D179" s="1295">
        <v>45008</v>
      </c>
      <c r="E179" s="1295">
        <v>45008</v>
      </c>
      <c r="F179" s="1294" t="s">
        <v>2418</v>
      </c>
      <c r="G179" s="1294" t="s">
        <v>2419</v>
      </c>
      <c r="H179" s="1294" t="s">
        <v>262</v>
      </c>
      <c r="I179" s="1294" t="s">
        <v>1208</v>
      </c>
      <c r="J179" s="1294" t="s">
        <v>2431</v>
      </c>
      <c r="K179" s="1294" t="s">
        <v>2422</v>
      </c>
      <c r="L179" s="1294" t="s">
        <v>2432</v>
      </c>
      <c r="M179" s="1294" t="s">
        <v>716</v>
      </c>
      <c r="N179" s="1296" t="s">
        <v>113</v>
      </c>
    </row>
    <row r="180" spans="1:14" hidden="1" x14ac:dyDescent="0.3">
      <c r="A180" s="1293">
        <v>2984</v>
      </c>
      <c r="B180" s="1294" t="s">
        <v>2644</v>
      </c>
      <c r="C180" s="1294" t="s">
        <v>2451</v>
      </c>
      <c r="D180" s="1295">
        <v>44791</v>
      </c>
      <c r="E180" s="1295">
        <v>44791</v>
      </c>
      <c r="F180" s="1294" t="s">
        <v>2418</v>
      </c>
      <c r="G180" s="1294" t="s">
        <v>2419</v>
      </c>
      <c r="H180" s="1294" t="s">
        <v>262</v>
      </c>
      <c r="I180" s="1294" t="s">
        <v>1207</v>
      </c>
      <c r="J180" s="1294" t="s">
        <v>2449</v>
      </c>
      <c r="K180" s="1294" t="s">
        <v>2422</v>
      </c>
      <c r="L180" s="1294" t="s">
        <v>2450</v>
      </c>
      <c r="M180" s="1294" t="s">
        <v>711</v>
      </c>
      <c r="N180" s="1296" t="s">
        <v>2452</v>
      </c>
    </row>
    <row r="181" spans="1:14" hidden="1" x14ac:dyDescent="0.3">
      <c r="A181" s="1293">
        <v>3076</v>
      </c>
      <c r="B181" s="1294" t="s">
        <v>2645</v>
      </c>
      <c r="C181" s="1294" t="s">
        <v>1680</v>
      </c>
      <c r="D181" s="1295">
        <v>44966</v>
      </c>
      <c r="E181" s="1295">
        <v>44966</v>
      </c>
      <c r="F181" s="1294" t="s">
        <v>2418</v>
      </c>
      <c r="G181" s="1294" t="s">
        <v>2434</v>
      </c>
      <c r="H181" s="1294" t="s">
        <v>262</v>
      </c>
      <c r="I181" s="1294" t="s">
        <v>1209</v>
      </c>
      <c r="J181" s="1294" t="s">
        <v>2431</v>
      </c>
      <c r="K181" s="1294" t="s">
        <v>2422</v>
      </c>
      <c r="L181" s="1294" t="s">
        <v>2432</v>
      </c>
      <c r="M181" s="1294" t="s">
        <v>711</v>
      </c>
      <c r="N181" s="1296" t="s">
        <v>113</v>
      </c>
    </row>
    <row r="182" spans="1:14" hidden="1" x14ac:dyDescent="0.3">
      <c r="A182" s="1293">
        <v>1680</v>
      </c>
      <c r="B182" s="1294" t="s">
        <v>2646</v>
      </c>
      <c r="C182" s="1294" t="s">
        <v>1680</v>
      </c>
      <c r="D182" s="1295">
        <v>43059</v>
      </c>
      <c r="E182" s="1295">
        <v>43059</v>
      </c>
      <c r="F182" s="1294" t="s">
        <v>2418</v>
      </c>
      <c r="G182" s="1294" t="s">
        <v>2419</v>
      </c>
      <c r="H182" s="1294" t="s">
        <v>262</v>
      </c>
      <c r="I182" s="1294" t="s">
        <v>1211</v>
      </c>
      <c r="J182" s="1294" t="s">
        <v>2431</v>
      </c>
      <c r="K182" s="1294" t="s">
        <v>2422</v>
      </c>
      <c r="L182" s="1294" t="s">
        <v>2432</v>
      </c>
      <c r="M182" s="1294" t="s">
        <v>711</v>
      </c>
      <c r="N182" s="1296" t="s">
        <v>113</v>
      </c>
    </row>
    <row r="183" spans="1:14" hidden="1" x14ac:dyDescent="0.3">
      <c r="A183" s="1293">
        <v>1644</v>
      </c>
      <c r="B183" s="1294" t="s">
        <v>2647</v>
      </c>
      <c r="C183" s="1294" t="s">
        <v>1681</v>
      </c>
      <c r="D183" s="1295">
        <v>42954</v>
      </c>
      <c r="E183" s="1295">
        <v>42954</v>
      </c>
      <c r="F183" s="1294" t="s">
        <v>2418</v>
      </c>
      <c r="G183" s="1294" t="s">
        <v>2419</v>
      </c>
      <c r="H183" s="1294" t="s">
        <v>262</v>
      </c>
      <c r="I183" s="1294" t="s">
        <v>1209</v>
      </c>
      <c r="J183" s="1294" t="s">
        <v>2421</v>
      </c>
      <c r="K183" s="1294" t="s">
        <v>2422</v>
      </c>
      <c r="L183" s="1294" t="s">
        <v>1353</v>
      </c>
      <c r="M183" s="1294" t="s">
        <v>711</v>
      </c>
      <c r="N183" s="1296" t="s">
        <v>114</v>
      </c>
    </row>
    <row r="184" spans="1:14" hidden="1" x14ac:dyDescent="0.3">
      <c r="A184" s="1293">
        <v>1307</v>
      </c>
      <c r="B184" s="1294" t="s">
        <v>2648</v>
      </c>
      <c r="C184" s="1294" t="s">
        <v>1681</v>
      </c>
      <c r="D184" s="1295">
        <v>41537</v>
      </c>
      <c r="E184" s="1295">
        <v>41537</v>
      </c>
      <c r="F184" s="1294" t="s">
        <v>2418</v>
      </c>
      <c r="G184" s="1294" t="s">
        <v>2419</v>
      </c>
      <c r="H184" s="1294" t="s">
        <v>262</v>
      </c>
      <c r="I184" s="1294" t="s">
        <v>1209</v>
      </c>
      <c r="J184" s="1294" t="s">
        <v>2421</v>
      </c>
      <c r="K184" s="1294" t="s">
        <v>2422</v>
      </c>
      <c r="L184" s="1294" t="s">
        <v>1353</v>
      </c>
      <c r="M184" s="1294" t="s">
        <v>711</v>
      </c>
      <c r="N184" s="1296" t="s">
        <v>114</v>
      </c>
    </row>
    <row r="185" spans="1:14" hidden="1" x14ac:dyDescent="0.3">
      <c r="A185" s="1293">
        <v>2841</v>
      </c>
      <c r="B185" s="1294" t="s">
        <v>2649</v>
      </c>
      <c r="C185" s="1294" t="s">
        <v>1680</v>
      </c>
      <c r="D185" s="1295">
        <v>44636</v>
      </c>
      <c r="E185" s="1295">
        <v>44636</v>
      </c>
      <c r="F185" s="1294" t="s">
        <v>2418</v>
      </c>
      <c r="G185" s="1294" t="s">
        <v>2434</v>
      </c>
      <c r="H185" s="1294" t="s">
        <v>262</v>
      </c>
      <c r="I185" s="1294" t="s">
        <v>1211</v>
      </c>
      <c r="J185" s="1294" t="s">
        <v>2431</v>
      </c>
      <c r="K185" s="1294" t="s">
        <v>2422</v>
      </c>
      <c r="L185" s="1294" t="s">
        <v>2432</v>
      </c>
      <c r="M185" s="1294" t="s">
        <v>711</v>
      </c>
      <c r="N185" s="1296" t="s">
        <v>113</v>
      </c>
    </row>
    <row r="186" spans="1:14" hidden="1" x14ac:dyDescent="0.3">
      <c r="A186" s="1293">
        <v>8444</v>
      </c>
      <c r="B186" s="1294" t="s">
        <v>2650</v>
      </c>
      <c r="C186" s="1294" t="s">
        <v>721</v>
      </c>
      <c r="D186" s="1295">
        <v>44727</v>
      </c>
      <c r="E186" s="1295">
        <v>44727</v>
      </c>
      <c r="F186" s="1294" t="s">
        <v>2418</v>
      </c>
      <c r="G186" s="1294" t="s">
        <v>2538</v>
      </c>
      <c r="H186" s="1294" t="s">
        <v>262</v>
      </c>
      <c r="I186" s="1294" t="s">
        <v>1211</v>
      </c>
      <c r="J186" s="1294" t="s">
        <v>2601</v>
      </c>
      <c r="K186" s="1294" t="s">
        <v>330</v>
      </c>
      <c r="L186" s="1294" t="s">
        <v>1376</v>
      </c>
      <c r="M186" s="1294" t="s">
        <v>765</v>
      </c>
      <c r="N186" s="1296" t="s">
        <v>116</v>
      </c>
    </row>
    <row r="187" spans="1:14" hidden="1" x14ac:dyDescent="0.3">
      <c r="A187" s="1293">
        <v>2840</v>
      </c>
      <c r="B187" s="1294" t="s">
        <v>2651</v>
      </c>
      <c r="C187" s="1294" t="s">
        <v>2474</v>
      </c>
      <c r="D187" s="1295">
        <v>44636</v>
      </c>
      <c r="E187" s="1295">
        <v>44636</v>
      </c>
      <c r="F187" s="1294" t="s">
        <v>2418</v>
      </c>
      <c r="G187" s="1294" t="s">
        <v>2434</v>
      </c>
      <c r="H187" s="1294" t="s">
        <v>262</v>
      </c>
      <c r="I187" s="1294" t="s">
        <v>1208</v>
      </c>
      <c r="J187" s="1294" t="s">
        <v>2431</v>
      </c>
      <c r="K187" s="1294" t="s">
        <v>2422</v>
      </c>
      <c r="L187" s="1294" t="s">
        <v>2432</v>
      </c>
      <c r="M187" s="1294" t="s">
        <v>716</v>
      </c>
      <c r="N187" s="1296" t="s">
        <v>113</v>
      </c>
    </row>
    <row r="188" spans="1:14" hidden="1" x14ac:dyDescent="0.3">
      <c r="A188" s="1293">
        <v>2766</v>
      </c>
      <c r="B188" s="1294" t="s">
        <v>2652</v>
      </c>
      <c r="C188" s="1294" t="s">
        <v>2549</v>
      </c>
      <c r="D188" s="1295">
        <v>44578</v>
      </c>
      <c r="E188" s="1295">
        <v>44578</v>
      </c>
      <c r="F188" s="1294" t="s">
        <v>2418</v>
      </c>
      <c r="G188" s="1294" t="s">
        <v>2419</v>
      </c>
      <c r="H188" s="1294" t="s">
        <v>262</v>
      </c>
      <c r="I188" s="1294" t="s">
        <v>1208</v>
      </c>
      <c r="J188" s="1294" t="s">
        <v>2449</v>
      </c>
      <c r="K188" s="1294" t="s">
        <v>2422</v>
      </c>
      <c r="L188" s="1294" t="s">
        <v>2450</v>
      </c>
      <c r="M188" s="1294" t="s">
        <v>716</v>
      </c>
      <c r="N188" s="1296" t="s">
        <v>2452</v>
      </c>
    </row>
    <row r="189" spans="1:14" hidden="1" x14ac:dyDescent="0.3">
      <c r="A189" s="1293">
        <v>3064</v>
      </c>
      <c r="B189" s="1294" t="s">
        <v>2653</v>
      </c>
      <c r="C189" s="1294" t="s">
        <v>1681</v>
      </c>
      <c r="D189" s="1295">
        <v>44944</v>
      </c>
      <c r="E189" s="1295">
        <v>44944</v>
      </c>
      <c r="F189" s="1294" t="s">
        <v>2418</v>
      </c>
      <c r="G189" s="1294" t="s">
        <v>2508</v>
      </c>
      <c r="H189" s="1294" t="s">
        <v>262</v>
      </c>
      <c r="I189" s="1294" t="s">
        <v>1211</v>
      </c>
      <c r="J189" s="1294" t="s">
        <v>2421</v>
      </c>
      <c r="K189" s="1294" t="s">
        <v>2422</v>
      </c>
      <c r="L189" s="1294" t="s">
        <v>1353</v>
      </c>
      <c r="M189" s="1294" t="s">
        <v>711</v>
      </c>
      <c r="N189" s="1296" t="s">
        <v>114</v>
      </c>
    </row>
    <row r="190" spans="1:14" hidden="1" x14ac:dyDescent="0.3">
      <c r="A190" s="1293">
        <v>3396</v>
      </c>
      <c r="B190" s="1294" t="s">
        <v>2654</v>
      </c>
      <c r="C190" s="1294" t="s">
        <v>1680</v>
      </c>
      <c r="D190" s="1295">
        <v>45590</v>
      </c>
      <c r="E190" s="1295">
        <v>45590</v>
      </c>
      <c r="F190" s="1294" t="s">
        <v>2418</v>
      </c>
      <c r="G190" s="1294" t="s">
        <v>2508</v>
      </c>
      <c r="H190" s="1294" t="s">
        <v>262</v>
      </c>
      <c r="I190" s="1294" t="s">
        <v>1213</v>
      </c>
      <c r="J190" s="1294" t="s">
        <v>2431</v>
      </c>
      <c r="K190" s="1294" t="s">
        <v>2422</v>
      </c>
      <c r="L190" s="1294" t="s">
        <v>2432</v>
      </c>
      <c r="M190" s="1294" t="s">
        <v>711</v>
      </c>
      <c r="N190" s="1296" t="s">
        <v>113</v>
      </c>
    </row>
    <row r="191" spans="1:14" hidden="1" x14ac:dyDescent="0.3">
      <c r="A191" s="1293">
        <v>1800</v>
      </c>
      <c r="B191" s="1294" t="s">
        <v>2655</v>
      </c>
      <c r="C191" s="1294" t="s">
        <v>721</v>
      </c>
      <c r="D191" s="1295">
        <v>43283</v>
      </c>
      <c r="E191" s="1295">
        <v>43283</v>
      </c>
      <c r="F191" s="1294" t="s">
        <v>2418</v>
      </c>
      <c r="G191" s="1294" t="s">
        <v>2419</v>
      </c>
      <c r="H191" s="1294" t="s">
        <v>262</v>
      </c>
      <c r="I191" s="1294" t="s">
        <v>2536</v>
      </c>
      <c r="J191" s="1294" t="s">
        <v>1333</v>
      </c>
      <c r="K191" s="1294" t="s">
        <v>2422</v>
      </c>
      <c r="L191" s="1294" t="s">
        <v>1376</v>
      </c>
      <c r="M191" s="1294" t="s">
        <v>711</v>
      </c>
      <c r="N191" s="1296" t="s">
        <v>116</v>
      </c>
    </row>
    <row r="192" spans="1:14" hidden="1" x14ac:dyDescent="0.3">
      <c r="A192" s="1293">
        <v>2720</v>
      </c>
      <c r="B192" s="1294" t="s">
        <v>2656</v>
      </c>
      <c r="C192" s="1294" t="s">
        <v>1681</v>
      </c>
      <c r="D192" s="1295">
        <v>44536</v>
      </c>
      <c r="E192" s="1295">
        <v>44536</v>
      </c>
      <c r="F192" s="1294" t="s">
        <v>2418</v>
      </c>
      <c r="G192" s="1294" t="s">
        <v>2508</v>
      </c>
      <c r="H192" s="1294" t="s">
        <v>262</v>
      </c>
      <c r="I192" s="1294" t="s">
        <v>1211</v>
      </c>
      <c r="J192" s="1294" t="s">
        <v>2421</v>
      </c>
      <c r="K192" s="1294" t="s">
        <v>2422</v>
      </c>
      <c r="L192" s="1294" t="s">
        <v>1353</v>
      </c>
      <c r="M192" s="1294" t="s">
        <v>711</v>
      </c>
      <c r="N192" s="1296" t="s">
        <v>114</v>
      </c>
    </row>
    <row r="193" spans="1:14" hidden="1" x14ac:dyDescent="0.3">
      <c r="A193" s="1293">
        <v>2669</v>
      </c>
      <c r="B193" s="1294" t="s">
        <v>2657</v>
      </c>
      <c r="C193" s="1294" t="s">
        <v>1680</v>
      </c>
      <c r="D193" s="1295">
        <v>44501</v>
      </c>
      <c r="E193" s="1295">
        <v>44501</v>
      </c>
      <c r="F193" s="1294" t="s">
        <v>2418</v>
      </c>
      <c r="G193" s="1294" t="s">
        <v>2419</v>
      </c>
      <c r="H193" s="1294" t="s">
        <v>262</v>
      </c>
      <c r="I193" s="1294" t="s">
        <v>1211</v>
      </c>
      <c r="J193" s="1294" t="s">
        <v>2431</v>
      </c>
      <c r="K193" s="1294" t="s">
        <v>2422</v>
      </c>
      <c r="L193" s="1294" t="s">
        <v>2432</v>
      </c>
      <c r="M193" s="1294" t="s">
        <v>711</v>
      </c>
      <c r="N193" s="1296" t="s">
        <v>113</v>
      </c>
    </row>
    <row r="194" spans="1:14" hidden="1" x14ac:dyDescent="0.3">
      <c r="A194" s="1293">
        <v>2719</v>
      </c>
      <c r="B194" s="1294" t="s">
        <v>2658</v>
      </c>
      <c r="C194" s="1294" t="s">
        <v>1680</v>
      </c>
      <c r="D194" s="1295">
        <v>44536</v>
      </c>
      <c r="E194" s="1295">
        <v>44536</v>
      </c>
      <c r="F194" s="1294" t="s">
        <v>2418</v>
      </c>
      <c r="G194" s="1294" t="s">
        <v>2419</v>
      </c>
      <c r="H194" s="1294" t="s">
        <v>262</v>
      </c>
      <c r="I194" s="1294" t="s">
        <v>1211</v>
      </c>
      <c r="J194" s="1294" t="s">
        <v>2446</v>
      </c>
      <c r="K194" s="1294" t="s">
        <v>2422</v>
      </c>
      <c r="L194" s="1294" t="s">
        <v>2447</v>
      </c>
      <c r="M194" s="1294" t="s">
        <v>711</v>
      </c>
      <c r="N194" s="1296" t="s">
        <v>113</v>
      </c>
    </row>
    <row r="195" spans="1:14" hidden="1" x14ac:dyDescent="0.3">
      <c r="A195" s="1293">
        <v>8127</v>
      </c>
      <c r="B195" s="1294" t="s">
        <v>2659</v>
      </c>
      <c r="C195" s="1294" t="s">
        <v>721</v>
      </c>
      <c r="D195" s="1295">
        <v>45457</v>
      </c>
      <c r="E195" s="1295">
        <v>42972</v>
      </c>
      <c r="F195" s="1294" t="s">
        <v>2418</v>
      </c>
      <c r="G195" s="1294" t="s">
        <v>2419</v>
      </c>
      <c r="H195" s="1294" t="s">
        <v>262</v>
      </c>
      <c r="I195" s="1294" t="s">
        <v>2536</v>
      </c>
      <c r="J195" s="1294" t="s">
        <v>2496</v>
      </c>
      <c r="K195" s="1294" t="s">
        <v>2422</v>
      </c>
      <c r="L195" s="1294" t="s">
        <v>1372</v>
      </c>
      <c r="M195" s="1294" t="s">
        <v>711</v>
      </c>
      <c r="N195" s="1296" t="s">
        <v>116</v>
      </c>
    </row>
    <row r="196" spans="1:14" hidden="1" x14ac:dyDescent="0.3">
      <c r="A196" s="1293">
        <v>2757</v>
      </c>
      <c r="B196" s="1294" t="s">
        <v>2660</v>
      </c>
      <c r="C196" s="1294" t="s">
        <v>1680</v>
      </c>
      <c r="D196" s="1295">
        <v>44571</v>
      </c>
      <c r="E196" s="1295">
        <v>44571</v>
      </c>
      <c r="F196" s="1294" t="s">
        <v>2418</v>
      </c>
      <c r="G196" s="1294" t="s">
        <v>2434</v>
      </c>
      <c r="H196" s="1294" t="s">
        <v>262</v>
      </c>
      <c r="I196" s="1294" t="s">
        <v>1211</v>
      </c>
      <c r="J196" s="1294" t="s">
        <v>2431</v>
      </c>
      <c r="K196" s="1294" t="s">
        <v>2422</v>
      </c>
      <c r="L196" s="1294" t="s">
        <v>2432</v>
      </c>
      <c r="M196" s="1294" t="s">
        <v>711</v>
      </c>
      <c r="N196" s="1296" t="s">
        <v>113</v>
      </c>
    </row>
    <row r="197" spans="1:14" hidden="1" x14ac:dyDescent="0.3">
      <c r="A197" s="1293">
        <v>2007</v>
      </c>
      <c r="B197" s="1294" t="s">
        <v>2661</v>
      </c>
      <c r="C197" s="1294" t="s">
        <v>1680</v>
      </c>
      <c r="D197" s="1295">
        <v>43577</v>
      </c>
      <c r="E197" s="1295">
        <v>43577</v>
      </c>
      <c r="F197" s="1294" t="s">
        <v>2418</v>
      </c>
      <c r="G197" s="1294" t="s">
        <v>2434</v>
      </c>
      <c r="H197" s="1294" t="s">
        <v>262</v>
      </c>
      <c r="I197" s="1294" t="s">
        <v>1209</v>
      </c>
      <c r="J197" s="1294" t="s">
        <v>2431</v>
      </c>
      <c r="K197" s="1294" t="s">
        <v>2422</v>
      </c>
      <c r="L197" s="1294" t="s">
        <v>2432</v>
      </c>
      <c r="M197" s="1294" t="s">
        <v>711</v>
      </c>
      <c r="N197" s="1296" t="s">
        <v>113</v>
      </c>
    </row>
    <row r="198" spans="1:14" hidden="1" x14ac:dyDescent="0.3">
      <c r="A198" s="1293">
        <v>2557</v>
      </c>
      <c r="B198" s="1294" t="s">
        <v>2662</v>
      </c>
      <c r="C198" s="1294" t="s">
        <v>1680</v>
      </c>
      <c r="D198" s="1295">
        <v>44431</v>
      </c>
      <c r="E198" s="1295">
        <v>44431</v>
      </c>
      <c r="F198" s="1294" t="s">
        <v>2418</v>
      </c>
      <c r="G198" s="1294" t="s">
        <v>2434</v>
      </c>
      <c r="H198" s="1294" t="s">
        <v>262</v>
      </c>
      <c r="I198" s="1294" t="s">
        <v>1212</v>
      </c>
      <c r="J198" s="1294" t="s">
        <v>2431</v>
      </c>
      <c r="K198" s="1294" t="s">
        <v>2422</v>
      </c>
      <c r="L198" s="1294" t="s">
        <v>2432</v>
      </c>
      <c r="M198" s="1294" t="s">
        <v>711</v>
      </c>
      <c r="N198" s="1296" t="s">
        <v>113</v>
      </c>
    </row>
    <row r="199" spans="1:14" hidden="1" x14ac:dyDescent="0.3">
      <c r="A199" s="1293">
        <v>2682</v>
      </c>
      <c r="B199" s="1294" t="s">
        <v>2663</v>
      </c>
      <c r="C199" s="1294" t="s">
        <v>1680</v>
      </c>
      <c r="D199" s="1295">
        <v>44508</v>
      </c>
      <c r="E199" s="1295">
        <v>44508</v>
      </c>
      <c r="F199" s="1294" t="s">
        <v>2418</v>
      </c>
      <c r="G199" s="1294" t="s">
        <v>2434</v>
      </c>
      <c r="H199" s="1294" t="s">
        <v>262</v>
      </c>
      <c r="I199" s="1294" t="s">
        <v>2543</v>
      </c>
      <c r="J199" s="1294" t="s">
        <v>2431</v>
      </c>
      <c r="K199" s="1294" t="s">
        <v>2422</v>
      </c>
      <c r="L199" s="1294" t="s">
        <v>2432</v>
      </c>
      <c r="M199" s="1294" t="s">
        <v>711</v>
      </c>
      <c r="N199" s="1296" t="s">
        <v>113</v>
      </c>
    </row>
    <row r="200" spans="1:14" hidden="1" x14ac:dyDescent="0.3">
      <c r="A200" s="1293">
        <v>2603</v>
      </c>
      <c r="B200" s="1294" t="s">
        <v>2664</v>
      </c>
      <c r="C200" s="1294" t="s">
        <v>1680</v>
      </c>
      <c r="D200" s="1295">
        <v>44431</v>
      </c>
      <c r="E200" s="1295">
        <v>44431</v>
      </c>
      <c r="F200" s="1294" t="s">
        <v>2418</v>
      </c>
      <c r="G200" s="1294" t="s">
        <v>2419</v>
      </c>
      <c r="H200" s="1294" t="s">
        <v>262</v>
      </c>
      <c r="I200" s="1294" t="s">
        <v>1209</v>
      </c>
      <c r="J200" s="1294" t="s">
        <v>2446</v>
      </c>
      <c r="K200" s="1294" t="s">
        <v>2422</v>
      </c>
      <c r="L200" s="1294" t="s">
        <v>2447</v>
      </c>
      <c r="M200" s="1294" t="s">
        <v>711</v>
      </c>
      <c r="N200" s="1296" t="s">
        <v>113</v>
      </c>
    </row>
    <row r="201" spans="1:14" hidden="1" x14ac:dyDescent="0.3">
      <c r="A201" s="1293">
        <v>2410</v>
      </c>
      <c r="B201" s="1294" t="s">
        <v>2665</v>
      </c>
      <c r="C201" s="1294" t="s">
        <v>2474</v>
      </c>
      <c r="D201" s="1295">
        <v>44305</v>
      </c>
      <c r="E201" s="1295">
        <v>44305</v>
      </c>
      <c r="F201" s="1294" t="s">
        <v>2418</v>
      </c>
      <c r="G201" s="1294" t="s">
        <v>2419</v>
      </c>
      <c r="H201" s="1294" t="s">
        <v>262</v>
      </c>
      <c r="I201" s="1294" t="s">
        <v>1208</v>
      </c>
      <c r="J201" s="1294" t="s">
        <v>2431</v>
      </c>
      <c r="K201" s="1294" t="s">
        <v>2422</v>
      </c>
      <c r="L201" s="1294" t="s">
        <v>2432</v>
      </c>
      <c r="M201" s="1294" t="s">
        <v>716</v>
      </c>
      <c r="N201" s="1296" t="s">
        <v>113</v>
      </c>
    </row>
    <row r="202" spans="1:14" hidden="1" x14ac:dyDescent="0.3">
      <c r="A202" s="1293">
        <v>2485</v>
      </c>
      <c r="B202" s="1294" t="s">
        <v>2666</v>
      </c>
      <c r="C202" s="1294" t="s">
        <v>2474</v>
      </c>
      <c r="D202" s="1295">
        <v>44368</v>
      </c>
      <c r="E202" s="1295">
        <v>44368</v>
      </c>
      <c r="F202" s="1294" t="s">
        <v>2418</v>
      </c>
      <c r="G202" s="1294" t="s">
        <v>2419</v>
      </c>
      <c r="H202" s="1294" t="s">
        <v>262</v>
      </c>
      <c r="I202" s="1294" t="s">
        <v>1208</v>
      </c>
      <c r="J202" s="1294" t="s">
        <v>2431</v>
      </c>
      <c r="K202" s="1294" t="s">
        <v>2422</v>
      </c>
      <c r="L202" s="1294" t="s">
        <v>2432</v>
      </c>
      <c r="M202" s="1294" t="s">
        <v>716</v>
      </c>
      <c r="N202" s="1296" t="s">
        <v>113</v>
      </c>
    </row>
    <row r="203" spans="1:14" hidden="1" x14ac:dyDescent="0.3">
      <c r="A203" s="1293">
        <v>1804</v>
      </c>
      <c r="B203" s="1294" t="s">
        <v>2667</v>
      </c>
      <c r="C203" s="1294" t="s">
        <v>2474</v>
      </c>
      <c r="D203" s="1295">
        <v>43297</v>
      </c>
      <c r="E203" s="1295">
        <v>43297</v>
      </c>
      <c r="F203" s="1294" t="s">
        <v>2418</v>
      </c>
      <c r="G203" s="1294" t="s">
        <v>2419</v>
      </c>
      <c r="H203" s="1294" t="s">
        <v>262</v>
      </c>
      <c r="I203" s="1294" t="s">
        <v>1208</v>
      </c>
      <c r="J203" s="1294" t="s">
        <v>2431</v>
      </c>
      <c r="K203" s="1294" t="s">
        <v>2422</v>
      </c>
      <c r="L203" s="1294" t="s">
        <v>2432</v>
      </c>
      <c r="M203" s="1294" t="s">
        <v>716</v>
      </c>
      <c r="N203" s="1296" t="s">
        <v>113</v>
      </c>
    </row>
    <row r="204" spans="1:14" hidden="1" x14ac:dyDescent="0.3">
      <c r="A204" s="1293">
        <v>2122</v>
      </c>
      <c r="B204" s="1294" t="s">
        <v>2668</v>
      </c>
      <c r="C204" s="1294" t="s">
        <v>1684</v>
      </c>
      <c r="D204" s="1295">
        <v>43794</v>
      </c>
      <c r="E204" s="1295">
        <v>43794</v>
      </c>
      <c r="F204" s="1294" t="s">
        <v>2418</v>
      </c>
      <c r="G204" s="1294" t="s">
        <v>2419</v>
      </c>
      <c r="H204" s="1294" t="s">
        <v>262</v>
      </c>
      <c r="I204" s="1294" t="s">
        <v>1209</v>
      </c>
      <c r="J204" s="1294" t="s">
        <v>1351</v>
      </c>
      <c r="K204" s="1294" t="s">
        <v>2422</v>
      </c>
      <c r="L204" s="1294" t="s">
        <v>1329</v>
      </c>
      <c r="M204" s="1294" t="s">
        <v>711</v>
      </c>
      <c r="N204" s="1296" t="s">
        <v>115</v>
      </c>
    </row>
    <row r="205" spans="1:14" hidden="1" x14ac:dyDescent="0.3">
      <c r="A205" s="1293">
        <v>1958</v>
      </c>
      <c r="B205" s="1294" t="s">
        <v>2669</v>
      </c>
      <c r="C205" s="1294" t="s">
        <v>2474</v>
      </c>
      <c r="D205" s="1295">
        <v>43535</v>
      </c>
      <c r="E205" s="1295">
        <v>43535</v>
      </c>
      <c r="F205" s="1294" t="s">
        <v>2418</v>
      </c>
      <c r="G205" s="1294" t="s">
        <v>2419</v>
      </c>
      <c r="H205" s="1294" t="s">
        <v>262</v>
      </c>
      <c r="I205" s="1294" t="s">
        <v>1208</v>
      </c>
      <c r="J205" s="1294" t="s">
        <v>2431</v>
      </c>
      <c r="K205" s="1294" t="s">
        <v>2422</v>
      </c>
      <c r="L205" s="1294" t="s">
        <v>2432</v>
      </c>
      <c r="M205" s="1294" t="s">
        <v>716</v>
      </c>
      <c r="N205" s="1296" t="s">
        <v>113</v>
      </c>
    </row>
    <row r="206" spans="1:14" hidden="1" x14ac:dyDescent="0.3">
      <c r="A206" s="1293">
        <v>2886</v>
      </c>
      <c r="B206" s="1294" t="s">
        <v>2670</v>
      </c>
      <c r="C206" s="1294" t="s">
        <v>1681</v>
      </c>
      <c r="D206" s="1295">
        <v>44690</v>
      </c>
      <c r="E206" s="1295">
        <v>44690</v>
      </c>
      <c r="F206" s="1294" t="s">
        <v>2418</v>
      </c>
      <c r="G206" s="1294" t="s">
        <v>2419</v>
      </c>
      <c r="H206" s="1294" t="s">
        <v>262</v>
      </c>
      <c r="I206" s="1294" t="s">
        <v>1209</v>
      </c>
      <c r="J206" s="1294" t="s">
        <v>2427</v>
      </c>
      <c r="K206" s="1294" t="s">
        <v>2422</v>
      </c>
      <c r="L206" s="1294" t="s">
        <v>1350</v>
      </c>
      <c r="M206" s="1294" t="s">
        <v>711</v>
      </c>
      <c r="N206" s="1296" t="s">
        <v>114</v>
      </c>
    </row>
    <row r="207" spans="1:14" hidden="1" x14ac:dyDescent="0.3">
      <c r="A207" s="1293">
        <v>2739</v>
      </c>
      <c r="B207" s="1294" t="s">
        <v>2671</v>
      </c>
      <c r="C207" s="1294" t="s">
        <v>1681</v>
      </c>
      <c r="D207" s="1295">
        <v>44550</v>
      </c>
      <c r="E207" s="1295">
        <v>44550</v>
      </c>
      <c r="F207" s="1294" t="s">
        <v>2418</v>
      </c>
      <c r="G207" s="1294" t="s">
        <v>2508</v>
      </c>
      <c r="H207" s="1294" t="s">
        <v>262</v>
      </c>
      <c r="I207" s="1294" t="s">
        <v>1211</v>
      </c>
      <c r="J207" s="1294" t="s">
        <v>2421</v>
      </c>
      <c r="K207" s="1294" t="s">
        <v>2422</v>
      </c>
      <c r="L207" s="1294" t="s">
        <v>1353</v>
      </c>
      <c r="M207" s="1294" t="s">
        <v>711</v>
      </c>
      <c r="N207" s="1296" t="s">
        <v>114</v>
      </c>
    </row>
    <row r="208" spans="1:14" hidden="1" x14ac:dyDescent="0.3">
      <c r="A208" s="1293">
        <v>2628</v>
      </c>
      <c r="B208" s="1294" t="s">
        <v>2672</v>
      </c>
      <c r="C208" s="1294" t="s">
        <v>1683</v>
      </c>
      <c r="D208" s="1295">
        <v>44453</v>
      </c>
      <c r="E208" s="1295">
        <v>44453</v>
      </c>
      <c r="F208" s="1294" t="s">
        <v>2418</v>
      </c>
      <c r="G208" s="1294" t="s">
        <v>2434</v>
      </c>
      <c r="H208" s="1294" t="s">
        <v>262</v>
      </c>
      <c r="I208" s="1294" t="s">
        <v>2536</v>
      </c>
      <c r="J208" s="1294" t="s">
        <v>1354</v>
      </c>
      <c r="K208" s="1294" t="s">
        <v>2422</v>
      </c>
      <c r="L208" s="1294" t="s">
        <v>1332</v>
      </c>
      <c r="M208" s="1294" t="s">
        <v>711</v>
      </c>
      <c r="N208" s="1296" t="s">
        <v>115</v>
      </c>
    </row>
    <row r="209" spans="1:14" hidden="1" x14ac:dyDescent="0.3">
      <c r="A209" s="1293">
        <v>1210</v>
      </c>
      <c r="B209" s="1294" t="s">
        <v>2673</v>
      </c>
      <c r="C209" s="1294" t="s">
        <v>1681</v>
      </c>
      <c r="D209" s="1295">
        <v>41039</v>
      </c>
      <c r="E209" s="1295">
        <v>41039</v>
      </c>
      <c r="F209" s="1294" t="s">
        <v>2418</v>
      </c>
      <c r="G209" s="1294" t="s">
        <v>2419</v>
      </c>
      <c r="H209" s="1294" t="s">
        <v>262</v>
      </c>
      <c r="I209" s="1294" t="s">
        <v>1211</v>
      </c>
      <c r="J209" s="1294" t="s">
        <v>2427</v>
      </c>
      <c r="K209" s="1294" t="s">
        <v>2422</v>
      </c>
      <c r="L209" s="1294" t="s">
        <v>1350</v>
      </c>
      <c r="M209" s="1294" t="s">
        <v>711</v>
      </c>
      <c r="N209" s="1296" t="s">
        <v>114</v>
      </c>
    </row>
    <row r="210" spans="1:14" hidden="1" x14ac:dyDescent="0.3">
      <c r="A210" s="1293">
        <v>2837</v>
      </c>
      <c r="B210" s="1294" t="s">
        <v>2674</v>
      </c>
      <c r="C210" s="1294" t="s">
        <v>1680</v>
      </c>
      <c r="D210" s="1295">
        <v>44634</v>
      </c>
      <c r="E210" s="1295">
        <v>44634</v>
      </c>
      <c r="F210" s="1294" t="s">
        <v>2418</v>
      </c>
      <c r="G210" s="1294" t="s">
        <v>2419</v>
      </c>
      <c r="H210" s="1294" t="s">
        <v>262</v>
      </c>
      <c r="I210" s="1294" t="s">
        <v>1209</v>
      </c>
      <c r="J210" s="1294" t="s">
        <v>2431</v>
      </c>
      <c r="K210" s="1294" t="s">
        <v>2422</v>
      </c>
      <c r="L210" s="1294" t="s">
        <v>2432</v>
      </c>
      <c r="M210" s="1294" t="s">
        <v>711</v>
      </c>
      <c r="N210" s="1296" t="s">
        <v>113</v>
      </c>
    </row>
    <row r="211" spans="1:14" hidden="1" x14ac:dyDescent="0.3">
      <c r="A211" s="1293">
        <v>2998</v>
      </c>
      <c r="B211" s="1294" t="s">
        <v>2675</v>
      </c>
      <c r="C211" s="1294" t="s">
        <v>2451</v>
      </c>
      <c r="D211" s="1295">
        <v>44791</v>
      </c>
      <c r="E211" s="1295">
        <v>44791</v>
      </c>
      <c r="F211" s="1294" t="s">
        <v>2418</v>
      </c>
      <c r="G211" s="1294" t="s">
        <v>2419</v>
      </c>
      <c r="H211" s="1294" t="s">
        <v>262</v>
      </c>
      <c r="I211" s="1294" t="s">
        <v>1207</v>
      </c>
      <c r="J211" s="1294" t="s">
        <v>2449</v>
      </c>
      <c r="K211" s="1294" t="s">
        <v>2422</v>
      </c>
      <c r="L211" s="1294" t="s">
        <v>2450</v>
      </c>
      <c r="M211" s="1294" t="s">
        <v>711</v>
      </c>
      <c r="N211" s="1296" t="s">
        <v>2452</v>
      </c>
    </row>
    <row r="212" spans="1:14" hidden="1" x14ac:dyDescent="0.3">
      <c r="A212" s="1293">
        <v>1442</v>
      </c>
      <c r="B212" s="1294" t="s">
        <v>2676</v>
      </c>
      <c r="C212" s="1294" t="s">
        <v>534</v>
      </c>
      <c r="D212" s="1295">
        <v>44774</v>
      </c>
      <c r="E212" s="1295">
        <v>42310</v>
      </c>
      <c r="F212" s="1294" t="s">
        <v>2418</v>
      </c>
      <c r="G212" s="1294" t="s">
        <v>2564</v>
      </c>
      <c r="H212" s="1294" t="s">
        <v>262</v>
      </c>
      <c r="I212" s="1294" t="s">
        <v>1211</v>
      </c>
      <c r="J212" s="1294" t="s">
        <v>2431</v>
      </c>
      <c r="K212" s="1294" t="s">
        <v>2459</v>
      </c>
      <c r="L212" s="1294" t="s">
        <v>2432</v>
      </c>
      <c r="M212" s="1294" t="s">
        <v>765</v>
      </c>
      <c r="N212" s="1296" t="s">
        <v>113</v>
      </c>
    </row>
    <row r="213" spans="1:14" hidden="1" x14ac:dyDescent="0.3">
      <c r="A213" s="1293">
        <v>3082</v>
      </c>
      <c r="B213" s="1294" t="s">
        <v>2677</v>
      </c>
      <c r="C213" s="1294" t="s">
        <v>540</v>
      </c>
      <c r="D213" s="1295">
        <v>44970</v>
      </c>
      <c r="E213" s="1295">
        <v>44970</v>
      </c>
      <c r="F213" s="1294" t="s">
        <v>2418</v>
      </c>
      <c r="G213" s="1294" t="s">
        <v>2538</v>
      </c>
      <c r="H213" s="1294" t="s">
        <v>262</v>
      </c>
      <c r="I213" s="1294" t="s">
        <v>1211</v>
      </c>
      <c r="J213" s="1294" t="s">
        <v>1351</v>
      </c>
      <c r="K213" s="1294" t="s">
        <v>330</v>
      </c>
      <c r="L213" s="1294" t="s">
        <v>1329</v>
      </c>
      <c r="M213" s="1294" t="s">
        <v>765</v>
      </c>
      <c r="N213" s="1296" t="s">
        <v>115</v>
      </c>
    </row>
    <row r="214" spans="1:14" hidden="1" x14ac:dyDescent="0.3">
      <c r="A214" s="1293">
        <v>2814</v>
      </c>
      <c r="B214" s="1294" t="s">
        <v>2678</v>
      </c>
      <c r="C214" s="1294" t="s">
        <v>1680</v>
      </c>
      <c r="D214" s="1295">
        <v>44613</v>
      </c>
      <c r="E214" s="1295">
        <v>44613</v>
      </c>
      <c r="F214" s="1294" t="s">
        <v>2418</v>
      </c>
      <c r="G214" s="1294" t="s">
        <v>2419</v>
      </c>
      <c r="H214" s="1294" t="s">
        <v>262</v>
      </c>
      <c r="I214" s="1294" t="s">
        <v>1209</v>
      </c>
      <c r="J214" s="1294" t="s">
        <v>2431</v>
      </c>
      <c r="K214" s="1294" t="s">
        <v>2422</v>
      </c>
      <c r="L214" s="1294" t="s">
        <v>2432</v>
      </c>
      <c r="M214" s="1294" t="s">
        <v>711</v>
      </c>
      <c r="N214" s="1296" t="s">
        <v>113</v>
      </c>
    </row>
    <row r="215" spans="1:14" hidden="1" x14ac:dyDescent="0.3">
      <c r="A215" s="1293">
        <v>1796</v>
      </c>
      <c r="B215" s="1294" t="s">
        <v>2679</v>
      </c>
      <c r="C215" s="1294" t="s">
        <v>1683</v>
      </c>
      <c r="D215" s="1295">
        <v>43276</v>
      </c>
      <c r="E215" s="1295">
        <v>43276</v>
      </c>
      <c r="F215" s="1294" t="s">
        <v>2418</v>
      </c>
      <c r="G215" s="1294" t="s">
        <v>2419</v>
      </c>
      <c r="H215" s="1294" t="s">
        <v>262</v>
      </c>
      <c r="I215" s="1294" t="s">
        <v>1211</v>
      </c>
      <c r="J215" s="1294" t="s">
        <v>1354</v>
      </c>
      <c r="K215" s="1294" t="s">
        <v>2422</v>
      </c>
      <c r="L215" s="1294" t="s">
        <v>1332</v>
      </c>
      <c r="M215" s="1294" t="s">
        <v>711</v>
      </c>
      <c r="N215" s="1296" t="s">
        <v>115</v>
      </c>
    </row>
    <row r="216" spans="1:14" hidden="1" x14ac:dyDescent="0.3">
      <c r="A216" s="1293">
        <v>1925</v>
      </c>
      <c r="B216" s="1294" t="s">
        <v>2680</v>
      </c>
      <c r="C216" s="1294" t="s">
        <v>1710</v>
      </c>
      <c r="D216" s="1295">
        <v>43479</v>
      </c>
      <c r="E216" s="1295">
        <v>43479</v>
      </c>
      <c r="F216" s="1294" t="s">
        <v>2418</v>
      </c>
      <c r="G216" s="1294" t="s">
        <v>2419</v>
      </c>
      <c r="H216" s="1294" t="s">
        <v>262</v>
      </c>
      <c r="I216" s="1294" t="s">
        <v>1208</v>
      </c>
      <c r="J216" s="1294" t="s">
        <v>2437</v>
      </c>
      <c r="K216" s="1294" t="s">
        <v>2422</v>
      </c>
      <c r="L216" s="1294" t="s">
        <v>1353</v>
      </c>
      <c r="M216" s="1294" t="s">
        <v>716</v>
      </c>
      <c r="N216" s="1296" t="s">
        <v>114</v>
      </c>
    </row>
    <row r="217" spans="1:14" hidden="1" x14ac:dyDescent="0.3">
      <c r="A217" s="1293">
        <v>3161</v>
      </c>
      <c r="B217" s="1294" t="s">
        <v>2681</v>
      </c>
      <c r="C217" s="1294" t="s">
        <v>2474</v>
      </c>
      <c r="D217" s="1295">
        <v>45019</v>
      </c>
      <c r="E217" s="1295">
        <v>45019</v>
      </c>
      <c r="F217" s="1294" t="s">
        <v>2418</v>
      </c>
      <c r="G217" s="1294" t="s">
        <v>2419</v>
      </c>
      <c r="H217" s="1294" t="s">
        <v>262</v>
      </c>
      <c r="I217" s="1294" t="s">
        <v>1208</v>
      </c>
      <c r="J217" s="1294" t="s">
        <v>2431</v>
      </c>
      <c r="K217" s="1294" t="s">
        <v>2422</v>
      </c>
      <c r="L217" s="1294" t="s">
        <v>2432</v>
      </c>
      <c r="M217" s="1294" t="s">
        <v>716</v>
      </c>
      <c r="N217" s="1296" t="s">
        <v>113</v>
      </c>
    </row>
    <row r="218" spans="1:14" hidden="1" x14ac:dyDescent="0.3">
      <c r="A218" s="1293">
        <v>1176</v>
      </c>
      <c r="B218" s="1294" t="s">
        <v>2682</v>
      </c>
      <c r="C218" s="1294" t="s">
        <v>534</v>
      </c>
      <c r="D218" s="1295">
        <v>45061</v>
      </c>
      <c r="E218" s="1295">
        <v>40875</v>
      </c>
      <c r="F218" s="1294" t="s">
        <v>2418</v>
      </c>
      <c r="G218" s="1294" t="s">
        <v>2531</v>
      </c>
      <c r="H218" s="1294" t="s">
        <v>262</v>
      </c>
      <c r="I218" s="1294" t="s">
        <v>1211</v>
      </c>
      <c r="J218" s="1294" t="s">
        <v>2431</v>
      </c>
      <c r="K218" s="1294" t="s">
        <v>2459</v>
      </c>
      <c r="L218" s="1294" t="s">
        <v>2432</v>
      </c>
      <c r="M218" s="1294" t="s">
        <v>765</v>
      </c>
      <c r="N218" s="1296" t="s">
        <v>113</v>
      </c>
    </row>
    <row r="219" spans="1:14" hidden="1" x14ac:dyDescent="0.3">
      <c r="A219" s="1293">
        <v>3034</v>
      </c>
      <c r="B219" s="1294" t="s">
        <v>2683</v>
      </c>
      <c r="C219" s="1294" t="s">
        <v>1683</v>
      </c>
      <c r="D219" s="1295">
        <v>44868</v>
      </c>
      <c r="E219" s="1295">
        <v>44868</v>
      </c>
      <c r="F219" s="1294" t="s">
        <v>2418</v>
      </c>
      <c r="G219" s="1294" t="s">
        <v>2419</v>
      </c>
      <c r="H219" s="1294" t="s">
        <v>262</v>
      </c>
      <c r="I219" s="1294" t="s">
        <v>1209</v>
      </c>
      <c r="J219" s="1294" t="s">
        <v>1354</v>
      </c>
      <c r="K219" s="1294" t="s">
        <v>2422</v>
      </c>
      <c r="L219" s="1294" t="s">
        <v>1332</v>
      </c>
      <c r="M219" s="1294" t="s">
        <v>711</v>
      </c>
      <c r="N219" s="1296" t="s">
        <v>115</v>
      </c>
    </row>
    <row r="220" spans="1:14" hidden="1" x14ac:dyDescent="0.3">
      <c r="A220" s="1293">
        <v>1794</v>
      </c>
      <c r="B220" s="1294" t="s">
        <v>2684</v>
      </c>
      <c r="C220" s="1294" t="s">
        <v>540</v>
      </c>
      <c r="D220" s="1295">
        <v>44798</v>
      </c>
      <c r="E220" s="1295">
        <v>43269</v>
      </c>
      <c r="F220" s="1294" t="s">
        <v>2418</v>
      </c>
      <c r="G220" s="1294" t="s">
        <v>2538</v>
      </c>
      <c r="H220" s="1294" t="s">
        <v>262</v>
      </c>
      <c r="I220" s="1294" t="s">
        <v>1211</v>
      </c>
      <c r="J220" s="1294" t="s">
        <v>1351</v>
      </c>
      <c r="K220" s="1294" t="s">
        <v>330</v>
      </c>
      <c r="L220" s="1294" t="s">
        <v>1329</v>
      </c>
      <c r="M220" s="1294" t="s">
        <v>765</v>
      </c>
      <c r="N220" s="1296" t="s">
        <v>115</v>
      </c>
    </row>
    <row r="221" spans="1:14" hidden="1" x14ac:dyDescent="0.3">
      <c r="A221" s="1293">
        <v>8383</v>
      </c>
      <c r="B221" s="1294" t="s">
        <v>2685</v>
      </c>
      <c r="C221" s="1294" t="s">
        <v>536</v>
      </c>
      <c r="D221" s="1295">
        <v>44305</v>
      </c>
      <c r="E221" s="1295">
        <v>44305</v>
      </c>
      <c r="F221" s="1294" t="s">
        <v>2418</v>
      </c>
      <c r="G221" s="1294" t="s">
        <v>2495</v>
      </c>
      <c r="H221" s="1294" t="s">
        <v>262</v>
      </c>
      <c r="I221" s="1294" t="s">
        <v>1211</v>
      </c>
      <c r="J221" s="1294" t="s">
        <v>2427</v>
      </c>
      <c r="K221" s="1294" t="s">
        <v>330</v>
      </c>
      <c r="L221" s="1294" t="s">
        <v>1350</v>
      </c>
      <c r="M221" s="1294" t="s">
        <v>765</v>
      </c>
      <c r="N221" s="1296" t="s">
        <v>114</v>
      </c>
    </row>
    <row r="222" spans="1:14" hidden="1" x14ac:dyDescent="0.3">
      <c r="A222" s="1293">
        <v>3039</v>
      </c>
      <c r="B222" s="1294" t="s">
        <v>2686</v>
      </c>
      <c r="C222" s="1294" t="s">
        <v>1680</v>
      </c>
      <c r="D222" s="1295">
        <v>44879</v>
      </c>
      <c r="E222" s="1295">
        <v>44879</v>
      </c>
      <c r="F222" s="1294" t="s">
        <v>2418</v>
      </c>
      <c r="G222" s="1294" t="s">
        <v>2419</v>
      </c>
      <c r="H222" s="1294" t="s">
        <v>262</v>
      </c>
      <c r="I222" s="1294" t="s">
        <v>1211</v>
      </c>
      <c r="J222" s="1294" t="s">
        <v>2431</v>
      </c>
      <c r="K222" s="1294" t="s">
        <v>2422</v>
      </c>
      <c r="L222" s="1294" t="s">
        <v>2432</v>
      </c>
      <c r="M222" s="1294" t="s">
        <v>711</v>
      </c>
      <c r="N222" s="1296" t="s">
        <v>113</v>
      </c>
    </row>
    <row r="223" spans="1:14" hidden="1" x14ac:dyDescent="0.3">
      <c r="A223" s="1293">
        <v>2862</v>
      </c>
      <c r="B223" s="1294" t="s">
        <v>2687</v>
      </c>
      <c r="C223" s="1294" t="s">
        <v>1680</v>
      </c>
      <c r="D223" s="1295">
        <v>44652</v>
      </c>
      <c r="E223" s="1295">
        <v>44652</v>
      </c>
      <c r="F223" s="1294" t="s">
        <v>2418</v>
      </c>
      <c r="G223" s="1294" t="s">
        <v>2434</v>
      </c>
      <c r="H223" s="1294" t="s">
        <v>262</v>
      </c>
      <c r="I223" s="1294" t="s">
        <v>1211</v>
      </c>
      <c r="J223" s="1294" t="s">
        <v>2446</v>
      </c>
      <c r="K223" s="1294" t="s">
        <v>2422</v>
      </c>
      <c r="L223" s="1294" t="s">
        <v>2447</v>
      </c>
      <c r="M223" s="1294" t="s">
        <v>711</v>
      </c>
      <c r="N223" s="1296" t="s">
        <v>113</v>
      </c>
    </row>
    <row r="224" spans="1:14" hidden="1" x14ac:dyDescent="0.3">
      <c r="A224" s="1293">
        <v>3147</v>
      </c>
      <c r="B224" s="1294" t="s">
        <v>2688</v>
      </c>
      <c r="C224" s="1294" t="s">
        <v>2474</v>
      </c>
      <c r="D224" s="1295">
        <v>44985</v>
      </c>
      <c r="E224" s="1295">
        <v>44985</v>
      </c>
      <c r="F224" s="1294" t="s">
        <v>2418</v>
      </c>
      <c r="G224" s="1294" t="s">
        <v>2419</v>
      </c>
      <c r="H224" s="1294" t="s">
        <v>262</v>
      </c>
      <c r="I224" s="1294" t="s">
        <v>1208</v>
      </c>
      <c r="J224" s="1294" t="s">
        <v>2431</v>
      </c>
      <c r="K224" s="1294" t="s">
        <v>2422</v>
      </c>
      <c r="L224" s="1294" t="s">
        <v>2432</v>
      </c>
      <c r="M224" s="1294" t="s">
        <v>716</v>
      </c>
      <c r="N224" s="1296" t="s">
        <v>113</v>
      </c>
    </row>
    <row r="225" spans="1:14" hidden="1" x14ac:dyDescent="0.3">
      <c r="A225" s="1293">
        <v>2042</v>
      </c>
      <c r="B225" s="1294" t="s">
        <v>2689</v>
      </c>
      <c r="C225" s="1294" t="s">
        <v>1680</v>
      </c>
      <c r="D225" s="1295">
        <v>43654</v>
      </c>
      <c r="E225" s="1295">
        <v>43654</v>
      </c>
      <c r="F225" s="1294" t="s">
        <v>2418</v>
      </c>
      <c r="G225" s="1294" t="s">
        <v>2434</v>
      </c>
      <c r="H225" s="1294" t="s">
        <v>262</v>
      </c>
      <c r="I225" s="1294" t="s">
        <v>1209</v>
      </c>
      <c r="J225" s="1294" t="s">
        <v>2431</v>
      </c>
      <c r="K225" s="1294" t="s">
        <v>2422</v>
      </c>
      <c r="L225" s="1294" t="s">
        <v>2432</v>
      </c>
      <c r="M225" s="1294" t="s">
        <v>711</v>
      </c>
      <c r="N225" s="1296" t="s">
        <v>113</v>
      </c>
    </row>
    <row r="226" spans="1:14" hidden="1" x14ac:dyDescent="0.3">
      <c r="A226" s="1293">
        <v>2817</v>
      </c>
      <c r="B226" s="1294" t="s">
        <v>2690</v>
      </c>
      <c r="C226" s="1294" t="s">
        <v>1680</v>
      </c>
      <c r="D226" s="1295">
        <v>44616</v>
      </c>
      <c r="E226" s="1295">
        <v>44616</v>
      </c>
      <c r="F226" s="1294" t="s">
        <v>2418</v>
      </c>
      <c r="G226" s="1294" t="s">
        <v>2434</v>
      </c>
      <c r="H226" s="1294" t="s">
        <v>262</v>
      </c>
      <c r="I226" s="1294" t="s">
        <v>1211</v>
      </c>
      <c r="J226" s="1294" t="s">
        <v>2431</v>
      </c>
      <c r="K226" s="1294" t="s">
        <v>2422</v>
      </c>
      <c r="L226" s="1294" t="s">
        <v>2432</v>
      </c>
      <c r="M226" s="1294" t="s">
        <v>711</v>
      </c>
      <c r="N226" s="1296" t="s">
        <v>113</v>
      </c>
    </row>
    <row r="227" spans="1:14" hidden="1" x14ac:dyDescent="0.3">
      <c r="A227" s="1293">
        <v>2343</v>
      </c>
      <c r="B227" s="1294" t="s">
        <v>2691</v>
      </c>
      <c r="C227" s="1294" t="s">
        <v>1681</v>
      </c>
      <c r="D227" s="1295">
        <v>44256</v>
      </c>
      <c r="E227" s="1295">
        <v>44256</v>
      </c>
      <c r="F227" s="1294" t="s">
        <v>2418</v>
      </c>
      <c r="G227" s="1294" t="s">
        <v>2419</v>
      </c>
      <c r="H227" s="1294" t="s">
        <v>262</v>
      </c>
      <c r="I227" s="1294" t="s">
        <v>1211</v>
      </c>
      <c r="J227" s="1294" t="s">
        <v>2421</v>
      </c>
      <c r="K227" s="1294" t="s">
        <v>2422</v>
      </c>
      <c r="L227" s="1294" t="s">
        <v>1353</v>
      </c>
      <c r="M227" s="1294" t="s">
        <v>711</v>
      </c>
      <c r="N227" s="1296" t="s">
        <v>114</v>
      </c>
    </row>
    <row r="228" spans="1:14" hidden="1" x14ac:dyDescent="0.3">
      <c r="A228" s="1293">
        <v>3430</v>
      </c>
      <c r="B228" s="1294" t="s">
        <v>2692</v>
      </c>
      <c r="C228" s="1294" t="s">
        <v>1683</v>
      </c>
      <c r="D228" s="1295">
        <v>45699</v>
      </c>
      <c r="E228" s="1295">
        <v>45699</v>
      </c>
      <c r="F228" s="1294" t="s">
        <v>2418</v>
      </c>
      <c r="G228" s="1294" t="s">
        <v>2419</v>
      </c>
      <c r="H228" s="1294" t="s">
        <v>262</v>
      </c>
      <c r="I228" s="1294" t="s">
        <v>1205</v>
      </c>
      <c r="J228" s="1294" t="s">
        <v>1354</v>
      </c>
      <c r="K228" s="1294" t="s">
        <v>2422</v>
      </c>
      <c r="L228" s="1294" t="s">
        <v>1332</v>
      </c>
      <c r="M228" s="1294" t="s">
        <v>711</v>
      </c>
      <c r="N228" s="1296" t="s">
        <v>115</v>
      </c>
    </row>
    <row r="229" spans="1:14" hidden="1" x14ac:dyDescent="0.3">
      <c r="A229" s="1293">
        <v>1888</v>
      </c>
      <c r="B229" s="1294" t="s">
        <v>2693</v>
      </c>
      <c r="C229" s="1294" t="s">
        <v>1680</v>
      </c>
      <c r="D229" s="1295">
        <v>43430</v>
      </c>
      <c r="E229" s="1295">
        <v>43430</v>
      </c>
      <c r="F229" s="1294" t="s">
        <v>2418</v>
      </c>
      <c r="G229" s="1294" t="s">
        <v>2434</v>
      </c>
      <c r="H229" s="1294" t="s">
        <v>262</v>
      </c>
      <c r="I229" s="1294" t="s">
        <v>1209</v>
      </c>
      <c r="J229" s="1294" t="s">
        <v>2431</v>
      </c>
      <c r="K229" s="1294" t="s">
        <v>2422</v>
      </c>
      <c r="L229" s="1294" t="s">
        <v>2432</v>
      </c>
      <c r="M229" s="1294" t="s">
        <v>711</v>
      </c>
      <c r="N229" s="1296" t="s">
        <v>113</v>
      </c>
    </row>
    <row r="230" spans="1:14" hidden="1" x14ac:dyDescent="0.3">
      <c r="A230" s="1293">
        <v>1896</v>
      </c>
      <c r="B230" s="1294" t="s">
        <v>2694</v>
      </c>
      <c r="C230" s="1294" t="s">
        <v>1681</v>
      </c>
      <c r="D230" s="1295">
        <v>43430</v>
      </c>
      <c r="E230" s="1295">
        <v>43430</v>
      </c>
      <c r="F230" s="1294" t="s">
        <v>2418</v>
      </c>
      <c r="G230" s="1294" t="s">
        <v>2419</v>
      </c>
      <c r="H230" s="1294" t="s">
        <v>262</v>
      </c>
      <c r="I230" s="1294" t="s">
        <v>1207</v>
      </c>
      <c r="J230" s="1294" t="s">
        <v>2421</v>
      </c>
      <c r="K230" s="1294" t="s">
        <v>2422</v>
      </c>
      <c r="L230" s="1294" t="s">
        <v>1353</v>
      </c>
      <c r="M230" s="1294" t="s">
        <v>711</v>
      </c>
      <c r="N230" s="1296" t="s">
        <v>114</v>
      </c>
    </row>
    <row r="231" spans="1:14" hidden="1" x14ac:dyDescent="0.3">
      <c r="A231" s="1293">
        <v>1565</v>
      </c>
      <c r="B231" s="1294" t="s">
        <v>2695</v>
      </c>
      <c r="C231" s="1294" t="s">
        <v>1710</v>
      </c>
      <c r="D231" s="1295">
        <v>42716</v>
      </c>
      <c r="E231" s="1295">
        <v>42716</v>
      </c>
      <c r="F231" s="1294" t="s">
        <v>2418</v>
      </c>
      <c r="G231" s="1294" t="s">
        <v>2419</v>
      </c>
      <c r="H231" s="1294" t="s">
        <v>262</v>
      </c>
      <c r="I231" s="1294" t="s">
        <v>1208</v>
      </c>
      <c r="J231" s="1294" t="s">
        <v>2437</v>
      </c>
      <c r="K231" s="1294" t="s">
        <v>2422</v>
      </c>
      <c r="L231" s="1294" t="s">
        <v>1353</v>
      </c>
      <c r="M231" s="1294" t="s">
        <v>716</v>
      </c>
      <c r="N231" s="1296" t="s">
        <v>114</v>
      </c>
    </row>
    <row r="232" spans="1:14" hidden="1" x14ac:dyDescent="0.3">
      <c r="A232" s="1293">
        <v>2406</v>
      </c>
      <c r="B232" s="1294" t="s">
        <v>2696</v>
      </c>
      <c r="C232" s="1294" t="s">
        <v>2474</v>
      </c>
      <c r="D232" s="1295">
        <v>44305</v>
      </c>
      <c r="E232" s="1295">
        <v>44305</v>
      </c>
      <c r="F232" s="1294" t="s">
        <v>2418</v>
      </c>
      <c r="G232" s="1294" t="s">
        <v>2419</v>
      </c>
      <c r="H232" s="1294" t="s">
        <v>262</v>
      </c>
      <c r="I232" s="1294" t="s">
        <v>1208</v>
      </c>
      <c r="J232" s="1294" t="s">
        <v>2431</v>
      </c>
      <c r="K232" s="1294" t="s">
        <v>2422</v>
      </c>
      <c r="L232" s="1294" t="s">
        <v>2432</v>
      </c>
      <c r="M232" s="1294" t="s">
        <v>716</v>
      </c>
      <c r="N232" s="1296" t="s">
        <v>113</v>
      </c>
    </row>
    <row r="233" spans="1:14" hidden="1" x14ac:dyDescent="0.3">
      <c r="A233" s="1293">
        <v>1670</v>
      </c>
      <c r="B233" s="1294" t="s">
        <v>2697</v>
      </c>
      <c r="C233" s="1294" t="s">
        <v>536</v>
      </c>
      <c r="D233" s="1295">
        <v>45299</v>
      </c>
      <c r="E233" s="1295">
        <v>43045</v>
      </c>
      <c r="F233" s="1294" t="s">
        <v>2418</v>
      </c>
      <c r="G233" s="1294" t="s">
        <v>2531</v>
      </c>
      <c r="H233" s="1294" t="s">
        <v>262</v>
      </c>
      <c r="I233" s="1294" t="s">
        <v>1207</v>
      </c>
      <c r="J233" s="1294" t="s">
        <v>2421</v>
      </c>
      <c r="K233" s="1294" t="s">
        <v>2459</v>
      </c>
      <c r="L233" s="1294" t="s">
        <v>1353</v>
      </c>
      <c r="M233" s="1294" t="s">
        <v>765</v>
      </c>
      <c r="N233" s="1296" t="s">
        <v>114</v>
      </c>
    </row>
    <row r="234" spans="1:14" hidden="1" x14ac:dyDescent="0.3">
      <c r="A234" s="1293">
        <v>2249</v>
      </c>
      <c r="B234" s="1294" t="s">
        <v>2698</v>
      </c>
      <c r="C234" s="1294" t="s">
        <v>1681</v>
      </c>
      <c r="D234" s="1295">
        <v>44116</v>
      </c>
      <c r="E234" s="1295">
        <v>44116</v>
      </c>
      <c r="F234" s="1294" t="s">
        <v>2418</v>
      </c>
      <c r="G234" s="1294" t="s">
        <v>2419</v>
      </c>
      <c r="H234" s="1294" t="s">
        <v>262</v>
      </c>
      <c r="I234" s="1294" t="s">
        <v>1211</v>
      </c>
      <c r="J234" s="1294" t="s">
        <v>2421</v>
      </c>
      <c r="K234" s="1294" t="s">
        <v>2422</v>
      </c>
      <c r="L234" s="1294" t="s">
        <v>1353</v>
      </c>
      <c r="M234" s="1294" t="s">
        <v>711</v>
      </c>
      <c r="N234" s="1296" t="s">
        <v>114</v>
      </c>
    </row>
    <row r="235" spans="1:14" hidden="1" x14ac:dyDescent="0.3">
      <c r="A235" s="1293">
        <v>2790</v>
      </c>
      <c r="B235" s="1294" t="s">
        <v>2699</v>
      </c>
      <c r="C235" s="1294" t="s">
        <v>2474</v>
      </c>
      <c r="D235" s="1295">
        <v>44595</v>
      </c>
      <c r="E235" s="1295">
        <v>44595</v>
      </c>
      <c r="F235" s="1294" t="s">
        <v>2418</v>
      </c>
      <c r="G235" s="1294" t="s">
        <v>2419</v>
      </c>
      <c r="H235" s="1294" t="s">
        <v>262</v>
      </c>
      <c r="I235" s="1294" t="s">
        <v>1208</v>
      </c>
      <c r="J235" s="1294" t="s">
        <v>2431</v>
      </c>
      <c r="K235" s="1294" t="s">
        <v>2422</v>
      </c>
      <c r="L235" s="1294" t="s">
        <v>2432</v>
      </c>
      <c r="M235" s="1294" t="s">
        <v>716</v>
      </c>
      <c r="N235" s="1296" t="s">
        <v>113</v>
      </c>
    </row>
    <row r="236" spans="1:14" hidden="1" x14ac:dyDescent="0.3">
      <c r="A236" s="1293">
        <v>3091</v>
      </c>
      <c r="B236" s="1294" t="s">
        <v>2700</v>
      </c>
      <c r="C236" s="1294" t="s">
        <v>721</v>
      </c>
      <c r="D236" s="1295">
        <v>44979</v>
      </c>
      <c r="E236" s="1295">
        <v>44979</v>
      </c>
      <c r="F236" s="1294" t="s">
        <v>2418</v>
      </c>
      <c r="G236" s="1294" t="s">
        <v>2564</v>
      </c>
      <c r="H236" s="1294" t="s">
        <v>262</v>
      </c>
      <c r="I236" s="1294" t="s">
        <v>1211</v>
      </c>
      <c r="J236" s="1294" t="s">
        <v>1333</v>
      </c>
      <c r="K236" s="1294" t="s">
        <v>2459</v>
      </c>
      <c r="L236" s="1294" t="s">
        <v>1376</v>
      </c>
      <c r="M236" s="1294" t="s">
        <v>765</v>
      </c>
      <c r="N236" s="1296" t="s">
        <v>116</v>
      </c>
    </row>
    <row r="237" spans="1:14" hidden="1" x14ac:dyDescent="0.3">
      <c r="A237" s="1293">
        <v>2290</v>
      </c>
      <c r="B237" s="1294" t="s">
        <v>2701</v>
      </c>
      <c r="C237" s="1294" t="s">
        <v>534</v>
      </c>
      <c r="D237" s="1295">
        <v>44426</v>
      </c>
      <c r="E237" s="1295">
        <v>44189</v>
      </c>
      <c r="F237" s="1294" t="s">
        <v>2418</v>
      </c>
      <c r="G237" s="1294" t="s">
        <v>2538</v>
      </c>
      <c r="H237" s="1294" t="s">
        <v>262</v>
      </c>
      <c r="I237" s="1294" t="s">
        <v>1209</v>
      </c>
      <c r="J237" s="1294" t="s">
        <v>2431</v>
      </c>
      <c r="K237" s="1294" t="s">
        <v>330</v>
      </c>
      <c r="L237" s="1294" t="s">
        <v>2432</v>
      </c>
      <c r="M237" s="1294" t="s">
        <v>765</v>
      </c>
      <c r="N237" s="1296" t="s">
        <v>113</v>
      </c>
    </row>
    <row r="238" spans="1:14" hidden="1" x14ac:dyDescent="0.3">
      <c r="A238" s="1293">
        <v>2872</v>
      </c>
      <c r="B238" s="1294" t="s">
        <v>2702</v>
      </c>
      <c r="C238" s="1294" t="s">
        <v>1681</v>
      </c>
      <c r="D238" s="1295">
        <v>44669</v>
      </c>
      <c r="E238" s="1295">
        <v>44669</v>
      </c>
      <c r="F238" s="1294" t="s">
        <v>2418</v>
      </c>
      <c r="G238" s="1294" t="s">
        <v>2419</v>
      </c>
      <c r="H238" s="1294" t="s">
        <v>262</v>
      </c>
      <c r="I238" s="1294" t="s">
        <v>1209</v>
      </c>
      <c r="J238" s="1294" t="s">
        <v>2421</v>
      </c>
      <c r="K238" s="1294" t="s">
        <v>2422</v>
      </c>
      <c r="L238" s="1294" t="s">
        <v>1353</v>
      </c>
      <c r="M238" s="1294" t="s">
        <v>711</v>
      </c>
      <c r="N238" s="1296" t="s">
        <v>114</v>
      </c>
    </row>
    <row r="239" spans="1:14" hidden="1" x14ac:dyDescent="0.3">
      <c r="A239" s="1293">
        <v>3074</v>
      </c>
      <c r="B239" s="1294" t="s">
        <v>2703</v>
      </c>
      <c r="C239" s="1294" t="s">
        <v>1680</v>
      </c>
      <c r="D239" s="1295">
        <v>44964</v>
      </c>
      <c r="E239" s="1295">
        <v>44964</v>
      </c>
      <c r="F239" s="1294" t="s">
        <v>2418</v>
      </c>
      <c r="G239" s="1294" t="s">
        <v>2434</v>
      </c>
      <c r="H239" s="1294" t="s">
        <v>262</v>
      </c>
      <c r="I239" s="1294" t="s">
        <v>1209</v>
      </c>
      <c r="J239" s="1294" t="s">
        <v>2431</v>
      </c>
      <c r="K239" s="1294" t="s">
        <v>2422</v>
      </c>
      <c r="L239" s="1294" t="s">
        <v>2432</v>
      </c>
      <c r="M239" s="1294" t="s">
        <v>711</v>
      </c>
      <c r="N239" s="1296" t="s">
        <v>113</v>
      </c>
    </row>
    <row r="240" spans="1:14" hidden="1" x14ac:dyDescent="0.3">
      <c r="A240" s="1293">
        <v>3224</v>
      </c>
      <c r="B240" s="1294" t="s">
        <v>2704</v>
      </c>
      <c r="C240" s="1294" t="s">
        <v>1680</v>
      </c>
      <c r="D240" s="1295">
        <v>45173</v>
      </c>
      <c r="E240" s="1295">
        <v>45173</v>
      </c>
      <c r="F240" s="1294" t="s">
        <v>2418</v>
      </c>
      <c r="G240" s="1294" t="s">
        <v>2419</v>
      </c>
      <c r="H240" s="1294" t="s">
        <v>262</v>
      </c>
      <c r="I240" s="1294" t="s">
        <v>1205</v>
      </c>
      <c r="J240" s="1294" t="s">
        <v>2446</v>
      </c>
      <c r="K240" s="1294" t="s">
        <v>2422</v>
      </c>
      <c r="L240" s="1294" t="s">
        <v>2447</v>
      </c>
      <c r="M240" s="1294" t="s">
        <v>711</v>
      </c>
      <c r="N240" s="1296" t="s">
        <v>113</v>
      </c>
    </row>
    <row r="241" spans="1:14" hidden="1" x14ac:dyDescent="0.3">
      <c r="A241" s="1293">
        <v>2158</v>
      </c>
      <c r="B241" s="1294" t="s">
        <v>2705</v>
      </c>
      <c r="C241" s="1294" t="s">
        <v>1680</v>
      </c>
      <c r="D241" s="1295">
        <v>43922</v>
      </c>
      <c r="E241" s="1295">
        <v>43948</v>
      </c>
      <c r="F241" s="1294" t="s">
        <v>2418</v>
      </c>
      <c r="G241" s="1294" t="s">
        <v>2434</v>
      </c>
      <c r="H241" s="1294" t="s">
        <v>262</v>
      </c>
      <c r="I241" s="1294" t="s">
        <v>1209</v>
      </c>
      <c r="J241" s="1294" t="s">
        <v>2431</v>
      </c>
      <c r="K241" s="1294" t="s">
        <v>2422</v>
      </c>
      <c r="L241" s="1294" t="s">
        <v>2432</v>
      </c>
      <c r="M241" s="1294" t="s">
        <v>711</v>
      </c>
      <c r="N241" s="1296" t="s">
        <v>113</v>
      </c>
    </row>
    <row r="242" spans="1:14" hidden="1" x14ac:dyDescent="0.3">
      <c r="A242" s="1293">
        <v>2045</v>
      </c>
      <c r="B242" s="1294" t="s">
        <v>2706</v>
      </c>
      <c r="C242" s="1294" t="s">
        <v>1680</v>
      </c>
      <c r="D242" s="1295">
        <v>43654</v>
      </c>
      <c r="E242" s="1295">
        <v>43654</v>
      </c>
      <c r="F242" s="1294" t="s">
        <v>2418</v>
      </c>
      <c r="G242" s="1294" t="s">
        <v>2434</v>
      </c>
      <c r="H242" s="1294" t="s">
        <v>262</v>
      </c>
      <c r="I242" s="1294" t="s">
        <v>1209</v>
      </c>
      <c r="J242" s="1294" t="s">
        <v>2431</v>
      </c>
      <c r="K242" s="1294" t="s">
        <v>2422</v>
      </c>
      <c r="L242" s="1294" t="s">
        <v>2432</v>
      </c>
      <c r="M242" s="1294" t="s">
        <v>711</v>
      </c>
      <c r="N242" s="1296" t="s">
        <v>113</v>
      </c>
    </row>
    <row r="243" spans="1:14" hidden="1" x14ac:dyDescent="0.3">
      <c r="A243" s="1293">
        <v>3005</v>
      </c>
      <c r="B243" s="1294" t="s">
        <v>2707</v>
      </c>
      <c r="C243" s="1294" t="s">
        <v>1680</v>
      </c>
      <c r="D243" s="1295">
        <v>44805</v>
      </c>
      <c r="E243" s="1295">
        <v>44805</v>
      </c>
      <c r="F243" s="1294" t="s">
        <v>2418</v>
      </c>
      <c r="G243" s="1294" t="s">
        <v>2434</v>
      </c>
      <c r="H243" s="1294" t="s">
        <v>262</v>
      </c>
      <c r="I243" s="1294" t="s">
        <v>1209</v>
      </c>
      <c r="J243" s="1294" t="s">
        <v>2431</v>
      </c>
      <c r="K243" s="1294" t="s">
        <v>2422</v>
      </c>
      <c r="L243" s="1294" t="s">
        <v>2432</v>
      </c>
      <c r="M243" s="1294" t="s">
        <v>711</v>
      </c>
      <c r="N243" s="1296" t="s">
        <v>113</v>
      </c>
    </row>
    <row r="244" spans="1:14" hidden="1" x14ac:dyDescent="0.3">
      <c r="A244" s="1293">
        <v>2950</v>
      </c>
      <c r="B244" s="1294" t="s">
        <v>2708</v>
      </c>
      <c r="C244" s="1294" t="s">
        <v>1681</v>
      </c>
      <c r="D244" s="1295">
        <v>44760</v>
      </c>
      <c r="E244" s="1295">
        <v>44760</v>
      </c>
      <c r="F244" s="1294" t="s">
        <v>2418</v>
      </c>
      <c r="G244" s="1294" t="s">
        <v>2419</v>
      </c>
      <c r="H244" s="1294" t="s">
        <v>262</v>
      </c>
      <c r="I244" s="1294" t="s">
        <v>1211</v>
      </c>
      <c r="J244" s="1294" t="s">
        <v>2421</v>
      </c>
      <c r="K244" s="1294" t="s">
        <v>2422</v>
      </c>
      <c r="L244" s="1294" t="s">
        <v>1353</v>
      </c>
      <c r="M244" s="1294" t="s">
        <v>711</v>
      </c>
      <c r="N244" s="1296" t="s">
        <v>114</v>
      </c>
    </row>
    <row r="245" spans="1:14" hidden="1" x14ac:dyDescent="0.3">
      <c r="A245" s="1293">
        <v>2489</v>
      </c>
      <c r="B245" s="1294" t="s">
        <v>2709</v>
      </c>
      <c r="C245" s="1294" t="s">
        <v>540</v>
      </c>
      <c r="D245" s="1295">
        <v>45327</v>
      </c>
      <c r="E245" s="1295">
        <v>44370</v>
      </c>
      <c r="F245" s="1294" t="s">
        <v>2418</v>
      </c>
      <c r="G245" s="1294" t="s">
        <v>2531</v>
      </c>
      <c r="H245" s="1294" t="s">
        <v>262</v>
      </c>
      <c r="I245" s="1294" t="s">
        <v>2543</v>
      </c>
      <c r="J245" s="1294" t="s">
        <v>2553</v>
      </c>
      <c r="K245" s="1294" t="s">
        <v>2459</v>
      </c>
      <c r="L245" s="1294" t="s">
        <v>1329</v>
      </c>
      <c r="M245" s="1294" t="s">
        <v>765</v>
      </c>
      <c r="N245" s="1296" t="s">
        <v>115</v>
      </c>
    </row>
    <row r="246" spans="1:14" hidden="1" x14ac:dyDescent="0.3">
      <c r="A246" s="1293">
        <v>2920</v>
      </c>
      <c r="B246" s="1294" t="s">
        <v>2710</v>
      </c>
      <c r="C246" s="1294" t="s">
        <v>1684</v>
      </c>
      <c r="D246" s="1295">
        <v>44725</v>
      </c>
      <c r="E246" s="1295">
        <v>44725</v>
      </c>
      <c r="F246" s="1294" t="s">
        <v>2418</v>
      </c>
      <c r="G246" s="1294" t="s">
        <v>2508</v>
      </c>
      <c r="H246" s="1294" t="s">
        <v>262</v>
      </c>
      <c r="I246" s="1294" t="s">
        <v>1211</v>
      </c>
      <c r="J246" s="1294" t="s">
        <v>1351</v>
      </c>
      <c r="K246" s="1294" t="s">
        <v>2422</v>
      </c>
      <c r="L246" s="1294" t="s">
        <v>1329</v>
      </c>
      <c r="M246" s="1294" t="s">
        <v>711</v>
      </c>
      <c r="N246" s="1296" t="s">
        <v>115</v>
      </c>
    </row>
    <row r="247" spans="1:14" hidden="1" x14ac:dyDescent="0.3">
      <c r="A247" s="1293">
        <v>3414</v>
      </c>
      <c r="B247" s="1294" t="s">
        <v>2711</v>
      </c>
      <c r="C247" s="1294" t="s">
        <v>1680</v>
      </c>
      <c r="D247" s="1295">
        <v>45621</v>
      </c>
      <c r="E247" s="1295">
        <v>45621</v>
      </c>
      <c r="F247" s="1294" t="s">
        <v>2418</v>
      </c>
      <c r="G247" s="1294" t="s">
        <v>2434</v>
      </c>
      <c r="H247" s="1294" t="s">
        <v>262</v>
      </c>
      <c r="I247" s="1294" t="s">
        <v>1213</v>
      </c>
      <c r="J247" s="1294" t="s">
        <v>2431</v>
      </c>
      <c r="K247" s="1294" t="s">
        <v>2422</v>
      </c>
      <c r="L247" s="1294" t="s">
        <v>2432</v>
      </c>
      <c r="M247" s="1294" t="s">
        <v>711</v>
      </c>
      <c r="N247" s="1296" t="s">
        <v>113</v>
      </c>
    </row>
    <row r="248" spans="1:14" hidden="1" x14ac:dyDescent="0.3">
      <c r="A248" s="1293">
        <v>1988</v>
      </c>
      <c r="B248" s="1294" t="s">
        <v>2712</v>
      </c>
      <c r="C248" s="1294" t="s">
        <v>1681</v>
      </c>
      <c r="D248" s="1295">
        <v>43549</v>
      </c>
      <c r="E248" s="1295">
        <v>43549</v>
      </c>
      <c r="F248" s="1294" t="s">
        <v>2418</v>
      </c>
      <c r="G248" s="1294" t="s">
        <v>2434</v>
      </c>
      <c r="H248" s="1294" t="s">
        <v>262</v>
      </c>
      <c r="I248" s="1294" t="s">
        <v>1209</v>
      </c>
      <c r="J248" s="1294" t="s">
        <v>2421</v>
      </c>
      <c r="K248" s="1294" t="s">
        <v>2422</v>
      </c>
      <c r="L248" s="1294" t="s">
        <v>1353</v>
      </c>
      <c r="M248" s="1294" t="s">
        <v>711</v>
      </c>
      <c r="N248" s="1296" t="s">
        <v>114</v>
      </c>
    </row>
    <row r="249" spans="1:14" hidden="1" x14ac:dyDescent="0.3">
      <c r="A249" s="1293">
        <v>1662</v>
      </c>
      <c r="B249" s="1294" t="s">
        <v>2713</v>
      </c>
      <c r="C249" s="1294" t="s">
        <v>721</v>
      </c>
      <c r="D249" s="1295">
        <v>42982</v>
      </c>
      <c r="E249" s="1295">
        <v>42982</v>
      </c>
      <c r="F249" s="1294" t="s">
        <v>2418</v>
      </c>
      <c r="G249" s="1294" t="s">
        <v>2419</v>
      </c>
      <c r="H249" s="1294" t="s">
        <v>262</v>
      </c>
      <c r="I249" s="1294" t="s">
        <v>1209</v>
      </c>
      <c r="J249" s="1294" t="s">
        <v>1333</v>
      </c>
      <c r="K249" s="1294" t="s">
        <v>2422</v>
      </c>
      <c r="L249" s="1294" t="s">
        <v>1376</v>
      </c>
      <c r="M249" s="1294" t="s">
        <v>711</v>
      </c>
      <c r="N249" s="1296" t="s">
        <v>116</v>
      </c>
    </row>
    <row r="250" spans="1:14" hidden="1" x14ac:dyDescent="0.3">
      <c r="A250" s="1293">
        <v>2375</v>
      </c>
      <c r="B250" s="1294" t="s">
        <v>2714</v>
      </c>
      <c r="C250" s="1294" t="s">
        <v>1681</v>
      </c>
      <c r="D250" s="1295">
        <v>44287</v>
      </c>
      <c r="E250" s="1295">
        <v>44287</v>
      </c>
      <c r="F250" s="1294" t="s">
        <v>2418</v>
      </c>
      <c r="G250" s="1294" t="s">
        <v>2434</v>
      </c>
      <c r="H250" s="1294" t="s">
        <v>262</v>
      </c>
      <c r="I250" s="1294" t="s">
        <v>1211</v>
      </c>
      <c r="J250" s="1294" t="s">
        <v>2427</v>
      </c>
      <c r="K250" s="1294" t="s">
        <v>2422</v>
      </c>
      <c r="L250" s="1294" t="s">
        <v>1350</v>
      </c>
      <c r="M250" s="1294" t="s">
        <v>711</v>
      </c>
      <c r="N250" s="1296" t="s">
        <v>114</v>
      </c>
    </row>
    <row r="251" spans="1:14" hidden="1" x14ac:dyDescent="0.3">
      <c r="A251" s="1293">
        <v>3388</v>
      </c>
      <c r="B251" s="1294" t="s">
        <v>2715</v>
      </c>
      <c r="C251" s="1294" t="s">
        <v>1680</v>
      </c>
      <c r="D251" s="1295">
        <v>45579</v>
      </c>
      <c r="E251" s="1295">
        <v>45579</v>
      </c>
      <c r="F251" s="1294" t="s">
        <v>2418</v>
      </c>
      <c r="G251" s="1294" t="s">
        <v>2434</v>
      </c>
      <c r="H251" s="1294" t="s">
        <v>262</v>
      </c>
      <c r="I251" s="1294" t="s">
        <v>1212</v>
      </c>
      <c r="J251" s="1294" t="s">
        <v>2431</v>
      </c>
      <c r="K251" s="1294" t="s">
        <v>2422</v>
      </c>
      <c r="L251" s="1294" t="s">
        <v>2432</v>
      </c>
      <c r="M251" s="1294" t="s">
        <v>711</v>
      </c>
      <c r="N251" s="1296" t="s">
        <v>113</v>
      </c>
    </row>
    <row r="252" spans="1:14" hidden="1" x14ac:dyDescent="0.3">
      <c r="A252" s="1293">
        <v>2361</v>
      </c>
      <c r="B252" s="1294" t="s">
        <v>2716</v>
      </c>
      <c r="C252" s="1294" t="s">
        <v>1680</v>
      </c>
      <c r="D252" s="1295">
        <v>44272</v>
      </c>
      <c r="E252" s="1295">
        <v>44272</v>
      </c>
      <c r="F252" s="1294" t="s">
        <v>2418</v>
      </c>
      <c r="G252" s="1294" t="s">
        <v>2419</v>
      </c>
      <c r="H252" s="1294" t="s">
        <v>262</v>
      </c>
      <c r="I252" s="1294" t="s">
        <v>1209</v>
      </c>
      <c r="J252" s="1294" t="s">
        <v>2431</v>
      </c>
      <c r="K252" s="1294" t="s">
        <v>2422</v>
      </c>
      <c r="L252" s="1294" t="s">
        <v>2432</v>
      </c>
      <c r="M252" s="1294" t="s">
        <v>711</v>
      </c>
      <c r="N252" s="1296" t="s">
        <v>113</v>
      </c>
    </row>
    <row r="253" spans="1:14" hidden="1" x14ac:dyDescent="0.3">
      <c r="A253" s="1293">
        <v>2293</v>
      </c>
      <c r="B253" s="1294" t="s">
        <v>2717</v>
      </c>
      <c r="C253" s="1294" t="s">
        <v>1681</v>
      </c>
      <c r="D253" s="1295">
        <v>44200</v>
      </c>
      <c r="E253" s="1295">
        <v>44200</v>
      </c>
      <c r="F253" s="1294" t="s">
        <v>2418</v>
      </c>
      <c r="G253" s="1294" t="s">
        <v>2434</v>
      </c>
      <c r="H253" s="1294" t="s">
        <v>262</v>
      </c>
      <c r="I253" s="1294" t="s">
        <v>1211</v>
      </c>
      <c r="J253" s="1294" t="s">
        <v>2421</v>
      </c>
      <c r="K253" s="1294" t="s">
        <v>2422</v>
      </c>
      <c r="L253" s="1294" t="s">
        <v>1353</v>
      </c>
      <c r="M253" s="1294" t="s">
        <v>711</v>
      </c>
      <c r="N253" s="1296" t="s">
        <v>114</v>
      </c>
    </row>
    <row r="254" spans="1:14" hidden="1" x14ac:dyDescent="0.3">
      <c r="A254" s="1293">
        <v>1611</v>
      </c>
      <c r="B254" s="1294" t="s">
        <v>2718</v>
      </c>
      <c r="C254" s="1294" t="s">
        <v>1711</v>
      </c>
      <c r="D254" s="1295">
        <v>42919</v>
      </c>
      <c r="E254" s="1295">
        <v>42919</v>
      </c>
      <c r="F254" s="1294" t="s">
        <v>2418</v>
      </c>
      <c r="G254" s="1294" t="s">
        <v>2419</v>
      </c>
      <c r="H254" s="1294" t="s">
        <v>262</v>
      </c>
      <c r="I254" s="1294" t="s">
        <v>1208</v>
      </c>
      <c r="J254" s="1294" t="s">
        <v>1396</v>
      </c>
      <c r="K254" s="1294" t="s">
        <v>2422</v>
      </c>
      <c r="L254" s="1294" t="s">
        <v>1332</v>
      </c>
      <c r="M254" s="1294" t="s">
        <v>716</v>
      </c>
      <c r="N254" s="1296" t="s">
        <v>115</v>
      </c>
    </row>
    <row r="255" spans="1:14" hidden="1" x14ac:dyDescent="0.3">
      <c r="A255" s="1293">
        <v>1723</v>
      </c>
      <c r="B255" s="1294" t="s">
        <v>2719</v>
      </c>
      <c r="C255" s="1294" t="s">
        <v>1680</v>
      </c>
      <c r="D255" s="1295">
        <v>43132</v>
      </c>
      <c r="E255" s="1295">
        <v>43132</v>
      </c>
      <c r="F255" s="1294" t="s">
        <v>2418</v>
      </c>
      <c r="G255" s="1294" t="s">
        <v>2419</v>
      </c>
      <c r="H255" s="1294" t="s">
        <v>262</v>
      </c>
      <c r="I255" s="1294" t="s">
        <v>1211</v>
      </c>
      <c r="J255" s="1294" t="s">
        <v>2431</v>
      </c>
      <c r="K255" s="1294" t="s">
        <v>2422</v>
      </c>
      <c r="L255" s="1294" t="s">
        <v>2432</v>
      </c>
      <c r="M255" s="1294" t="s">
        <v>711</v>
      </c>
      <c r="N255" s="1296" t="s">
        <v>113</v>
      </c>
    </row>
    <row r="256" spans="1:14" hidden="1" x14ac:dyDescent="0.3">
      <c r="A256" s="1293">
        <v>2810</v>
      </c>
      <c r="B256" s="1294" t="s">
        <v>2720</v>
      </c>
      <c r="C256" s="1294" t="s">
        <v>1681</v>
      </c>
      <c r="D256" s="1295">
        <v>44608</v>
      </c>
      <c r="E256" s="1295">
        <v>44608</v>
      </c>
      <c r="F256" s="1294" t="s">
        <v>2418</v>
      </c>
      <c r="G256" s="1294" t="s">
        <v>2508</v>
      </c>
      <c r="H256" s="1294" t="s">
        <v>262</v>
      </c>
      <c r="I256" s="1294" t="s">
        <v>1211</v>
      </c>
      <c r="J256" s="1294" t="s">
        <v>2427</v>
      </c>
      <c r="K256" s="1294" t="s">
        <v>2422</v>
      </c>
      <c r="L256" s="1294" t="s">
        <v>1350</v>
      </c>
      <c r="M256" s="1294" t="s">
        <v>711</v>
      </c>
      <c r="N256" s="1296" t="s">
        <v>114</v>
      </c>
    </row>
    <row r="257" spans="1:14" hidden="1" x14ac:dyDescent="0.3">
      <c r="A257" s="1293">
        <v>2991</v>
      </c>
      <c r="B257" s="1294" t="s">
        <v>2721</v>
      </c>
      <c r="C257" s="1294" t="s">
        <v>2451</v>
      </c>
      <c r="D257" s="1295">
        <v>44791</v>
      </c>
      <c r="E257" s="1295">
        <v>44791</v>
      </c>
      <c r="F257" s="1294" t="s">
        <v>2418</v>
      </c>
      <c r="G257" s="1294" t="s">
        <v>2419</v>
      </c>
      <c r="H257" s="1294" t="s">
        <v>262</v>
      </c>
      <c r="I257" s="1294" t="s">
        <v>1207</v>
      </c>
      <c r="J257" s="1294" t="s">
        <v>2449</v>
      </c>
      <c r="K257" s="1294" t="s">
        <v>2422</v>
      </c>
      <c r="L257" s="1294" t="s">
        <v>2450</v>
      </c>
      <c r="M257" s="1294" t="s">
        <v>711</v>
      </c>
      <c r="N257" s="1296" t="s">
        <v>2452</v>
      </c>
    </row>
    <row r="258" spans="1:14" hidden="1" x14ac:dyDescent="0.3">
      <c r="A258" s="1293">
        <v>1977</v>
      </c>
      <c r="B258" s="1294" t="s">
        <v>2722</v>
      </c>
      <c r="C258" s="1294" t="s">
        <v>1680</v>
      </c>
      <c r="D258" s="1295">
        <v>43542</v>
      </c>
      <c r="E258" s="1295">
        <v>43542</v>
      </c>
      <c r="F258" s="1294" t="s">
        <v>2418</v>
      </c>
      <c r="G258" s="1294" t="s">
        <v>2419</v>
      </c>
      <c r="H258" s="1294" t="s">
        <v>262</v>
      </c>
      <c r="I258" s="1294" t="s">
        <v>1209</v>
      </c>
      <c r="J258" s="1294" t="s">
        <v>2431</v>
      </c>
      <c r="K258" s="1294" t="s">
        <v>2422</v>
      </c>
      <c r="L258" s="1294" t="s">
        <v>2432</v>
      </c>
      <c r="M258" s="1294" t="s">
        <v>711</v>
      </c>
      <c r="N258" s="1296" t="s">
        <v>113</v>
      </c>
    </row>
    <row r="259" spans="1:14" hidden="1" x14ac:dyDescent="0.3">
      <c r="A259" s="1293">
        <v>2863</v>
      </c>
      <c r="B259" s="1294" t="s">
        <v>2723</v>
      </c>
      <c r="C259" s="1294" t="s">
        <v>1680</v>
      </c>
      <c r="D259" s="1295">
        <v>44655</v>
      </c>
      <c r="E259" s="1295">
        <v>44655</v>
      </c>
      <c r="F259" s="1294" t="s">
        <v>2418</v>
      </c>
      <c r="G259" s="1294" t="s">
        <v>2419</v>
      </c>
      <c r="H259" s="1294" t="s">
        <v>262</v>
      </c>
      <c r="I259" s="1294" t="s">
        <v>1209</v>
      </c>
      <c r="J259" s="1294" t="s">
        <v>2431</v>
      </c>
      <c r="K259" s="1294" t="s">
        <v>2422</v>
      </c>
      <c r="L259" s="1294" t="s">
        <v>2432</v>
      </c>
      <c r="M259" s="1294" t="s">
        <v>711</v>
      </c>
      <c r="N259" s="1296" t="s">
        <v>113</v>
      </c>
    </row>
    <row r="260" spans="1:14" hidden="1" x14ac:dyDescent="0.3">
      <c r="A260" s="1293">
        <v>2997</v>
      </c>
      <c r="B260" s="1294" t="s">
        <v>2724</v>
      </c>
      <c r="C260" s="1294" t="s">
        <v>2451</v>
      </c>
      <c r="D260" s="1295">
        <v>44791</v>
      </c>
      <c r="E260" s="1295">
        <v>44791</v>
      </c>
      <c r="F260" s="1294" t="s">
        <v>2418</v>
      </c>
      <c r="G260" s="1294" t="s">
        <v>2419</v>
      </c>
      <c r="H260" s="1294" t="s">
        <v>262</v>
      </c>
      <c r="I260" s="1294" t="s">
        <v>2536</v>
      </c>
      <c r="J260" s="1294" t="s">
        <v>2449</v>
      </c>
      <c r="K260" s="1294" t="s">
        <v>2422</v>
      </c>
      <c r="L260" s="1294" t="s">
        <v>2450</v>
      </c>
      <c r="M260" s="1294" t="s">
        <v>711</v>
      </c>
      <c r="N260" s="1296" t="s">
        <v>2452</v>
      </c>
    </row>
    <row r="261" spans="1:14" hidden="1" x14ac:dyDescent="0.3">
      <c r="A261" s="1293">
        <v>3069</v>
      </c>
      <c r="B261" s="1294" t="s">
        <v>2725</v>
      </c>
      <c r="C261" s="1294" t="s">
        <v>1680</v>
      </c>
      <c r="D261" s="1295">
        <v>44950</v>
      </c>
      <c r="E261" s="1295">
        <v>44950</v>
      </c>
      <c r="F261" s="1294" t="s">
        <v>2418</v>
      </c>
      <c r="G261" s="1294" t="s">
        <v>2434</v>
      </c>
      <c r="H261" s="1294" t="s">
        <v>262</v>
      </c>
      <c r="I261" s="1294" t="s">
        <v>1209</v>
      </c>
      <c r="J261" s="1294" t="s">
        <v>2431</v>
      </c>
      <c r="K261" s="1294" t="s">
        <v>2422</v>
      </c>
      <c r="L261" s="1294" t="s">
        <v>2432</v>
      </c>
      <c r="M261" s="1294" t="s">
        <v>711</v>
      </c>
      <c r="N261" s="1296" t="s">
        <v>113</v>
      </c>
    </row>
    <row r="262" spans="1:14" hidden="1" x14ac:dyDescent="0.3">
      <c r="A262" s="1293">
        <v>8354</v>
      </c>
      <c r="B262" s="1294" t="s">
        <v>2726</v>
      </c>
      <c r="C262" s="1294" t="s">
        <v>721</v>
      </c>
      <c r="D262" s="1295">
        <v>44207</v>
      </c>
      <c r="E262" s="1295">
        <v>44207</v>
      </c>
      <c r="F262" s="1294" t="s">
        <v>2418</v>
      </c>
      <c r="G262" s="1294" t="s">
        <v>2727</v>
      </c>
      <c r="H262" s="1294" t="s">
        <v>262</v>
      </c>
      <c r="I262" s="1294" t="s">
        <v>2728</v>
      </c>
      <c r="J262" s="1294" t="s">
        <v>2496</v>
      </c>
      <c r="K262" s="1294" t="s">
        <v>2459</v>
      </c>
      <c r="L262" s="1294" t="s">
        <v>1372</v>
      </c>
      <c r="M262" s="1294" t="s">
        <v>765</v>
      </c>
      <c r="N262" s="1296" t="s">
        <v>116</v>
      </c>
    </row>
    <row r="263" spans="1:14" hidden="1" x14ac:dyDescent="0.3">
      <c r="A263" s="1293">
        <v>2099</v>
      </c>
      <c r="B263" s="1294" t="s">
        <v>2729</v>
      </c>
      <c r="C263" s="1294" t="s">
        <v>1711</v>
      </c>
      <c r="D263" s="1295">
        <v>43747</v>
      </c>
      <c r="E263" s="1295">
        <v>43747</v>
      </c>
      <c r="F263" s="1294" t="s">
        <v>2418</v>
      </c>
      <c r="G263" s="1294" t="s">
        <v>2419</v>
      </c>
      <c r="H263" s="1294" t="s">
        <v>262</v>
      </c>
      <c r="I263" s="1294" t="s">
        <v>1208</v>
      </c>
      <c r="J263" s="1294" t="s">
        <v>1396</v>
      </c>
      <c r="K263" s="1294" t="s">
        <v>2422</v>
      </c>
      <c r="L263" s="1294" t="s">
        <v>1332</v>
      </c>
      <c r="M263" s="1294" t="s">
        <v>716</v>
      </c>
      <c r="N263" s="1296" t="s">
        <v>115</v>
      </c>
    </row>
    <row r="264" spans="1:14" hidden="1" x14ac:dyDescent="0.3">
      <c r="A264" s="1293">
        <v>3330</v>
      </c>
      <c r="B264" s="1294" t="s">
        <v>2730</v>
      </c>
      <c r="C264" s="1294" t="s">
        <v>1680</v>
      </c>
      <c r="D264" s="1295">
        <v>45343</v>
      </c>
      <c r="E264" s="1295">
        <v>45343</v>
      </c>
      <c r="F264" s="1294" t="s">
        <v>2418</v>
      </c>
      <c r="G264" s="1294" t="s">
        <v>2522</v>
      </c>
      <c r="H264" s="1294" t="s">
        <v>262</v>
      </c>
      <c r="I264" s="1294" t="s">
        <v>1211</v>
      </c>
      <c r="J264" s="1294" t="s">
        <v>2431</v>
      </c>
      <c r="K264" s="1294" t="s">
        <v>2422</v>
      </c>
      <c r="L264" s="1294" t="s">
        <v>2432</v>
      </c>
      <c r="M264" s="1294" t="s">
        <v>711</v>
      </c>
      <c r="N264" s="1296" t="s">
        <v>113</v>
      </c>
    </row>
    <row r="265" spans="1:14" hidden="1" x14ac:dyDescent="0.3">
      <c r="A265" s="1293">
        <v>2625</v>
      </c>
      <c r="B265" s="1294" t="s">
        <v>2731</v>
      </c>
      <c r="C265" s="1294" t="s">
        <v>1681</v>
      </c>
      <c r="D265" s="1295">
        <v>44447</v>
      </c>
      <c r="E265" s="1295">
        <v>44447</v>
      </c>
      <c r="F265" s="1294" t="s">
        <v>2418</v>
      </c>
      <c r="G265" s="1294" t="s">
        <v>2508</v>
      </c>
      <c r="H265" s="1294" t="s">
        <v>262</v>
      </c>
      <c r="I265" s="1294" t="s">
        <v>2536</v>
      </c>
      <c r="J265" s="1294" t="s">
        <v>2427</v>
      </c>
      <c r="K265" s="1294" t="s">
        <v>2422</v>
      </c>
      <c r="L265" s="1294" t="s">
        <v>1350</v>
      </c>
      <c r="M265" s="1294" t="s">
        <v>711</v>
      </c>
      <c r="N265" s="1296" t="s">
        <v>114</v>
      </c>
    </row>
    <row r="266" spans="1:14" hidden="1" x14ac:dyDescent="0.3">
      <c r="A266" s="1293">
        <v>1478</v>
      </c>
      <c r="B266" s="1294" t="s">
        <v>2732</v>
      </c>
      <c r="C266" s="1294" t="s">
        <v>1683</v>
      </c>
      <c r="D266" s="1295">
        <v>42457</v>
      </c>
      <c r="E266" s="1295">
        <v>42457</v>
      </c>
      <c r="F266" s="1294" t="s">
        <v>2418</v>
      </c>
      <c r="G266" s="1294" t="s">
        <v>2419</v>
      </c>
      <c r="H266" s="1294" t="s">
        <v>262</v>
      </c>
      <c r="I266" s="1294" t="s">
        <v>1212</v>
      </c>
      <c r="J266" s="1294" t="s">
        <v>1354</v>
      </c>
      <c r="K266" s="1294" t="s">
        <v>2422</v>
      </c>
      <c r="L266" s="1294" t="s">
        <v>1332</v>
      </c>
      <c r="M266" s="1294" t="s">
        <v>711</v>
      </c>
      <c r="N266" s="1296" t="s">
        <v>115</v>
      </c>
    </row>
    <row r="267" spans="1:14" hidden="1" x14ac:dyDescent="0.3">
      <c r="A267" s="1293">
        <v>3367</v>
      </c>
      <c r="B267" s="1294" t="s">
        <v>2733</v>
      </c>
      <c r="C267" s="1294" t="s">
        <v>1680</v>
      </c>
      <c r="D267" s="1295">
        <v>45481</v>
      </c>
      <c r="E267" s="1295">
        <v>45481</v>
      </c>
      <c r="F267" s="1294" t="s">
        <v>2418</v>
      </c>
      <c r="G267" s="1294" t="s">
        <v>2434</v>
      </c>
      <c r="H267" s="1294" t="s">
        <v>262</v>
      </c>
      <c r="I267" s="1294" t="s">
        <v>1211</v>
      </c>
      <c r="J267" s="1294" t="s">
        <v>2446</v>
      </c>
      <c r="K267" s="1294" t="s">
        <v>2422</v>
      </c>
      <c r="L267" s="1294" t="s">
        <v>2447</v>
      </c>
      <c r="M267" s="1294" t="s">
        <v>711</v>
      </c>
      <c r="N267" s="1296" t="s">
        <v>113</v>
      </c>
    </row>
    <row r="268" spans="1:14" hidden="1" x14ac:dyDescent="0.3">
      <c r="A268" s="1293">
        <v>8441</v>
      </c>
      <c r="B268" s="1294" t="s">
        <v>2734</v>
      </c>
      <c r="C268" s="1294" t="s">
        <v>538</v>
      </c>
      <c r="D268" s="1295">
        <v>44705</v>
      </c>
      <c r="E268" s="1295">
        <v>44705</v>
      </c>
      <c r="F268" s="1294" t="s">
        <v>2418</v>
      </c>
      <c r="G268" s="1294" t="s">
        <v>2538</v>
      </c>
      <c r="H268" s="1294" t="s">
        <v>262</v>
      </c>
      <c r="I268" s="1294" t="s">
        <v>1211</v>
      </c>
      <c r="J268" s="1294" t="s">
        <v>1354</v>
      </c>
      <c r="K268" s="1294" t="s">
        <v>330</v>
      </c>
      <c r="L268" s="1294" t="s">
        <v>1332</v>
      </c>
      <c r="M268" s="1294" t="s">
        <v>765</v>
      </c>
      <c r="N268" s="1296" t="s">
        <v>115</v>
      </c>
    </row>
    <row r="269" spans="1:14" hidden="1" x14ac:dyDescent="0.3">
      <c r="A269" s="1293">
        <v>1224</v>
      </c>
      <c r="B269" s="1294" t="s">
        <v>2735</v>
      </c>
      <c r="C269" s="1294" t="s">
        <v>1681</v>
      </c>
      <c r="D269" s="1295">
        <v>41078</v>
      </c>
      <c r="E269" s="1295">
        <v>41078</v>
      </c>
      <c r="F269" s="1294" t="s">
        <v>2418</v>
      </c>
      <c r="G269" s="1294" t="s">
        <v>2419</v>
      </c>
      <c r="H269" s="1294" t="s">
        <v>262</v>
      </c>
      <c r="I269" s="1294" t="s">
        <v>1209</v>
      </c>
      <c r="J269" s="1294" t="s">
        <v>2421</v>
      </c>
      <c r="K269" s="1294" t="s">
        <v>2422</v>
      </c>
      <c r="L269" s="1294" t="s">
        <v>1353</v>
      </c>
      <c r="M269" s="1294" t="s">
        <v>711</v>
      </c>
      <c r="N269" s="1296" t="s">
        <v>114</v>
      </c>
    </row>
    <row r="270" spans="1:14" hidden="1" x14ac:dyDescent="0.3">
      <c r="A270" s="1293">
        <v>1730</v>
      </c>
      <c r="B270" s="1294" t="s">
        <v>2736</v>
      </c>
      <c r="C270" s="1294" t="s">
        <v>1681</v>
      </c>
      <c r="D270" s="1295">
        <v>43132</v>
      </c>
      <c r="E270" s="1295">
        <v>43132</v>
      </c>
      <c r="F270" s="1294" t="s">
        <v>2418</v>
      </c>
      <c r="G270" s="1294" t="s">
        <v>2434</v>
      </c>
      <c r="H270" s="1294" t="s">
        <v>262</v>
      </c>
      <c r="I270" s="1294" t="s">
        <v>1209</v>
      </c>
      <c r="J270" s="1294" t="s">
        <v>2421</v>
      </c>
      <c r="K270" s="1294" t="s">
        <v>2422</v>
      </c>
      <c r="L270" s="1294" t="s">
        <v>1353</v>
      </c>
      <c r="M270" s="1294" t="s">
        <v>711</v>
      </c>
      <c r="N270" s="1296" t="s">
        <v>114</v>
      </c>
    </row>
    <row r="271" spans="1:14" hidden="1" x14ac:dyDescent="0.3">
      <c r="A271" s="1293">
        <v>2442</v>
      </c>
      <c r="B271" s="1294" t="s">
        <v>2737</v>
      </c>
      <c r="C271" s="1294" t="s">
        <v>1681</v>
      </c>
      <c r="D271" s="1295">
        <v>44333</v>
      </c>
      <c r="E271" s="1295">
        <v>44333</v>
      </c>
      <c r="F271" s="1294" t="s">
        <v>2418</v>
      </c>
      <c r="G271" s="1294" t="s">
        <v>2508</v>
      </c>
      <c r="H271" s="1294" t="s">
        <v>262</v>
      </c>
      <c r="I271" s="1294" t="s">
        <v>2543</v>
      </c>
      <c r="J271" s="1294" t="s">
        <v>2427</v>
      </c>
      <c r="K271" s="1294" t="s">
        <v>2422</v>
      </c>
      <c r="L271" s="1294" t="s">
        <v>1350</v>
      </c>
      <c r="M271" s="1294" t="s">
        <v>711</v>
      </c>
      <c r="N271" s="1296" t="s">
        <v>114</v>
      </c>
    </row>
    <row r="272" spans="1:14" hidden="1" x14ac:dyDescent="0.3">
      <c r="A272" s="1293">
        <v>3216</v>
      </c>
      <c r="B272" s="1294" t="s">
        <v>2738</v>
      </c>
      <c r="C272" s="1294" t="s">
        <v>1680</v>
      </c>
      <c r="D272" s="1295">
        <v>45145</v>
      </c>
      <c r="E272" s="1295">
        <v>45145</v>
      </c>
      <c r="F272" s="1294" t="s">
        <v>2418</v>
      </c>
      <c r="G272" s="1294" t="s">
        <v>2419</v>
      </c>
      <c r="H272" s="1294" t="s">
        <v>262</v>
      </c>
      <c r="I272" s="1294" t="s">
        <v>2536</v>
      </c>
      <c r="J272" s="1294" t="s">
        <v>2446</v>
      </c>
      <c r="K272" s="1294" t="s">
        <v>2422</v>
      </c>
      <c r="L272" s="1294" t="s">
        <v>2447</v>
      </c>
      <c r="M272" s="1294" t="s">
        <v>711</v>
      </c>
      <c r="N272" s="1296" t="s">
        <v>113</v>
      </c>
    </row>
    <row r="273" spans="1:14" hidden="1" x14ac:dyDescent="0.3">
      <c r="A273" s="1293">
        <v>3421</v>
      </c>
      <c r="B273" s="1294" t="s">
        <v>2739</v>
      </c>
      <c r="C273" s="1294" t="s">
        <v>1684</v>
      </c>
      <c r="D273" s="1295">
        <v>45656</v>
      </c>
      <c r="E273" s="1295">
        <v>45656</v>
      </c>
      <c r="F273" s="1294" t="s">
        <v>2418</v>
      </c>
      <c r="G273" s="1294" t="s">
        <v>2419</v>
      </c>
      <c r="H273" s="1294" t="s">
        <v>262</v>
      </c>
      <c r="I273" s="1294" t="s">
        <v>1212</v>
      </c>
      <c r="J273" s="1294" t="s">
        <v>2553</v>
      </c>
      <c r="K273" s="1294" t="s">
        <v>2422</v>
      </c>
      <c r="L273" s="1294" t="s">
        <v>1329</v>
      </c>
      <c r="M273" s="1294" t="s">
        <v>711</v>
      </c>
      <c r="N273" s="1296" t="s">
        <v>115</v>
      </c>
    </row>
    <row r="274" spans="1:14" hidden="1" x14ac:dyDescent="0.3">
      <c r="A274" s="1293">
        <v>3048</v>
      </c>
      <c r="B274" s="1294" t="s">
        <v>2740</v>
      </c>
      <c r="C274" s="1294" t="s">
        <v>1680</v>
      </c>
      <c r="D274" s="1295">
        <v>44900</v>
      </c>
      <c r="E274" s="1295">
        <v>44900</v>
      </c>
      <c r="F274" s="1294" t="s">
        <v>2418</v>
      </c>
      <c r="G274" s="1294" t="s">
        <v>2419</v>
      </c>
      <c r="H274" s="1294" t="s">
        <v>262</v>
      </c>
      <c r="I274" s="1294" t="s">
        <v>1209</v>
      </c>
      <c r="J274" s="1294" t="s">
        <v>2431</v>
      </c>
      <c r="K274" s="1294" t="s">
        <v>2422</v>
      </c>
      <c r="L274" s="1294" t="s">
        <v>2432</v>
      </c>
      <c r="M274" s="1294" t="s">
        <v>711</v>
      </c>
      <c r="N274" s="1296" t="s">
        <v>113</v>
      </c>
    </row>
    <row r="275" spans="1:14" hidden="1" x14ac:dyDescent="0.3">
      <c r="A275" s="1293">
        <v>2843</v>
      </c>
      <c r="B275" s="1294" t="s">
        <v>2741</v>
      </c>
      <c r="C275" s="1294" t="s">
        <v>2474</v>
      </c>
      <c r="D275" s="1295">
        <v>44637</v>
      </c>
      <c r="E275" s="1295">
        <v>44637</v>
      </c>
      <c r="F275" s="1294" t="s">
        <v>2418</v>
      </c>
      <c r="G275" s="1294" t="s">
        <v>2419</v>
      </c>
      <c r="H275" s="1294" t="s">
        <v>262</v>
      </c>
      <c r="I275" s="1294" t="s">
        <v>1208</v>
      </c>
      <c r="J275" s="1294" t="s">
        <v>2446</v>
      </c>
      <c r="K275" s="1294" t="s">
        <v>2422</v>
      </c>
      <c r="L275" s="1294" t="s">
        <v>2447</v>
      </c>
      <c r="M275" s="1294" t="s">
        <v>716</v>
      </c>
      <c r="N275" s="1296" t="s">
        <v>113</v>
      </c>
    </row>
    <row r="276" spans="1:14" hidden="1" x14ac:dyDescent="0.3">
      <c r="A276" s="1293">
        <v>2074</v>
      </c>
      <c r="B276" s="1294" t="s">
        <v>2742</v>
      </c>
      <c r="C276" s="1294" t="s">
        <v>1684</v>
      </c>
      <c r="D276" s="1295">
        <v>43664</v>
      </c>
      <c r="E276" s="1295">
        <v>43664</v>
      </c>
      <c r="F276" s="1294" t="s">
        <v>2418</v>
      </c>
      <c r="G276" s="1294" t="s">
        <v>2419</v>
      </c>
      <c r="H276" s="1294" t="s">
        <v>262</v>
      </c>
      <c r="I276" s="1294" t="s">
        <v>1211</v>
      </c>
      <c r="J276" s="1294" t="s">
        <v>2601</v>
      </c>
      <c r="K276" s="1294" t="s">
        <v>2422</v>
      </c>
      <c r="L276" s="1294" t="s">
        <v>1376</v>
      </c>
      <c r="M276" s="1294" t="s">
        <v>711</v>
      </c>
      <c r="N276" s="1296" t="s">
        <v>116</v>
      </c>
    </row>
    <row r="277" spans="1:14" hidden="1" x14ac:dyDescent="0.3">
      <c r="A277" s="1293">
        <v>2535</v>
      </c>
      <c r="B277" s="1294" t="s">
        <v>2743</v>
      </c>
      <c r="C277" s="1294" t="s">
        <v>1681</v>
      </c>
      <c r="D277" s="1295">
        <v>44417</v>
      </c>
      <c r="E277" s="1295">
        <v>44417</v>
      </c>
      <c r="F277" s="1294" t="s">
        <v>2418</v>
      </c>
      <c r="G277" s="1294" t="s">
        <v>2434</v>
      </c>
      <c r="H277" s="1294" t="s">
        <v>262</v>
      </c>
      <c r="I277" s="1294" t="s">
        <v>1211</v>
      </c>
      <c r="J277" s="1294" t="s">
        <v>2421</v>
      </c>
      <c r="K277" s="1294" t="s">
        <v>2422</v>
      </c>
      <c r="L277" s="1294" t="s">
        <v>1353</v>
      </c>
      <c r="M277" s="1294" t="s">
        <v>711</v>
      </c>
      <c r="N277" s="1296" t="s">
        <v>114</v>
      </c>
    </row>
    <row r="278" spans="1:14" hidden="1" x14ac:dyDescent="0.3">
      <c r="A278" s="1293">
        <v>3049</v>
      </c>
      <c r="B278" s="1294" t="s">
        <v>2744</v>
      </c>
      <c r="C278" s="1294" t="s">
        <v>2474</v>
      </c>
      <c r="D278" s="1295">
        <v>44900</v>
      </c>
      <c r="E278" s="1295">
        <v>44900</v>
      </c>
      <c r="F278" s="1294" t="s">
        <v>2418</v>
      </c>
      <c r="G278" s="1294" t="s">
        <v>2419</v>
      </c>
      <c r="H278" s="1294" t="s">
        <v>262</v>
      </c>
      <c r="I278" s="1294" t="s">
        <v>1208</v>
      </c>
      <c r="J278" s="1294" t="s">
        <v>2431</v>
      </c>
      <c r="K278" s="1294" t="s">
        <v>2422</v>
      </c>
      <c r="L278" s="1294" t="s">
        <v>2432</v>
      </c>
      <c r="M278" s="1294" t="s">
        <v>716</v>
      </c>
      <c r="N278" s="1296" t="s">
        <v>113</v>
      </c>
    </row>
    <row r="279" spans="1:14" hidden="1" x14ac:dyDescent="0.3">
      <c r="A279" s="1293">
        <v>3028</v>
      </c>
      <c r="B279" s="1294" t="s">
        <v>2745</v>
      </c>
      <c r="C279" s="1294" t="s">
        <v>1680</v>
      </c>
      <c r="D279" s="1295">
        <v>44862</v>
      </c>
      <c r="E279" s="1295">
        <v>44862</v>
      </c>
      <c r="F279" s="1294" t="s">
        <v>2418</v>
      </c>
      <c r="G279" s="1294" t="s">
        <v>2419</v>
      </c>
      <c r="H279" s="1294" t="s">
        <v>262</v>
      </c>
      <c r="I279" s="1294" t="s">
        <v>1209</v>
      </c>
      <c r="J279" s="1294" t="s">
        <v>2431</v>
      </c>
      <c r="K279" s="1294" t="s">
        <v>2422</v>
      </c>
      <c r="L279" s="1294" t="s">
        <v>2432</v>
      </c>
      <c r="M279" s="1294" t="s">
        <v>711</v>
      </c>
      <c r="N279" s="1296" t="s">
        <v>113</v>
      </c>
    </row>
    <row r="280" spans="1:14" hidden="1" x14ac:dyDescent="0.3">
      <c r="A280" s="1293">
        <v>1856</v>
      </c>
      <c r="B280" s="1294" t="s">
        <v>2746</v>
      </c>
      <c r="C280" s="1294" t="s">
        <v>2474</v>
      </c>
      <c r="D280" s="1295">
        <v>43367</v>
      </c>
      <c r="E280" s="1295">
        <v>43367</v>
      </c>
      <c r="F280" s="1294" t="s">
        <v>2418</v>
      </c>
      <c r="G280" s="1294" t="s">
        <v>2419</v>
      </c>
      <c r="H280" s="1294" t="s">
        <v>262</v>
      </c>
      <c r="I280" s="1294" t="s">
        <v>1208</v>
      </c>
      <c r="J280" s="1294" t="s">
        <v>2431</v>
      </c>
      <c r="K280" s="1294" t="s">
        <v>2422</v>
      </c>
      <c r="L280" s="1294" t="s">
        <v>2432</v>
      </c>
      <c r="M280" s="1294" t="s">
        <v>716</v>
      </c>
      <c r="N280" s="1296" t="s">
        <v>113</v>
      </c>
    </row>
    <row r="281" spans="1:14" hidden="1" x14ac:dyDescent="0.3">
      <c r="A281" s="1293">
        <v>2973</v>
      </c>
      <c r="B281" s="1294" t="s">
        <v>2747</v>
      </c>
      <c r="C281" s="1294" t="s">
        <v>2451</v>
      </c>
      <c r="D281" s="1295">
        <v>44791</v>
      </c>
      <c r="E281" s="1295">
        <v>44791</v>
      </c>
      <c r="F281" s="1294" t="s">
        <v>2418</v>
      </c>
      <c r="G281" s="1294" t="s">
        <v>2419</v>
      </c>
      <c r="H281" s="1294" t="s">
        <v>262</v>
      </c>
      <c r="I281" s="1294" t="s">
        <v>2536</v>
      </c>
      <c r="J281" s="1294" t="s">
        <v>2449</v>
      </c>
      <c r="K281" s="1294" t="s">
        <v>2422</v>
      </c>
      <c r="L281" s="1294" t="s">
        <v>2450</v>
      </c>
      <c r="M281" s="1294" t="s">
        <v>711</v>
      </c>
      <c r="N281" s="1296" t="s">
        <v>2452</v>
      </c>
    </row>
    <row r="282" spans="1:14" hidden="1" x14ac:dyDescent="0.3">
      <c r="A282" s="1293">
        <v>1017</v>
      </c>
      <c r="B282" s="1294" t="s">
        <v>2748</v>
      </c>
      <c r="C282" s="1294" t="s">
        <v>1710</v>
      </c>
      <c r="D282" s="1295">
        <v>39531</v>
      </c>
      <c r="E282" s="1295">
        <v>39531</v>
      </c>
      <c r="F282" s="1294" t="s">
        <v>2418</v>
      </c>
      <c r="G282" s="1294" t="s">
        <v>2419</v>
      </c>
      <c r="H282" s="1294" t="s">
        <v>262</v>
      </c>
      <c r="I282" s="1294" t="s">
        <v>1208</v>
      </c>
      <c r="J282" s="1294" t="s">
        <v>2425</v>
      </c>
      <c r="K282" s="1294" t="s">
        <v>2422</v>
      </c>
      <c r="L282" s="1294" t="s">
        <v>1350</v>
      </c>
      <c r="M282" s="1294" t="s">
        <v>716</v>
      </c>
      <c r="N282" s="1296" t="s">
        <v>114</v>
      </c>
    </row>
    <row r="283" spans="1:14" hidden="1" x14ac:dyDescent="0.3">
      <c r="A283" s="1293">
        <v>2364</v>
      </c>
      <c r="B283" s="1294" t="s">
        <v>2749</v>
      </c>
      <c r="C283" s="1294" t="s">
        <v>2474</v>
      </c>
      <c r="D283" s="1295">
        <v>44277</v>
      </c>
      <c r="E283" s="1295">
        <v>44277</v>
      </c>
      <c r="F283" s="1294" t="s">
        <v>2418</v>
      </c>
      <c r="G283" s="1294" t="s">
        <v>2419</v>
      </c>
      <c r="H283" s="1294" t="s">
        <v>262</v>
      </c>
      <c r="I283" s="1294" t="s">
        <v>1208</v>
      </c>
      <c r="J283" s="1294" t="s">
        <v>2431</v>
      </c>
      <c r="K283" s="1294" t="s">
        <v>2422</v>
      </c>
      <c r="L283" s="1294" t="s">
        <v>2432</v>
      </c>
      <c r="M283" s="1294" t="s">
        <v>716</v>
      </c>
      <c r="N283" s="1296" t="s">
        <v>113</v>
      </c>
    </row>
    <row r="284" spans="1:14" hidden="1" x14ac:dyDescent="0.3">
      <c r="A284" s="1293">
        <v>3373</v>
      </c>
      <c r="B284" s="1294" t="s">
        <v>2750</v>
      </c>
      <c r="C284" s="1294" t="s">
        <v>1680</v>
      </c>
      <c r="D284" s="1295">
        <v>45512</v>
      </c>
      <c r="E284" s="1295">
        <v>45512</v>
      </c>
      <c r="F284" s="1294" t="s">
        <v>2418</v>
      </c>
      <c r="G284" s="1294" t="s">
        <v>2508</v>
      </c>
      <c r="H284" s="1294" t="s">
        <v>262</v>
      </c>
      <c r="I284" s="1294" t="s">
        <v>1211</v>
      </c>
      <c r="J284" s="1294" t="s">
        <v>2431</v>
      </c>
      <c r="K284" s="1294" t="s">
        <v>2422</v>
      </c>
      <c r="L284" s="1294" t="s">
        <v>2432</v>
      </c>
      <c r="M284" s="1294" t="s">
        <v>711</v>
      </c>
      <c r="N284" s="1296" t="s">
        <v>113</v>
      </c>
    </row>
    <row r="285" spans="1:14" hidden="1" x14ac:dyDescent="0.3">
      <c r="A285" s="1293">
        <v>3195</v>
      </c>
      <c r="B285" s="1294" t="s">
        <v>2751</v>
      </c>
      <c r="C285" s="1294" t="s">
        <v>2474</v>
      </c>
      <c r="D285" s="1295">
        <v>45075</v>
      </c>
      <c r="E285" s="1295">
        <v>45075</v>
      </c>
      <c r="F285" s="1294" t="s">
        <v>2418</v>
      </c>
      <c r="G285" s="1294" t="s">
        <v>2419</v>
      </c>
      <c r="H285" s="1294" t="s">
        <v>262</v>
      </c>
      <c r="I285" s="1294" t="s">
        <v>1208</v>
      </c>
      <c r="J285" s="1294" t="s">
        <v>2431</v>
      </c>
      <c r="K285" s="1294" t="s">
        <v>2422</v>
      </c>
      <c r="L285" s="1294" t="s">
        <v>2432</v>
      </c>
      <c r="M285" s="1294" t="s">
        <v>716</v>
      </c>
      <c r="N285" s="1296" t="s">
        <v>113</v>
      </c>
    </row>
    <row r="286" spans="1:14" hidden="1" x14ac:dyDescent="0.3">
      <c r="A286" s="1293">
        <v>2634</v>
      </c>
      <c r="B286" s="1294" t="s">
        <v>2752</v>
      </c>
      <c r="C286" s="1294" t="s">
        <v>1683</v>
      </c>
      <c r="D286" s="1295">
        <v>44456</v>
      </c>
      <c r="E286" s="1295">
        <v>44456</v>
      </c>
      <c r="F286" s="1294" t="s">
        <v>2418</v>
      </c>
      <c r="G286" s="1294" t="s">
        <v>2434</v>
      </c>
      <c r="H286" s="1294" t="s">
        <v>262</v>
      </c>
      <c r="I286" s="1294" t="s">
        <v>1211</v>
      </c>
      <c r="J286" s="1294" t="s">
        <v>1354</v>
      </c>
      <c r="K286" s="1294" t="s">
        <v>2422</v>
      </c>
      <c r="L286" s="1294" t="s">
        <v>1332</v>
      </c>
      <c r="M286" s="1294" t="s">
        <v>711</v>
      </c>
      <c r="N286" s="1296" t="s">
        <v>115</v>
      </c>
    </row>
    <row r="287" spans="1:14" hidden="1" x14ac:dyDescent="0.3">
      <c r="A287" s="1293">
        <v>2963</v>
      </c>
      <c r="B287" s="1294" t="s">
        <v>2753</v>
      </c>
      <c r="C287" s="1294" t="s">
        <v>2451</v>
      </c>
      <c r="D287" s="1295">
        <v>44791</v>
      </c>
      <c r="E287" s="1295">
        <v>44791</v>
      </c>
      <c r="F287" s="1294" t="s">
        <v>2418</v>
      </c>
      <c r="G287" s="1294" t="s">
        <v>2419</v>
      </c>
      <c r="H287" s="1294" t="s">
        <v>262</v>
      </c>
      <c r="I287" s="1294" t="s">
        <v>1207</v>
      </c>
      <c r="J287" s="1294" t="s">
        <v>2449</v>
      </c>
      <c r="K287" s="1294" t="s">
        <v>2422</v>
      </c>
      <c r="L287" s="1294" t="s">
        <v>2450</v>
      </c>
      <c r="M287" s="1294" t="s">
        <v>711</v>
      </c>
      <c r="N287" s="1296" t="s">
        <v>2452</v>
      </c>
    </row>
    <row r="288" spans="1:14" hidden="1" x14ac:dyDescent="0.3">
      <c r="A288" s="1293">
        <v>3346</v>
      </c>
      <c r="B288" s="1294" t="s">
        <v>2754</v>
      </c>
      <c r="C288" s="1294" t="s">
        <v>1683</v>
      </c>
      <c r="D288" s="1295">
        <v>45401</v>
      </c>
      <c r="E288" s="1295">
        <v>45401</v>
      </c>
      <c r="F288" s="1294" t="s">
        <v>2418</v>
      </c>
      <c r="G288" s="1294" t="s">
        <v>2514</v>
      </c>
      <c r="H288" s="1294" t="s">
        <v>262</v>
      </c>
      <c r="I288" s="1294" t="s">
        <v>2536</v>
      </c>
      <c r="J288" s="1294" t="s">
        <v>1354</v>
      </c>
      <c r="K288" s="1294" t="s">
        <v>2422</v>
      </c>
      <c r="L288" s="1294" t="s">
        <v>1332</v>
      </c>
      <c r="M288" s="1294" t="s">
        <v>711</v>
      </c>
      <c r="N288" s="1296" t="s">
        <v>115</v>
      </c>
    </row>
    <row r="289" spans="1:14" hidden="1" x14ac:dyDescent="0.3">
      <c r="A289" s="1293">
        <v>2118</v>
      </c>
      <c r="B289" s="1294" t="s">
        <v>2755</v>
      </c>
      <c r="C289" s="1294" t="s">
        <v>2474</v>
      </c>
      <c r="D289" s="1295">
        <v>43787</v>
      </c>
      <c r="E289" s="1295">
        <v>43787</v>
      </c>
      <c r="F289" s="1294" t="s">
        <v>2418</v>
      </c>
      <c r="G289" s="1294" t="s">
        <v>2419</v>
      </c>
      <c r="H289" s="1294" t="s">
        <v>262</v>
      </c>
      <c r="I289" s="1294" t="s">
        <v>1208</v>
      </c>
      <c r="J289" s="1294" t="s">
        <v>2431</v>
      </c>
      <c r="K289" s="1294" t="s">
        <v>2422</v>
      </c>
      <c r="L289" s="1294" t="s">
        <v>2432</v>
      </c>
      <c r="M289" s="1294" t="s">
        <v>716</v>
      </c>
      <c r="N289" s="1296" t="s">
        <v>113</v>
      </c>
    </row>
    <row r="290" spans="1:14" hidden="1" x14ac:dyDescent="0.3">
      <c r="A290" s="1293">
        <v>2812</v>
      </c>
      <c r="B290" s="1294" t="s">
        <v>2756</v>
      </c>
      <c r="C290" s="1294" t="s">
        <v>1680</v>
      </c>
      <c r="D290" s="1295">
        <v>44608</v>
      </c>
      <c r="E290" s="1295">
        <v>44608</v>
      </c>
      <c r="F290" s="1294" t="s">
        <v>2418</v>
      </c>
      <c r="G290" s="1294" t="s">
        <v>2419</v>
      </c>
      <c r="H290" s="1294" t="s">
        <v>262</v>
      </c>
      <c r="I290" s="1294" t="s">
        <v>2543</v>
      </c>
      <c r="J290" s="1294" t="s">
        <v>2446</v>
      </c>
      <c r="K290" s="1294" t="s">
        <v>2422</v>
      </c>
      <c r="L290" s="1294" t="s">
        <v>2447</v>
      </c>
      <c r="M290" s="1294" t="s">
        <v>711</v>
      </c>
      <c r="N290" s="1296" t="s">
        <v>113</v>
      </c>
    </row>
    <row r="291" spans="1:14" hidden="1" x14ac:dyDescent="0.3">
      <c r="A291" s="1293">
        <v>1528</v>
      </c>
      <c r="B291" s="1294" t="s">
        <v>2757</v>
      </c>
      <c r="C291" s="1294" t="s">
        <v>1681</v>
      </c>
      <c r="D291" s="1295">
        <v>42598</v>
      </c>
      <c r="E291" s="1295">
        <v>42598</v>
      </c>
      <c r="F291" s="1294" t="s">
        <v>2418</v>
      </c>
      <c r="G291" s="1294" t="s">
        <v>2419</v>
      </c>
      <c r="H291" s="1294" t="s">
        <v>262</v>
      </c>
      <c r="I291" s="1294" t="s">
        <v>1211</v>
      </c>
      <c r="J291" s="1294" t="s">
        <v>2421</v>
      </c>
      <c r="K291" s="1294" t="s">
        <v>2422</v>
      </c>
      <c r="L291" s="1294" t="s">
        <v>1353</v>
      </c>
      <c r="M291" s="1294" t="s">
        <v>711</v>
      </c>
      <c r="N291" s="1296" t="s">
        <v>114</v>
      </c>
    </row>
    <row r="292" spans="1:14" hidden="1" x14ac:dyDescent="0.3">
      <c r="A292" s="1293">
        <v>2595</v>
      </c>
      <c r="B292" s="1294" t="s">
        <v>2758</v>
      </c>
      <c r="C292" s="1294" t="s">
        <v>1680</v>
      </c>
      <c r="D292" s="1295">
        <v>44431</v>
      </c>
      <c r="E292" s="1295">
        <v>44431</v>
      </c>
      <c r="F292" s="1294" t="s">
        <v>2418</v>
      </c>
      <c r="G292" s="1294" t="s">
        <v>2476</v>
      </c>
      <c r="H292" s="1294" t="s">
        <v>262</v>
      </c>
      <c r="I292" s="1294" t="s">
        <v>1209</v>
      </c>
      <c r="J292" s="1294" t="s">
        <v>2446</v>
      </c>
      <c r="K292" s="1294" t="s">
        <v>2422</v>
      </c>
      <c r="L292" s="1294" t="s">
        <v>2447</v>
      </c>
      <c r="M292" s="1294" t="s">
        <v>711</v>
      </c>
      <c r="N292" s="1296" t="s">
        <v>113</v>
      </c>
    </row>
    <row r="293" spans="1:14" hidden="1" x14ac:dyDescent="0.3">
      <c r="A293" s="1293">
        <v>3175</v>
      </c>
      <c r="B293" s="1294" t="s">
        <v>2759</v>
      </c>
      <c r="C293" s="1294" t="s">
        <v>1681</v>
      </c>
      <c r="D293" s="1295">
        <v>45040</v>
      </c>
      <c r="E293" s="1295">
        <v>45040</v>
      </c>
      <c r="F293" s="1294" t="s">
        <v>2418</v>
      </c>
      <c r="G293" s="1294" t="s">
        <v>2476</v>
      </c>
      <c r="H293" s="1294" t="s">
        <v>262</v>
      </c>
      <c r="I293" s="1294" t="s">
        <v>1211</v>
      </c>
      <c r="J293" s="1294" t="s">
        <v>2421</v>
      </c>
      <c r="K293" s="1294" t="s">
        <v>2422</v>
      </c>
      <c r="L293" s="1294" t="s">
        <v>1353</v>
      </c>
      <c r="M293" s="1294" t="s">
        <v>711</v>
      </c>
      <c r="N293" s="1296" t="s">
        <v>114</v>
      </c>
    </row>
    <row r="294" spans="1:14" hidden="1" x14ac:dyDescent="0.3">
      <c r="A294" s="1293">
        <v>3204</v>
      </c>
      <c r="B294" s="1294" t="s">
        <v>2760</v>
      </c>
      <c r="C294" s="1294" t="s">
        <v>1680</v>
      </c>
      <c r="D294" s="1295">
        <v>45106</v>
      </c>
      <c r="E294" s="1295">
        <v>45106</v>
      </c>
      <c r="F294" s="1294" t="s">
        <v>2418</v>
      </c>
      <c r="G294" s="1294" t="s">
        <v>2419</v>
      </c>
      <c r="H294" s="1294" t="s">
        <v>262</v>
      </c>
      <c r="I294" s="1294" t="s">
        <v>2536</v>
      </c>
      <c r="J294" s="1294" t="s">
        <v>2446</v>
      </c>
      <c r="K294" s="1294" t="s">
        <v>2422</v>
      </c>
      <c r="L294" s="1294" t="s">
        <v>2447</v>
      </c>
      <c r="M294" s="1294" t="s">
        <v>711</v>
      </c>
      <c r="N294" s="1296" t="s">
        <v>113</v>
      </c>
    </row>
    <row r="295" spans="1:14" hidden="1" x14ac:dyDescent="0.3">
      <c r="A295" s="1293">
        <v>3040</v>
      </c>
      <c r="B295" s="1294" t="s">
        <v>2761</v>
      </c>
      <c r="C295" s="1294" t="s">
        <v>1680</v>
      </c>
      <c r="D295" s="1295">
        <v>44879</v>
      </c>
      <c r="E295" s="1295">
        <v>44879</v>
      </c>
      <c r="F295" s="1294" t="s">
        <v>2418</v>
      </c>
      <c r="G295" s="1294" t="s">
        <v>2419</v>
      </c>
      <c r="H295" s="1294" t="s">
        <v>262</v>
      </c>
      <c r="I295" s="1294" t="s">
        <v>1209</v>
      </c>
      <c r="J295" s="1294" t="s">
        <v>2431</v>
      </c>
      <c r="K295" s="1294" t="s">
        <v>2422</v>
      </c>
      <c r="L295" s="1294" t="s">
        <v>2432</v>
      </c>
      <c r="M295" s="1294" t="s">
        <v>711</v>
      </c>
      <c r="N295" s="1296" t="s">
        <v>113</v>
      </c>
    </row>
    <row r="296" spans="1:14" hidden="1" x14ac:dyDescent="0.3">
      <c r="A296" s="1293">
        <v>2677</v>
      </c>
      <c r="B296" s="1294" t="s">
        <v>2762</v>
      </c>
      <c r="C296" s="1294" t="s">
        <v>1681</v>
      </c>
      <c r="D296" s="1295">
        <v>44508</v>
      </c>
      <c r="E296" s="1295">
        <v>44508</v>
      </c>
      <c r="F296" s="1294" t="s">
        <v>2418</v>
      </c>
      <c r="G296" s="1294" t="s">
        <v>2419</v>
      </c>
      <c r="H296" s="1294" t="s">
        <v>262</v>
      </c>
      <c r="I296" s="1294" t="s">
        <v>1211</v>
      </c>
      <c r="J296" s="1294" t="s">
        <v>2421</v>
      </c>
      <c r="K296" s="1294" t="s">
        <v>2422</v>
      </c>
      <c r="L296" s="1294" t="s">
        <v>1353</v>
      </c>
      <c r="M296" s="1294" t="s">
        <v>711</v>
      </c>
      <c r="N296" s="1296" t="s">
        <v>114</v>
      </c>
    </row>
    <row r="297" spans="1:14" hidden="1" x14ac:dyDescent="0.3">
      <c r="A297" s="1293">
        <v>1774</v>
      </c>
      <c r="B297" s="1294" t="s">
        <v>2763</v>
      </c>
      <c r="C297" s="1294" t="s">
        <v>1684</v>
      </c>
      <c r="D297" s="1295">
        <v>43213</v>
      </c>
      <c r="E297" s="1295">
        <v>43213</v>
      </c>
      <c r="F297" s="1294" t="s">
        <v>2418</v>
      </c>
      <c r="G297" s="1294" t="s">
        <v>2508</v>
      </c>
      <c r="H297" s="1294" t="s">
        <v>262</v>
      </c>
      <c r="I297" s="1294" t="s">
        <v>2543</v>
      </c>
      <c r="J297" s="1294" t="s">
        <v>2553</v>
      </c>
      <c r="K297" s="1294" t="s">
        <v>2422</v>
      </c>
      <c r="L297" s="1294" t="s">
        <v>1329</v>
      </c>
      <c r="M297" s="1294" t="s">
        <v>711</v>
      </c>
      <c r="N297" s="1296" t="s">
        <v>115</v>
      </c>
    </row>
    <row r="298" spans="1:14" hidden="1" x14ac:dyDescent="0.3">
      <c r="A298" s="1293">
        <v>2624</v>
      </c>
      <c r="B298" s="1294" t="s">
        <v>2764</v>
      </c>
      <c r="C298" s="1294" t="s">
        <v>2474</v>
      </c>
      <c r="D298" s="1295">
        <v>44447</v>
      </c>
      <c r="E298" s="1295">
        <v>44447</v>
      </c>
      <c r="F298" s="1294" t="s">
        <v>2418</v>
      </c>
      <c r="G298" s="1294" t="s">
        <v>2419</v>
      </c>
      <c r="H298" s="1294" t="s">
        <v>262</v>
      </c>
      <c r="I298" s="1294" t="s">
        <v>1208</v>
      </c>
      <c r="J298" s="1294" t="s">
        <v>2431</v>
      </c>
      <c r="K298" s="1294" t="s">
        <v>2422</v>
      </c>
      <c r="L298" s="1294" t="s">
        <v>2432</v>
      </c>
      <c r="M298" s="1294" t="s">
        <v>716</v>
      </c>
      <c r="N298" s="1296" t="s">
        <v>113</v>
      </c>
    </row>
    <row r="299" spans="1:14" hidden="1" x14ac:dyDescent="0.3">
      <c r="A299" s="1293">
        <v>1591</v>
      </c>
      <c r="B299" s="1294" t="s">
        <v>2765</v>
      </c>
      <c r="C299" s="1294" t="s">
        <v>538</v>
      </c>
      <c r="D299" s="1295">
        <v>45026</v>
      </c>
      <c r="E299" s="1295">
        <v>42842</v>
      </c>
      <c r="F299" s="1294" t="s">
        <v>2418</v>
      </c>
      <c r="G299" s="1294" t="s">
        <v>2766</v>
      </c>
      <c r="H299" s="1294" t="s">
        <v>262</v>
      </c>
      <c r="I299" s="1294" t="s">
        <v>1211</v>
      </c>
      <c r="J299" s="1294" t="s">
        <v>1354</v>
      </c>
      <c r="K299" s="1294" t="s">
        <v>2459</v>
      </c>
      <c r="L299" s="1294" t="s">
        <v>1332</v>
      </c>
      <c r="M299" s="1294" t="s">
        <v>765</v>
      </c>
      <c r="N299" s="1296" t="s">
        <v>115</v>
      </c>
    </row>
    <row r="300" spans="1:14" hidden="1" x14ac:dyDescent="0.3">
      <c r="A300" s="1293">
        <v>2795</v>
      </c>
      <c r="B300" s="1294" t="s">
        <v>2767</v>
      </c>
      <c r="C300" s="1294" t="s">
        <v>2549</v>
      </c>
      <c r="D300" s="1295">
        <v>44599</v>
      </c>
      <c r="E300" s="1295">
        <v>44599</v>
      </c>
      <c r="F300" s="1294" t="s">
        <v>2418</v>
      </c>
      <c r="G300" s="1294" t="s">
        <v>2419</v>
      </c>
      <c r="H300" s="1294" t="s">
        <v>262</v>
      </c>
      <c r="I300" s="1294" t="s">
        <v>1208</v>
      </c>
      <c r="J300" s="1294" t="s">
        <v>2449</v>
      </c>
      <c r="K300" s="1294" t="s">
        <v>2422</v>
      </c>
      <c r="L300" s="1294" t="s">
        <v>2450</v>
      </c>
      <c r="M300" s="1294" t="s">
        <v>716</v>
      </c>
      <c r="N300" s="1296" t="s">
        <v>2452</v>
      </c>
    </row>
    <row r="301" spans="1:14" hidden="1" x14ac:dyDescent="0.3">
      <c r="A301" s="1293">
        <v>2194</v>
      </c>
      <c r="B301" s="1294" t="s">
        <v>2768</v>
      </c>
      <c r="C301" s="1294" t="s">
        <v>1680</v>
      </c>
      <c r="D301" s="1295">
        <v>44060</v>
      </c>
      <c r="E301" s="1295">
        <v>44060</v>
      </c>
      <c r="F301" s="1294" t="s">
        <v>2418</v>
      </c>
      <c r="G301" s="1294" t="s">
        <v>2419</v>
      </c>
      <c r="H301" s="1294" t="s">
        <v>262</v>
      </c>
      <c r="I301" s="1294" t="s">
        <v>1207</v>
      </c>
      <c r="J301" s="1294" t="s">
        <v>2431</v>
      </c>
      <c r="K301" s="1294" t="s">
        <v>2422</v>
      </c>
      <c r="L301" s="1294" t="s">
        <v>2432</v>
      </c>
      <c r="M301" s="1294" t="s">
        <v>711</v>
      </c>
      <c r="N301" s="1296" t="s">
        <v>113</v>
      </c>
    </row>
    <row r="302" spans="1:14" hidden="1" x14ac:dyDescent="0.3">
      <c r="A302" s="1293">
        <v>3255</v>
      </c>
      <c r="B302" s="1294" t="s">
        <v>2769</v>
      </c>
      <c r="C302" s="1294" t="s">
        <v>1680</v>
      </c>
      <c r="D302" s="1295">
        <v>45287</v>
      </c>
      <c r="E302" s="1295">
        <v>45287</v>
      </c>
      <c r="F302" s="1294" t="s">
        <v>2418</v>
      </c>
      <c r="G302" s="1294" t="s">
        <v>2508</v>
      </c>
      <c r="H302" s="1294" t="s">
        <v>262</v>
      </c>
      <c r="I302" s="1294" t="s">
        <v>1213</v>
      </c>
      <c r="J302" s="1294" t="s">
        <v>2446</v>
      </c>
      <c r="K302" s="1294" t="s">
        <v>2422</v>
      </c>
      <c r="L302" s="1294" t="s">
        <v>2447</v>
      </c>
      <c r="M302" s="1294" t="s">
        <v>711</v>
      </c>
      <c r="N302" s="1296" t="s">
        <v>113</v>
      </c>
    </row>
    <row r="303" spans="1:14" hidden="1" x14ac:dyDescent="0.3">
      <c r="A303" s="1293">
        <v>2773</v>
      </c>
      <c r="B303" s="1294" t="s">
        <v>2770</v>
      </c>
      <c r="C303" s="1294" t="s">
        <v>2549</v>
      </c>
      <c r="D303" s="1295">
        <v>44578</v>
      </c>
      <c r="E303" s="1295">
        <v>44578</v>
      </c>
      <c r="F303" s="1294" t="s">
        <v>2418</v>
      </c>
      <c r="G303" s="1294" t="s">
        <v>2514</v>
      </c>
      <c r="H303" s="1294" t="s">
        <v>262</v>
      </c>
      <c r="I303" s="1294" t="s">
        <v>1208</v>
      </c>
      <c r="J303" s="1294" t="s">
        <v>2449</v>
      </c>
      <c r="K303" s="1294" t="s">
        <v>2422</v>
      </c>
      <c r="L303" s="1294" t="s">
        <v>2450</v>
      </c>
      <c r="M303" s="1294" t="s">
        <v>716</v>
      </c>
      <c r="N303" s="1296" t="s">
        <v>2452</v>
      </c>
    </row>
    <row r="304" spans="1:14" hidden="1" x14ac:dyDescent="0.3">
      <c r="A304" s="1293">
        <v>2288</v>
      </c>
      <c r="B304" s="1294" t="s">
        <v>2771</v>
      </c>
      <c r="C304" s="1294" t="s">
        <v>1681</v>
      </c>
      <c r="D304" s="1295">
        <v>44179</v>
      </c>
      <c r="E304" s="1295">
        <v>44179</v>
      </c>
      <c r="F304" s="1294" t="s">
        <v>2418</v>
      </c>
      <c r="G304" s="1294" t="s">
        <v>2419</v>
      </c>
      <c r="H304" s="1294" t="s">
        <v>262</v>
      </c>
      <c r="I304" s="1294" t="s">
        <v>2543</v>
      </c>
      <c r="J304" s="1294" t="s">
        <v>2421</v>
      </c>
      <c r="K304" s="1294" t="s">
        <v>2422</v>
      </c>
      <c r="L304" s="1294" t="s">
        <v>1353</v>
      </c>
      <c r="M304" s="1294" t="s">
        <v>711</v>
      </c>
      <c r="N304" s="1296" t="s">
        <v>114</v>
      </c>
    </row>
    <row r="305" spans="1:14" hidden="1" x14ac:dyDescent="0.3">
      <c r="A305" s="1293">
        <v>1239</v>
      </c>
      <c r="B305" s="1294" t="s">
        <v>2772</v>
      </c>
      <c r="C305" s="1294" t="s">
        <v>1681</v>
      </c>
      <c r="D305" s="1295">
        <v>41227</v>
      </c>
      <c r="E305" s="1295">
        <v>41227</v>
      </c>
      <c r="F305" s="1294" t="s">
        <v>2418</v>
      </c>
      <c r="G305" s="1294" t="s">
        <v>2434</v>
      </c>
      <c r="H305" s="1294" t="s">
        <v>262</v>
      </c>
      <c r="I305" s="1294" t="s">
        <v>1209</v>
      </c>
      <c r="J305" s="1294" t="s">
        <v>2421</v>
      </c>
      <c r="K305" s="1294" t="s">
        <v>2422</v>
      </c>
      <c r="L305" s="1294" t="s">
        <v>1353</v>
      </c>
      <c r="M305" s="1294" t="s">
        <v>711</v>
      </c>
      <c r="N305" s="1296" t="s">
        <v>114</v>
      </c>
    </row>
    <row r="306" spans="1:14" hidden="1" x14ac:dyDescent="0.3">
      <c r="A306" s="1293">
        <v>3166</v>
      </c>
      <c r="B306" s="1294" t="s">
        <v>2773</v>
      </c>
      <c r="C306" s="1294" t="s">
        <v>1680</v>
      </c>
      <c r="D306" s="1295">
        <v>45023</v>
      </c>
      <c r="E306" s="1295">
        <v>45023</v>
      </c>
      <c r="F306" s="1294" t="s">
        <v>2418</v>
      </c>
      <c r="G306" s="1294" t="s">
        <v>2419</v>
      </c>
      <c r="H306" s="1294" t="s">
        <v>262</v>
      </c>
      <c r="I306" s="1294" t="s">
        <v>1209</v>
      </c>
      <c r="J306" s="1294" t="s">
        <v>2431</v>
      </c>
      <c r="K306" s="1294" t="s">
        <v>2422</v>
      </c>
      <c r="L306" s="1294" t="s">
        <v>2432</v>
      </c>
      <c r="M306" s="1294" t="s">
        <v>711</v>
      </c>
      <c r="N306" s="1296" t="s">
        <v>113</v>
      </c>
    </row>
    <row r="307" spans="1:14" hidden="1" x14ac:dyDescent="0.3">
      <c r="A307" s="1293">
        <v>1952</v>
      </c>
      <c r="B307" s="1294" t="s">
        <v>2774</v>
      </c>
      <c r="C307" s="1294" t="s">
        <v>1680</v>
      </c>
      <c r="D307" s="1295">
        <v>43528</v>
      </c>
      <c r="E307" s="1295">
        <v>43528</v>
      </c>
      <c r="F307" s="1294" t="s">
        <v>2418</v>
      </c>
      <c r="G307" s="1294" t="s">
        <v>2419</v>
      </c>
      <c r="H307" s="1294" t="s">
        <v>262</v>
      </c>
      <c r="I307" s="1294" t="s">
        <v>1209</v>
      </c>
      <c r="J307" s="1294" t="s">
        <v>2431</v>
      </c>
      <c r="K307" s="1294" t="s">
        <v>2422</v>
      </c>
      <c r="L307" s="1294" t="s">
        <v>2432</v>
      </c>
      <c r="M307" s="1294" t="s">
        <v>711</v>
      </c>
      <c r="N307" s="1296" t="s">
        <v>113</v>
      </c>
    </row>
    <row r="308" spans="1:14" hidden="1" x14ac:dyDescent="0.3">
      <c r="A308" s="1293">
        <v>3379</v>
      </c>
      <c r="B308" s="1294" t="s">
        <v>2775</v>
      </c>
      <c r="C308" s="1294" t="s">
        <v>2474</v>
      </c>
      <c r="D308" s="1295">
        <v>45544</v>
      </c>
      <c r="E308" s="1295">
        <v>45544</v>
      </c>
      <c r="F308" s="1294" t="s">
        <v>2418</v>
      </c>
      <c r="G308" s="1294" t="s">
        <v>2522</v>
      </c>
      <c r="H308" s="1294" t="s">
        <v>262</v>
      </c>
      <c r="I308" s="1294" t="s">
        <v>1208</v>
      </c>
      <c r="J308" s="1294" t="s">
        <v>2431</v>
      </c>
      <c r="K308" s="1294" t="s">
        <v>2422</v>
      </c>
      <c r="L308" s="1294" t="s">
        <v>2432</v>
      </c>
      <c r="M308" s="1294" t="s">
        <v>716</v>
      </c>
      <c r="N308" s="1296" t="s">
        <v>113</v>
      </c>
    </row>
    <row r="309" spans="1:14" hidden="1" x14ac:dyDescent="0.3">
      <c r="A309" s="1293">
        <v>2836</v>
      </c>
      <c r="B309" s="1294" t="s">
        <v>2776</v>
      </c>
      <c r="C309" s="1294" t="s">
        <v>1681</v>
      </c>
      <c r="D309" s="1295">
        <v>44631</v>
      </c>
      <c r="E309" s="1295">
        <v>44631</v>
      </c>
      <c r="F309" s="1294" t="s">
        <v>2418</v>
      </c>
      <c r="G309" s="1294" t="s">
        <v>2522</v>
      </c>
      <c r="H309" s="1294" t="s">
        <v>262</v>
      </c>
      <c r="I309" s="1294" t="s">
        <v>1211</v>
      </c>
      <c r="J309" s="1294" t="s">
        <v>2427</v>
      </c>
      <c r="K309" s="1294" t="s">
        <v>2422</v>
      </c>
      <c r="L309" s="1294" t="s">
        <v>1350</v>
      </c>
      <c r="M309" s="1294" t="s">
        <v>711</v>
      </c>
      <c r="N309" s="1296" t="s">
        <v>114</v>
      </c>
    </row>
    <row r="310" spans="1:14" hidden="1" x14ac:dyDescent="0.3">
      <c r="A310" s="1293">
        <v>3045</v>
      </c>
      <c r="B310" s="1294" t="s">
        <v>2777</v>
      </c>
      <c r="C310" s="1294" t="s">
        <v>1680</v>
      </c>
      <c r="D310" s="1295">
        <v>44886</v>
      </c>
      <c r="E310" s="1295">
        <v>44886</v>
      </c>
      <c r="F310" s="1294" t="s">
        <v>2418</v>
      </c>
      <c r="G310" s="1294" t="s">
        <v>2476</v>
      </c>
      <c r="H310" s="1294" t="s">
        <v>262</v>
      </c>
      <c r="I310" s="1294" t="s">
        <v>1211</v>
      </c>
      <c r="J310" s="1294" t="s">
        <v>2431</v>
      </c>
      <c r="K310" s="1294" t="s">
        <v>2422</v>
      </c>
      <c r="L310" s="1294" t="s">
        <v>2432</v>
      </c>
      <c r="M310" s="1294" t="s">
        <v>711</v>
      </c>
      <c r="N310" s="1296" t="s">
        <v>113</v>
      </c>
    </row>
    <row r="311" spans="1:14" hidden="1" x14ac:dyDescent="0.3">
      <c r="A311" s="1293">
        <v>3352</v>
      </c>
      <c r="B311" s="1294" t="s">
        <v>2778</v>
      </c>
      <c r="C311" s="1294" t="s">
        <v>1680</v>
      </c>
      <c r="D311" s="1295">
        <v>45418</v>
      </c>
      <c r="E311" s="1295">
        <v>45418</v>
      </c>
      <c r="F311" s="1294" t="s">
        <v>2418</v>
      </c>
      <c r="G311" s="1294" t="s">
        <v>2434</v>
      </c>
      <c r="H311" s="1294" t="s">
        <v>262</v>
      </c>
      <c r="I311" s="1294" t="s">
        <v>2536</v>
      </c>
      <c r="J311" s="1294" t="s">
        <v>2431</v>
      </c>
      <c r="K311" s="1294" t="s">
        <v>2422</v>
      </c>
      <c r="L311" s="1294" t="s">
        <v>2432</v>
      </c>
      <c r="M311" s="1294" t="s">
        <v>711</v>
      </c>
      <c r="N311" s="1296" t="s">
        <v>113</v>
      </c>
    </row>
    <row r="312" spans="1:14" hidden="1" x14ac:dyDescent="0.3">
      <c r="A312" s="1293">
        <v>2848</v>
      </c>
      <c r="B312" s="1294" t="s">
        <v>2779</v>
      </c>
      <c r="C312" s="1294" t="s">
        <v>721</v>
      </c>
      <c r="D312" s="1295">
        <v>45467</v>
      </c>
      <c r="E312" s="1295">
        <v>44642</v>
      </c>
      <c r="F312" s="1294" t="s">
        <v>2418</v>
      </c>
      <c r="G312" s="1294" t="s">
        <v>2556</v>
      </c>
      <c r="H312" s="1294" t="s">
        <v>262</v>
      </c>
      <c r="I312" s="1294" t="s">
        <v>2536</v>
      </c>
      <c r="J312" s="1294" t="s">
        <v>2601</v>
      </c>
      <c r="K312" s="1294" t="s">
        <v>2459</v>
      </c>
      <c r="L312" s="1294" t="s">
        <v>1376</v>
      </c>
      <c r="M312" s="1294" t="s">
        <v>765</v>
      </c>
      <c r="N312" s="1296" t="s">
        <v>116</v>
      </c>
    </row>
    <row r="313" spans="1:14" hidden="1" x14ac:dyDescent="0.3">
      <c r="A313" s="1293">
        <v>2738</v>
      </c>
      <c r="B313" s="1294" t="s">
        <v>2780</v>
      </c>
      <c r="C313" s="1294" t="s">
        <v>1680</v>
      </c>
      <c r="D313" s="1295">
        <v>44550</v>
      </c>
      <c r="E313" s="1295">
        <v>44550</v>
      </c>
      <c r="F313" s="1294" t="s">
        <v>2418</v>
      </c>
      <c r="G313" s="1294" t="s">
        <v>2508</v>
      </c>
      <c r="H313" s="1294" t="s">
        <v>262</v>
      </c>
      <c r="I313" s="1294" t="s">
        <v>1211</v>
      </c>
      <c r="J313" s="1294" t="s">
        <v>2431</v>
      </c>
      <c r="K313" s="1294" t="s">
        <v>2422</v>
      </c>
      <c r="L313" s="1294" t="s">
        <v>2432</v>
      </c>
      <c r="M313" s="1294" t="s">
        <v>711</v>
      </c>
      <c r="N313" s="1296" t="s">
        <v>113</v>
      </c>
    </row>
    <row r="314" spans="1:14" hidden="1" x14ac:dyDescent="0.3">
      <c r="A314" s="1293">
        <v>2794</v>
      </c>
      <c r="B314" s="1294" t="s">
        <v>2781</v>
      </c>
      <c r="C314" s="1294" t="s">
        <v>1684</v>
      </c>
      <c r="D314" s="1295">
        <v>44599</v>
      </c>
      <c r="E314" s="1295">
        <v>44599</v>
      </c>
      <c r="F314" s="1294" t="s">
        <v>2418</v>
      </c>
      <c r="G314" s="1294" t="s">
        <v>2434</v>
      </c>
      <c r="H314" s="1294" t="s">
        <v>262</v>
      </c>
      <c r="I314" s="1294" t="s">
        <v>1211</v>
      </c>
      <c r="J314" s="1294" t="s">
        <v>2553</v>
      </c>
      <c r="K314" s="1294" t="s">
        <v>2422</v>
      </c>
      <c r="L314" s="1294" t="s">
        <v>1329</v>
      </c>
      <c r="M314" s="1294" t="s">
        <v>711</v>
      </c>
      <c r="N314" s="1296" t="s">
        <v>115</v>
      </c>
    </row>
    <row r="315" spans="1:14" hidden="1" x14ac:dyDescent="0.3">
      <c r="A315" s="1293">
        <v>1262</v>
      </c>
      <c r="B315" s="1294" t="s">
        <v>2782</v>
      </c>
      <c r="C315" s="1294" t="s">
        <v>1710</v>
      </c>
      <c r="D315" s="1295">
        <v>41290</v>
      </c>
      <c r="E315" s="1295">
        <v>41290</v>
      </c>
      <c r="F315" s="1294" t="s">
        <v>2418</v>
      </c>
      <c r="G315" s="1294" t="s">
        <v>2419</v>
      </c>
      <c r="H315" s="1294" t="s">
        <v>262</v>
      </c>
      <c r="I315" s="1294" t="s">
        <v>1208</v>
      </c>
      <c r="J315" s="1294" t="s">
        <v>2437</v>
      </c>
      <c r="K315" s="1294" t="s">
        <v>2422</v>
      </c>
      <c r="L315" s="1294" t="s">
        <v>1353</v>
      </c>
      <c r="M315" s="1294" t="s">
        <v>716</v>
      </c>
      <c r="N315" s="1296" t="s">
        <v>114</v>
      </c>
    </row>
    <row r="316" spans="1:14" hidden="1" x14ac:dyDescent="0.3">
      <c r="A316" s="1293">
        <v>8160</v>
      </c>
      <c r="B316" s="1294" t="s">
        <v>2783</v>
      </c>
      <c r="C316" s="1294" t="s">
        <v>721</v>
      </c>
      <c r="D316" s="1295">
        <v>43171</v>
      </c>
      <c r="E316" s="1295">
        <v>43171</v>
      </c>
      <c r="F316" s="1294" t="s">
        <v>2418</v>
      </c>
      <c r="G316" s="1294" t="s">
        <v>2624</v>
      </c>
      <c r="H316" s="1294" t="s">
        <v>262</v>
      </c>
      <c r="I316" s="1294" t="s">
        <v>1211</v>
      </c>
      <c r="J316" s="1294" t="s">
        <v>2601</v>
      </c>
      <c r="K316" s="1294" t="s">
        <v>2459</v>
      </c>
      <c r="L316" s="1294" t="s">
        <v>1376</v>
      </c>
      <c r="M316" s="1294" t="s">
        <v>765</v>
      </c>
      <c r="N316" s="1296" t="s">
        <v>116</v>
      </c>
    </row>
    <row r="317" spans="1:14" hidden="1" x14ac:dyDescent="0.3">
      <c r="A317" s="1293">
        <v>2033</v>
      </c>
      <c r="B317" s="1294" t="s">
        <v>2784</v>
      </c>
      <c r="C317" s="1294" t="s">
        <v>1681</v>
      </c>
      <c r="D317" s="1295">
        <v>43647</v>
      </c>
      <c r="E317" s="1295">
        <v>43647</v>
      </c>
      <c r="F317" s="1294" t="s">
        <v>2418</v>
      </c>
      <c r="G317" s="1294" t="s">
        <v>2419</v>
      </c>
      <c r="H317" s="1294" t="s">
        <v>262</v>
      </c>
      <c r="I317" s="1294" t="s">
        <v>1211</v>
      </c>
      <c r="J317" s="1294" t="s">
        <v>2427</v>
      </c>
      <c r="K317" s="1294" t="s">
        <v>2422</v>
      </c>
      <c r="L317" s="1294" t="s">
        <v>1350</v>
      </c>
      <c r="M317" s="1294" t="s">
        <v>711</v>
      </c>
      <c r="N317" s="1296" t="s">
        <v>114</v>
      </c>
    </row>
    <row r="318" spans="1:14" hidden="1" x14ac:dyDescent="0.3">
      <c r="A318" s="1293">
        <v>2623</v>
      </c>
      <c r="B318" s="1294" t="s">
        <v>2785</v>
      </c>
      <c r="C318" s="1294" t="s">
        <v>1681</v>
      </c>
      <c r="D318" s="1295">
        <v>44445</v>
      </c>
      <c r="E318" s="1295">
        <v>44445</v>
      </c>
      <c r="F318" s="1294" t="s">
        <v>2418</v>
      </c>
      <c r="G318" s="1294" t="s">
        <v>2419</v>
      </c>
      <c r="H318" s="1294" t="s">
        <v>262</v>
      </c>
      <c r="I318" s="1294" t="s">
        <v>1211</v>
      </c>
      <c r="J318" s="1294" t="s">
        <v>2421</v>
      </c>
      <c r="K318" s="1294" t="s">
        <v>2422</v>
      </c>
      <c r="L318" s="1294" t="s">
        <v>1353</v>
      </c>
      <c r="M318" s="1294" t="s">
        <v>711</v>
      </c>
      <c r="N318" s="1296" t="s">
        <v>114</v>
      </c>
    </row>
    <row r="319" spans="1:14" hidden="1" x14ac:dyDescent="0.3">
      <c r="A319" s="1293">
        <v>2066</v>
      </c>
      <c r="B319" s="1294" t="s">
        <v>2786</v>
      </c>
      <c r="C319" s="1294" t="s">
        <v>1683</v>
      </c>
      <c r="D319" s="1295">
        <v>43654</v>
      </c>
      <c r="E319" s="1295">
        <v>43654</v>
      </c>
      <c r="F319" s="1294" t="s">
        <v>2418</v>
      </c>
      <c r="G319" s="1294" t="s">
        <v>2434</v>
      </c>
      <c r="H319" s="1294" t="s">
        <v>262</v>
      </c>
      <c r="I319" s="1294" t="s">
        <v>1209</v>
      </c>
      <c r="J319" s="1294" t="s">
        <v>1354</v>
      </c>
      <c r="K319" s="1294" t="s">
        <v>2422</v>
      </c>
      <c r="L319" s="1294" t="s">
        <v>1332</v>
      </c>
      <c r="M319" s="1294" t="s">
        <v>711</v>
      </c>
      <c r="N319" s="1296" t="s">
        <v>115</v>
      </c>
    </row>
    <row r="320" spans="1:14" hidden="1" x14ac:dyDescent="0.3">
      <c r="A320" s="1293">
        <v>2244</v>
      </c>
      <c r="B320" s="1294" t="s">
        <v>2787</v>
      </c>
      <c r="C320" s="1294" t="s">
        <v>1684</v>
      </c>
      <c r="D320" s="1295">
        <v>44095</v>
      </c>
      <c r="E320" s="1295">
        <v>44095</v>
      </c>
      <c r="F320" s="1294" t="s">
        <v>2418</v>
      </c>
      <c r="G320" s="1294" t="s">
        <v>2434</v>
      </c>
      <c r="H320" s="1294" t="s">
        <v>262</v>
      </c>
      <c r="I320" s="1294" t="s">
        <v>1209</v>
      </c>
      <c r="J320" s="1294" t="s">
        <v>1351</v>
      </c>
      <c r="K320" s="1294" t="s">
        <v>2422</v>
      </c>
      <c r="L320" s="1294" t="s">
        <v>1329</v>
      </c>
      <c r="M320" s="1294" t="s">
        <v>711</v>
      </c>
      <c r="N320" s="1296" t="s">
        <v>115</v>
      </c>
    </row>
    <row r="321" spans="1:14" hidden="1" x14ac:dyDescent="0.3">
      <c r="A321" s="1293">
        <v>2729</v>
      </c>
      <c r="B321" s="1294" t="s">
        <v>2788</v>
      </c>
      <c r="C321" s="1294" t="s">
        <v>1681</v>
      </c>
      <c r="D321" s="1295">
        <v>44540</v>
      </c>
      <c r="E321" s="1295">
        <v>44540</v>
      </c>
      <c r="F321" s="1294" t="s">
        <v>2418</v>
      </c>
      <c r="G321" s="1294" t="s">
        <v>2419</v>
      </c>
      <c r="H321" s="1294" t="s">
        <v>262</v>
      </c>
      <c r="I321" s="1294" t="s">
        <v>1209</v>
      </c>
      <c r="J321" s="1294" t="s">
        <v>2421</v>
      </c>
      <c r="K321" s="1294" t="s">
        <v>2422</v>
      </c>
      <c r="L321" s="1294" t="s">
        <v>1353</v>
      </c>
      <c r="M321" s="1294" t="s">
        <v>711</v>
      </c>
      <c r="N321" s="1296" t="s">
        <v>114</v>
      </c>
    </row>
    <row r="322" spans="1:14" hidden="1" x14ac:dyDescent="0.3">
      <c r="A322" s="1293">
        <v>2437</v>
      </c>
      <c r="B322" s="1294" t="s">
        <v>2789</v>
      </c>
      <c r="C322" s="1294" t="s">
        <v>1709</v>
      </c>
      <c r="D322" s="1295">
        <v>44333</v>
      </c>
      <c r="E322" s="1295">
        <v>44333</v>
      </c>
      <c r="F322" s="1294" t="s">
        <v>2418</v>
      </c>
      <c r="G322" s="1294" t="s">
        <v>2419</v>
      </c>
      <c r="H322" s="1294" t="s">
        <v>262</v>
      </c>
      <c r="I322" s="1294" t="s">
        <v>1208</v>
      </c>
      <c r="J322" s="1294" t="s">
        <v>2421</v>
      </c>
      <c r="K322" s="1294" t="s">
        <v>2422</v>
      </c>
      <c r="L322" s="1294" t="s">
        <v>1353</v>
      </c>
      <c r="M322" s="1294" t="s">
        <v>716</v>
      </c>
      <c r="N322" s="1296" t="s">
        <v>114</v>
      </c>
    </row>
    <row r="323" spans="1:14" hidden="1" x14ac:dyDescent="0.3">
      <c r="A323" s="1293">
        <v>2901</v>
      </c>
      <c r="B323" s="1294" t="s">
        <v>2790</v>
      </c>
      <c r="C323" s="1294" t="s">
        <v>1681</v>
      </c>
      <c r="D323" s="1295">
        <v>44697</v>
      </c>
      <c r="E323" s="1295">
        <v>44697</v>
      </c>
      <c r="F323" s="1294" t="s">
        <v>2418</v>
      </c>
      <c r="G323" s="1294" t="s">
        <v>2508</v>
      </c>
      <c r="H323" s="1294" t="s">
        <v>262</v>
      </c>
      <c r="I323" s="1294" t="s">
        <v>2543</v>
      </c>
      <c r="J323" s="1294" t="s">
        <v>2427</v>
      </c>
      <c r="K323" s="1294" t="s">
        <v>2422</v>
      </c>
      <c r="L323" s="1294" t="s">
        <v>1350</v>
      </c>
      <c r="M323" s="1294" t="s">
        <v>711</v>
      </c>
      <c r="N323" s="1296" t="s">
        <v>114</v>
      </c>
    </row>
    <row r="324" spans="1:14" hidden="1" x14ac:dyDescent="0.3">
      <c r="A324" s="1293">
        <v>3174</v>
      </c>
      <c r="B324" s="1294" t="s">
        <v>2791</v>
      </c>
      <c r="C324" s="1294" t="s">
        <v>1680</v>
      </c>
      <c r="D324" s="1295">
        <v>45037</v>
      </c>
      <c r="E324" s="1295">
        <v>45037</v>
      </c>
      <c r="F324" s="1294" t="s">
        <v>2418</v>
      </c>
      <c r="G324" s="1294" t="s">
        <v>2419</v>
      </c>
      <c r="H324" s="1294" t="s">
        <v>262</v>
      </c>
      <c r="I324" s="1294" t="s">
        <v>1211</v>
      </c>
      <c r="J324" s="1294" t="s">
        <v>2431</v>
      </c>
      <c r="K324" s="1294" t="s">
        <v>2422</v>
      </c>
      <c r="L324" s="1294" t="s">
        <v>2432</v>
      </c>
      <c r="M324" s="1294" t="s">
        <v>711</v>
      </c>
      <c r="N324" s="1296" t="s">
        <v>113</v>
      </c>
    </row>
    <row r="325" spans="1:14" hidden="1" x14ac:dyDescent="0.3">
      <c r="A325" s="1293">
        <v>3370</v>
      </c>
      <c r="B325" s="1294" t="s">
        <v>2792</v>
      </c>
      <c r="C325" s="1294" t="s">
        <v>2474</v>
      </c>
      <c r="D325" s="1295">
        <v>45495</v>
      </c>
      <c r="E325" s="1295">
        <v>45495</v>
      </c>
      <c r="F325" s="1294" t="s">
        <v>2418</v>
      </c>
      <c r="G325" s="1294" t="s">
        <v>2434</v>
      </c>
      <c r="H325" s="1294" t="s">
        <v>262</v>
      </c>
      <c r="I325" s="1294" t="s">
        <v>1208</v>
      </c>
      <c r="J325" s="1294" t="s">
        <v>2431</v>
      </c>
      <c r="K325" s="1294" t="s">
        <v>2422</v>
      </c>
      <c r="L325" s="1294" t="s">
        <v>2432</v>
      </c>
      <c r="M325" s="1294" t="s">
        <v>716</v>
      </c>
      <c r="N325" s="1296" t="s">
        <v>113</v>
      </c>
    </row>
    <row r="326" spans="1:14" hidden="1" x14ac:dyDescent="0.3">
      <c r="A326" s="1293">
        <v>2924</v>
      </c>
      <c r="B326" s="1294" t="s">
        <v>2793</v>
      </c>
      <c r="C326" s="1294" t="s">
        <v>1681</v>
      </c>
      <c r="D326" s="1295">
        <v>44732</v>
      </c>
      <c r="E326" s="1295">
        <v>44732</v>
      </c>
      <c r="F326" s="1294" t="s">
        <v>2418</v>
      </c>
      <c r="G326" s="1294" t="s">
        <v>2419</v>
      </c>
      <c r="H326" s="1294" t="s">
        <v>262</v>
      </c>
      <c r="I326" s="1294" t="s">
        <v>1211</v>
      </c>
      <c r="J326" s="1294" t="s">
        <v>2421</v>
      </c>
      <c r="K326" s="1294" t="s">
        <v>2422</v>
      </c>
      <c r="L326" s="1294" t="s">
        <v>1353</v>
      </c>
      <c r="M326" s="1294" t="s">
        <v>711</v>
      </c>
      <c r="N326" s="1296" t="s">
        <v>114</v>
      </c>
    </row>
    <row r="327" spans="1:14" hidden="1" x14ac:dyDescent="0.3">
      <c r="A327" s="1293">
        <v>3410</v>
      </c>
      <c r="B327" s="1294" t="s">
        <v>2794</v>
      </c>
      <c r="C327" s="1294" t="s">
        <v>1680</v>
      </c>
      <c r="D327" s="1295">
        <v>45614</v>
      </c>
      <c r="E327" s="1295">
        <v>45614</v>
      </c>
      <c r="F327" s="1294" t="s">
        <v>2418</v>
      </c>
      <c r="G327" s="1294" t="s">
        <v>2508</v>
      </c>
      <c r="H327" s="1294" t="s">
        <v>262</v>
      </c>
      <c r="I327" s="1294" t="s">
        <v>1205</v>
      </c>
      <c r="J327" s="1294" t="s">
        <v>2431</v>
      </c>
      <c r="K327" s="1294" t="s">
        <v>2422</v>
      </c>
      <c r="L327" s="1294" t="s">
        <v>2432</v>
      </c>
      <c r="M327" s="1294" t="s">
        <v>711</v>
      </c>
      <c r="N327" s="1296" t="s">
        <v>113</v>
      </c>
    </row>
    <row r="328" spans="1:14" hidden="1" x14ac:dyDescent="0.3">
      <c r="A328" s="1293">
        <v>3372</v>
      </c>
      <c r="B328" s="1294" t="s">
        <v>2795</v>
      </c>
      <c r="C328" s="1294" t="s">
        <v>2451</v>
      </c>
      <c r="D328" s="1295">
        <v>45511</v>
      </c>
      <c r="E328" s="1295">
        <v>45511</v>
      </c>
      <c r="F328" s="1294" t="s">
        <v>2418</v>
      </c>
      <c r="G328" s="1294" t="s">
        <v>2419</v>
      </c>
      <c r="H328" s="1294" t="s">
        <v>262</v>
      </c>
      <c r="I328" s="1294" t="s">
        <v>1211</v>
      </c>
      <c r="J328" s="1294" t="s">
        <v>2449</v>
      </c>
      <c r="K328" s="1294" t="s">
        <v>2422</v>
      </c>
      <c r="L328" s="1294" t="s">
        <v>2450</v>
      </c>
      <c r="M328" s="1294" t="s">
        <v>711</v>
      </c>
      <c r="N328" s="1296" t="s">
        <v>2452</v>
      </c>
    </row>
    <row r="329" spans="1:14" hidden="1" x14ac:dyDescent="0.3">
      <c r="A329" s="1293">
        <v>3066</v>
      </c>
      <c r="B329" s="1294" t="s">
        <v>2796</v>
      </c>
      <c r="C329" s="1294" t="s">
        <v>1680</v>
      </c>
      <c r="D329" s="1295">
        <v>44949</v>
      </c>
      <c r="E329" s="1295">
        <v>44949</v>
      </c>
      <c r="F329" s="1294" t="s">
        <v>2418</v>
      </c>
      <c r="G329" s="1294" t="s">
        <v>2419</v>
      </c>
      <c r="H329" s="1294" t="s">
        <v>262</v>
      </c>
      <c r="I329" s="1294" t="s">
        <v>1209</v>
      </c>
      <c r="J329" s="1294" t="s">
        <v>2431</v>
      </c>
      <c r="K329" s="1294" t="s">
        <v>2422</v>
      </c>
      <c r="L329" s="1294" t="s">
        <v>2432</v>
      </c>
      <c r="M329" s="1294" t="s">
        <v>711</v>
      </c>
      <c r="N329" s="1296" t="s">
        <v>113</v>
      </c>
    </row>
    <row r="330" spans="1:14" hidden="1" x14ac:dyDescent="0.3">
      <c r="A330" s="1293">
        <v>3029</v>
      </c>
      <c r="B330" s="1294" t="s">
        <v>2797</v>
      </c>
      <c r="C330" s="1294" t="s">
        <v>2474</v>
      </c>
      <c r="D330" s="1295">
        <v>44854</v>
      </c>
      <c r="E330" s="1295">
        <v>44854</v>
      </c>
      <c r="F330" s="1294" t="s">
        <v>2418</v>
      </c>
      <c r="G330" s="1294" t="s">
        <v>2419</v>
      </c>
      <c r="H330" s="1294" t="s">
        <v>262</v>
      </c>
      <c r="I330" s="1294" t="s">
        <v>1208</v>
      </c>
      <c r="J330" s="1294" t="s">
        <v>2431</v>
      </c>
      <c r="K330" s="1294" t="s">
        <v>2422</v>
      </c>
      <c r="L330" s="1294" t="s">
        <v>2432</v>
      </c>
      <c r="M330" s="1294" t="s">
        <v>716</v>
      </c>
      <c r="N330" s="1296" t="s">
        <v>113</v>
      </c>
    </row>
    <row r="331" spans="1:14" hidden="1" x14ac:dyDescent="0.3">
      <c r="A331" s="1293">
        <v>1835</v>
      </c>
      <c r="B331" s="1294" t="s">
        <v>2798</v>
      </c>
      <c r="C331" s="1294" t="s">
        <v>1680</v>
      </c>
      <c r="D331" s="1295">
        <v>43339</v>
      </c>
      <c r="E331" s="1295">
        <v>43339</v>
      </c>
      <c r="F331" s="1294" t="s">
        <v>2418</v>
      </c>
      <c r="G331" s="1294" t="s">
        <v>2419</v>
      </c>
      <c r="H331" s="1294" t="s">
        <v>262</v>
      </c>
      <c r="I331" s="1294" t="s">
        <v>1209</v>
      </c>
      <c r="J331" s="1294" t="s">
        <v>2431</v>
      </c>
      <c r="K331" s="1294" t="s">
        <v>2422</v>
      </c>
      <c r="L331" s="1294" t="s">
        <v>2432</v>
      </c>
      <c r="M331" s="1294" t="s">
        <v>711</v>
      </c>
      <c r="N331" s="1296" t="s">
        <v>113</v>
      </c>
    </row>
    <row r="332" spans="1:14" hidden="1" x14ac:dyDescent="0.3">
      <c r="A332" s="1293">
        <v>3041</v>
      </c>
      <c r="B332" s="1294" t="s">
        <v>2799</v>
      </c>
      <c r="C332" s="1294" t="s">
        <v>1680</v>
      </c>
      <c r="D332" s="1295">
        <v>44879</v>
      </c>
      <c r="E332" s="1295">
        <v>44879</v>
      </c>
      <c r="F332" s="1294" t="s">
        <v>2418</v>
      </c>
      <c r="G332" s="1294" t="s">
        <v>2419</v>
      </c>
      <c r="H332" s="1294" t="s">
        <v>262</v>
      </c>
      <c r="I332" s="1294" t="s">
        <v>2543</v>
      </c>
      <c r="J332" s="1294" t="s">
        <v>2446</v>
      </c>
      <c r="K332" s="1294" t="s">
        <v>2422</v>
      </c>
      <c r="L332" s="1294" t="s">
        <v>2447</v>
      </c>
      <c r="M332" s="1294" t="s">
        <v>711</v>
      </c>
      <c r="N332" s="1296" t="s">
        <v>113</v>
      </c>
    </row>
    <row r="333" spans="1:14" hidden="1" x14ac:dyDescent="0.3">
      <c r="A333" s="1293">
        <v>2761</v>
      </c>
      <c r="B333" s="1294" t="s">
        <v>2800</v>
      </c>
      <c r="C333" s="1294" t="s">
        <v>1681</v>
      </c>
      <c r="D333" s="1295">
        <v>44578</v>
      </c>
      <c r="E333" s="1295">
        <v>44578</v>
      </c>
      <c r="F333" s="1294" t="s">
        <v>2418</v>
      </c>
      <c r="G333" s="1294" t="s">
        <v>2419</v>
      </c>
      <c r="H333" s="1294" t="s">
        <v>262</v>
      </c>
      <c r="I333" s="1294" t="s">
        <v>1211</v>
      </c>
      <c r="J333" s="1294" t="s">
        <v>2427</v>
      </c>
      <c r="K333" s="1294" t="s">
        <v>2422</v>
      </c>
      <c r="L333" s="1294" t="s">
        <v>1350</v>
      </c>
      <c r="M333" s="1294" t="s">
        <v>711</v>
      </c>
      <c r="N333" s="1296" t="s">
        <v>114</v>
      </c>
    </row>
    <row r="334" spans="1:14" hidden="1" x14ac:dyDescent="0.3">
      <c r="A334" s="1293">
        <v>2136</v>
      </c>
      <c r="B334" s="1294" t="s">
        <v>2801</v>
      </c>
      <c r="C334" s="1294" t="s">
        <v>1681</v>
      </c>
      <c r="D334" s="1295">
        <v>43815</v>
      </c>
      <c r="E334" s="1295">
        <v>43815</v>
      </c>
      <c r="F334" s="1294" t="s">
        <v>2418</v>
      </c>
      <c r="G334" s="1294" t="s">
        <v>2419</v>
      </c>
      <c r="H334" s="1294" t="s">
        <v>262</v>
      </c>
      <c r="I334" s="1294" t="s">
        <v>1211</v>
      </c>
      <c r="J334" s="1294" t="s">
        <v>2427</v>
      </c>
      <c r="K334" s="1294" t="s">
        <v>2422</v>
      </c>
      <c r="L334" s="1294" t="s">
        <v>1350</v>
      </c>
      <c r="M334" s="1294" t="s">
        <v>711</v>
      </c>
      <c r="N334" s="1296" t="s">
        <v>114</v>
      </c>
    </row>
    <row r="335" spans="1:14" hidden="1" x14ac:dyDescent="0.3">
      <c r="A335" s="1293">
        <v>8368</v>
      </c>
      <c r="B335" s="1294" t="s">
        <v>2802</v>
      </c>
      <c r="C335" s="1294" t="s">
        <v>540</v>
      </c>
      <c r="D335" s="1295">
        <v>44249</v>
      </c>
      <c r="E335" s="1295">
        <v>44249</v>
      </c>
      <c r="F335" s="1294" t="s">
        <v>2418</v>
      </c>
      <c r="G335" s="1294" t="s">
        <v>2538</v>
      </c>
      <c r="H335" s="1294" t="s">
        <v>262</v>
      </c>
      <c r="I335" s="1294" t="s">
        <v>1211</v>
      </c>
      <c r="J335" s="1294" t="s">
        <v>1351</v>
      </c>
      <c r="K335" s="1294" t="s">
        <v>330</v>
      </c>
      <c r="L335" s="1294" t="s">
        <v>1329</v>
      </c>
      <c r="M335" s="1294" t="s">
        <v>765</v>
      </c>
      <c r="N335" s="1296" t="s">
        <v>115</v>
      </c>
    </row>
    <row r="336" spans="1:14" hidden="1" x14ac:dyDescent="0.3">
      <c r="A336" s="1293">
        <v>2427</v>
      </c>
      <c r="B336" s="1294" t="s">
        <v>2803</v>
      </c>
      <c r="C336" s="1294" t="s">
        <v>2474</v>
      </c>
      <c r="D336" s="1295">
        <v>44319</v>
      </c>
      <c r="E336" s="1295">
        <v>44319</v>
      </c>
      <c r="F336" s="1294" t="s">
        <v>2418</v>
      </c>
      <c r="G336" s="1294" t="s">
        <v>2419</v>
      </c>
      <c r="H336" s="1294" t="s">
        <v>262</v>
      </c>
      <c r="I336" s="1294" t="s">
        <v>1208</v>
      </c>
      <c r="J336" s="1294" t="s">
        <v>2446</v>
      </c>
      <c r="K336" s="1294" t="s">
        <v>2422</v>
      </c>
      <c r="L336" s="1294" t="s">
        <v>2447</v>
      </c>
      <c r="M336" s="1294" t="s">
        <v>716</v>
      </c>
      <c r="N336" s="1296" t="s">
        <v>113</v>
      </c>
    </row>
    <row r="337" spans="1:14" hidden="1" x14ac:dyDescent="0.3">
      <c r="A337" s="1293">
        <v>8007</v>
      </c>
      <c r="B337" s="1294" t="s">
        <v>2804</v>
      </c>
      <c r="C337" s="1294" t="s">
        <v>540</v>
      </c>
      <c r="D337" s="1295">
        <v>38842</v>
      </c>
      <c r="E337" s="1295">
        <v>38842</v>
      </c>
      <c r="F337" s="1294" t="s">
        <v>2418</v>
      </c>
      <c r="G337" s="1294" t="s">
        <v>2805</v>
      </c>
      <c r="H337" s="1294" t="s">
        <v>262</v>
      </c>
      <c r="I337" s="1294" t="s">
        <v>1209</v>
      </c>
      <c r="J337" s="1294" t="s">
        <v>2553</v>
      </c>
      <c r="K337" s="1294" t="s">
        <v>2459</v>
      </c>
      <c r="L337" s="1294" t="s">
        <v>1329</v>
      </c>
      <c r="M337" s="1294" t="s">
        <v>765</v>
      </c>
      <c r="N337" s="1296" t="s">
        <v>115</v>
      </c>
    </row>
    <row r="338" spans="1:14" hidden="1" x14ac:dyDescent="0.3">
      <c r="A338" s="1293">
        <v>1963</v>
      </c>
      <c r="B338" s="1294" t="s">
        <v>2806</v>
      </c>
      <c r="C338" s="1294" t="s">
        <v>1681</v>
      </c>
      <c r="D338" s="1295">
        <v>43542</v>
      </c>
      <c r="E338" s="1295">
        <v>43542</v>
      </c>
      <c r="F338" s="1294" t="s">
        <v>2418</v>
      </c>
      <c r="G338" s="1294" t="s">
        <v>2419</v>
      </c>
      <c r="H338" s="1294" t="s">
        <v>262</v>
      </c>
      <c r="I338" s="1294" t="s">
        <v>1207</v>
      </c>
      <c r="J338" s="1294" t="s">
        <v>2421</v>
      </c>
      <c r="K338" s="1294" t="s">
        <v>2422</v>
      </c>
      <c r="L338" s="1294" t="s">
        <v>1353</v>
      </c>
      <c r="M338" s="1294" t="s">
        <v>711</v>
      </c>
      <c r="N338" s="1296" t="s">
        <v>114</v>
      </c>
    </row>
    <row r="339" spans="1:14" hidden="1" x14ac:dyDescent="0.3">
      <c r="A339" s="1293">
        <v>2082</v>
      </c>
      <c r="B339" s="1294" t="s">
        <v>2807</v>
      </c>
      <c r="C339" s="1294" t="s">
        <v>2474</v>
      </c>
      <c r="D339" s="1295">
        <v>43696</v>
      </c>
      <c r="E339" s="1295">
        <v>43696</v>
      </c>
      <c r="F339" s="1294" t="s">
        <v>2418</v>
      </c>
      <c r="G339" s="1294" t="s">
        <v>2419</v>
      </c>
      <c r="H339" s="1294" t="s">
        <v>262</v>
      </c>
      <c r="I339" s="1294" t="s">
        <v>1208</v>
      </c>
      <c r="J339" s="1294" t="s">
        <v>2431</v>
      </c>
      <c r="K339" s="1294" t="s">
        <v>2422</v>
      </c>
      <c r="L339" s="1294" t="s">
        <v>2432</v>
      </c>
      <c r="M339" s="1294" t="s">
        <v>716</v>
      </c>
      <c r="N339" s="1296" t="s">
        <v>113</v>
      </c>
    </row>
    <row r="340" spans="1:14" hidden="1" x14ac:dyDescent="0.3">
      <c r="A340" s="1293">
        <v>2119</v>
      </c>
      <c r="B340" s="1294" t="s">
        <v>2808</v>
      </c>
      <c r="C340" s="1294" t="s">
        <v>2474</v>
      </c>
      <c r="D340" s="1295">
        <v>43787</v>
      </c>
      <c r="E340" s="1295">
        <v>43787</v>
      </c>
      <c r="F340" s="1294" t="s">
        <v>2418</v>
      </c>
      <c r="G340" s="1294" t="s">
        <v>2419</v>
      </c>
      <c r="H340" s="1294" t="s">
        <v>262</v>
      </c>
      <c r="I340" s="1294" t="s">
        <v>1208</v>
      </c>
      <c r="J340" s="1294" t="s">
        <v>2446</v>
      </c>
      <c r="K340" s="1294" t="s">
        <v>2422</v>
      </c>
      <c r="L340" s="1294" t="s">
        <v>2447</v>
      </c>
      <c r="M340" s="1294" t="s">
        <v>716</v>
      </c>
      <c r="N340" s="1296" t="s">
        <v>113</v>
      </c>
    </row>
    <row r="341" spans="1:14" hidden="1" x14ac:dyDescent="0.3">
      <c r="A341" s="1293">
        <v>2448</v>
      </c>
      <c r="B341" s="1294" t="s">
        <v>2809</v>
      </c>
      <c r="C341" s="1294" t="s">
        <v>1681</v>
      </c>
      <c r="D341" s="1295">
        <v>44340</v>
      </c>
      <c r="E341" s="1295">
        <v>44340</v>
      </c>
      <c r="F341" s="1294" t="s">
        <v>2418</v>
      </c>
      <c r="G341" s="1294" t="s">
        <v>2434</v>
      </c>
      <c r="H341" s="1294" t="s">
        <v>262</v>
      </c>
      <c r="I341" s="1294" t="s">
        <v>1211</v>
      </c>
      <c r="J341" s="1294" t="s">
        <v>2421</v>
      </c>
      <c r="K341" s="1294" t="s">
        <v>2422</v>
      </c>
      <c r="L341" s="1294" t="s">
        <v>1353</v>
      </c>
      <c r="M341" s="1294" t="s">
        <v>711</v>
      </c>
      <c r="N341" s="1296" t="s">
        <v>114</v>
      </c>
    </row>
    <row r="342" spans="1:14" hidden="1" x14ac:dyDescent="0.3">
      <c r="A342" s="1293">
        <v>3090</v>
      </c>
      <c r="B342" s="1294" t="s">
        <v>2810</v>
      </c>
      <c r="C342" s="1294" t="s">
        <v>1680</v>
      </c>
      <c r="D342" s="1295">
        <v>44979</v>
      </c>
      <c r="E342" s="1295">
        <v>44979</v>
      </c>
      <c r="F342" s="1294" t="s">
        <v>2418</v>
      </c>
      <c r="G342" s="1294" t="s">
        <v>2419</v>
      </c>
      <c r="H342" s="1294" t="s">
        <v>262</v>
      </c>
      <c r="I342" s="1294" t="s">
        <v>1211</v>
      </c>
      <c r="J342" s="1294" t="s">
        <v>2431</v>
      </c>
      <c r="K342" s="1294" t="s">
        <v>2422</v>
      </c>
      <c r="L342" s="1294" t="s">
        <v>2432</v>
      </c>
      <c r="M342" s="1294" t="s">
        <v>711</v>
      </c>
      <c r="N342" s="1296" t="s">
        <v>113</v>
      </c>
    </row>
    <row r="343" spans="1:14" hidden="1" x14ac:dyDescent="0.3">
      <c r="A343" s="1293">
        <v>2098</v>
      </c>
      <c r="B343" s="1294" t="s">
        <v>2811</v>
      </c>
      <c r="C343" s="1294" t="s">
        <v>2474</v>
      </c>
      <c r="D343" s="1295">
        <v>43745</v>
      </c>
      <c r="E343" s="1295">
        <v>43745</v>
      </c>
      <c r="F343" s="1294" t="s">
        <v>2418</v>
      </c>
      <c r="G343" s="1294" t="s">
        <v>2419</v>
      </c>
      <c r="H343" s="1294" t="s">
        <v>262</v>
      </c>
      <c r="I343" s="1294" t="s">
        <v>1208</v>
      </c>
      <c r="J343" s="1294" t="s">
        <v>2431</v>
      </c>
      <c r="K343" s="1294" t="s">
        <v>2422</v>
      </c>
      <c r="L343" s="1294" t="s">
        <v>2432</v>
      </c>
      <c r="M343" s="1294" t="s">
        <v>716</v>
      </c>
      <c r="N343" s="1296" t="s">
        <v>113</v>
      </c>
    </row>
    <row r="344" spans="1:14" hidden="1" x14ac:dyDescent="0.3">
      <c r="A344" s="1293">
        <v>2774</v>
      </c>
      <c r="B344" s="1294" t="s">
        <v>2812</v>
      </c>
      <c r="C344" s="1294" t="s">
        <v>2549</v>
      </c>
      <c r="D344" s="1295">
        <v>44578</v>
      </c>
      <c r="E344" s="1295">
        <v>44578</v>
      </c>
      <c r="F344" s="1294" t="s">
        <v>2418</v>
      </c>
      <c r="G344" s="1294" t="s">
        <v>2419</v>
      </c>
      <c r="H344" s="1294" t="s">
        <v>262</v>
      </c>
      <c r="I344" s="1294" t="s">
        <v>1208</v>
      </c>
      <c r="J344" s="1294" t="s">
        <v>2449</v>
      </c>
      <c r="K344" s="1294" t="s">
        <v>2422</v>
      </c>
      <c r="L344" s="1294" t="s">
        <v>2450</v>
      </c>
      <c r="M344" s="1294" t="s">
        <v>716</v>
      </c>
      <c r="N344" s="1296" t="s">
        <v>2452</v>
      </c>
    </row>
    <row r="345" spans="1:14" hidden="1" x14ac:dyDescent="0.3">
      <c r="A345" s="1293">
        <v>2726</v>
      </c>
      <c r="B345" s="1294" t="s">
        <v>2813</v>
      </c>
      <c r="C345" s="1294" t="s">
        <v>1680</v>
      </c>
      <c r="D345" s="1295">
        <v>44539</v>
      </c>
      <c r="E345" s="1295">
        <v>44539</v>
      </c>
      <c r="F345" s="1294" t="s">
        <v>2418</v>
      </c>
      <c r="G345" s="1294" t="s">
        <v>2434</v>
      </c>
      <c r="H345" s="1294" t="s">
        <v>262</v>
      </c>
      <c r="I345" s="1294" t="s">
        <v>1211</v>
      </c>
      <c r="J345" s="1294" t="s">
        <v>2446</v>
      </c>
      <c r="K345" s="1294" t="s">
        <v>2422</v>
      </c>
      <c r="L345" s="1294" t="s">
        <v>2447</v>
      </c>
      <c r="M345" s="1294" t="s">
        <v>711</v>
      </c>
      <c r="N345" s="1296" t="s">
        <v>113</v>
      </c>
    </row>
    <row r="346" spans="1:14" hidden="1" x14ac:dyDescent="0.3">
      <c r="A346" s="1293">
        <v>8409</v>
      </c>
      <c r="B346" s="1294" t="s">
        <v>2814</v>
      </c>
      <c r="C346" s="1294" t="s">
        <v>721</v>
      </c>
      <c r="D346" s="1295">
        <v>44508</v>
      </c>
      <c r="E346" s="1295">
        <v>44508</v>
      </c>
      <c r="F346" s="1294" t="s">
        <v>2418</v>
      </c>
      <c r="G346" s="1294" t="s">
        <v>2815</v>
      </c>
      <c r="H346" s="1294" t="s">
        <v>262</v>
      </c>
      <c r="I346" s="1294" t="s">
        <v>1211</v>
      </c>
      <c r="J346" s="1294" t="s">
        <v>2816</v>
      </c>
      <c r="K346" s="1294" t="s">
        <v>330</v>
      </c>
      <c r="L346" s="1294" t="s">
        <v>1387</v>
      </c>
      <c r="M346" s="1294" t="s">
        <v>765</v>
      </c>
      <c r="N346" s="1296" t="s">
        <v>117</v>
      </c>
    </row>
    <row r="347" spans="1:14" hidden="1" x14ac:dyDescent="0.3">
      <c r="A347" s="1293">
        <v>2933</v>
      </c>
      <c r="B347" s="1294" t="s">
        <v>2817</v>
      </c>
      <c r="C347" s="1294" t="s">
        <v>1681</v>
      </c>
      <c r="D347" s="1295">
        <v>44732</v>
      </c>
      <c r="E347" s="1295">
        <v>44732</v>
      </c>
      <c r="F347" s="1294" t="s">
        <v>2418</v>
      </c>
      <c r="G347" s="1294" t="s">
        <v>2434</v>
      </c>
      <c r="H347" s="1294" t="s">
        <v>262</v>
      </c>
      <c r="I347" s="1294" t="s">
        <v>2543</v>
      </c>
      <c r="J347" s="1294" t="s">
        <v>2427</v>
      </c>
      <c r="K347" s="1294" t="s">
        <v>2422</v>
      </c>
      <c r="L347" s="1294" t="s">
        <v>1350</v>
      </c>
      <c r="M347" s="1294" t="s">
        <v>711</v>
      </c>
      <c r="N347" s="1296" t="s">
        <v>114</v>
      </c>
    </row>
    <row r="348" spans="1:14" hidden="1" x14ac:dyDescent="0.3">
      <c r="A348" s="1293">
        <v>1845</v>
      </c>
      <c r="B348" s="1294" t="s">
        <v>2818</v>
      </c>
      <c r="C348" s="1294" t="s">
        <v>1709</v>
      </c>
      <c r="D348" s="1295">
        <v>43353</v>
      </c>
      <c r="E348" s="1295">
        <v>43353</v>
      </c>
      <c r="F348" s="1294" t="s">
        <v>2418</v>
      </c>
      <c r="G348" s="1294" t="s">
        <v>2419</v>
      </c>
      <c r="H348" s="1294" t="s">
        <v>262</v>
      </c>
      <c r="I348" s="1294" t="s">
        <v>1208</v>
      </c>
      <c r="J348" s="1294" t="s">
        <v>2421</v>
      </c>
      <c r="K348" s="1294" t="s">
        <v>2422</v>
      </c>
      <c r="L348" s="1294" t="s">
        <v>1353</v>
      </c>
      <c r="M348" s="1294" t="s">
        <v>716</v>
      </c>
      <c r="N348" s="1296" t="s">
        <v>114</v>
      </c>
    </row>
    <row r="349" spans="1:14" hidden="1" x14ac:dyDescent="0.3">
      <c r="A349" s="1293">
        <v>2081</v>
      </c>
      <c r="B349" s="1294" t="s">
        <v>2819</v>
      </c>
      <c r="C349" s="1294" t="s">
        <v>2474</v>
      </c>
      <c r="D349" s="1295">
        <v>43682</v>
      </c>
      <c r="E349" s="1295">
        <v>43682</v>
      </c>
      <c r="F349" s="1294" t="s">
        <v>2418</v>
      </c>
      <c r="G349" s="1294" t="s">
        <v>2419</v>
      </c>
      <c r="H349" s="1294" t="s">
        <v>262</v>
      </c>
      <c r="I349" s="1294" t="s">
        <v>1208</v>
      </c>
      <c r="J349" s="1294" t="s">
        <v>2431</v>
      </c>
      <c r="K349" s="1294" t="s">
        <v>2422</v>
      </c>
      <c r="L349" s="1294" t="s">
        <v>2432</v>
      </c>
      <c r="M349" s="1294" t="s">
        <v>716</v>
      </c>
      <c r="N349" s="1296" t="s">
        <v>113</v>
      </c>
    </row>
    <row r="350" spans="1:14" hidden="1" x14ac:dyDescent="0.3">
      <c r="A350" s="1293">
        <v>3124</v>
      </c>
      <c r="B350" s="1294" t="s">
        <v>2820</v>
      </c>
      <c r="C350" s="1294" t="s">
        <v>2451</v>
      </c>
      <c r="D350" s="1295">
        <v>44984</v>
      </c>
      <c r="E350" s="1295">
        <v>44984</v>
      </c>
      <c r="F350" s="1294" t="s">
        <v>2418</v>
      </c>
      <c r="G350" s="1294" t="s">
        <v>2419</v>
      </c>
      <c r="H350" s="1294" t="s">
        <v>262</v>
      </c>
      <c r="I350" s="1294" t="s">
        <v>1209</v>
      </c>
      <c r="J350" s="1294" t="s">
        <v>2449</v>
      </c>
      <c r="K350" s="1294" t="s">
        <v>2422</v>
      </c>
      <c r="L350" s="1294" t="s">
        <v>2450</v>
      </c>
      <c r="M350" s="1294" t="s">
        <v>711</v>
      </c>
      <c r="N350" s="1296" t="s">
        <v>2452</v>
      </c>
    </row>
    <row r="351" spans="1:14" hidden="1" x14ac:dyDescent="0.3">
      <c r="A351" s="1293">
        <v>2974</v>
      </c>
      <c r="B351" s="1294" t="s">
        <v>2821</v>
      </c>
      <c r="C351" s="1294" t="s">
        <v>2451</v>
      </c>
      <c r="D351" s="1295">
        <v>44791</v>
      </c>
      <c r="E351" s="1295">
        <v>44791</v>
      </c>
      <c r="F351" s="1294" t="s">
        <v>2418</v>
      </c>
      <c r="G351" s="1294" t="s">
        <v>2419</v>
      </c>
      <c r="H351" s="1294" t="s">
        <v>262</v>
      </c>
      <c r="I351" s="1294" t="s">
        <v>2536</v>
      </c>
      <c r="J351" s="1294" t="s">
        <v>2449</v>
      </c>
      <c r="K351" s="1294" t="s">
        <v>2422</v>
      </c>
      <c r="L351" s="1294" t="s">
        <v>2450</v>
      </c>
      <c r="M351" s="1294" t="s">
        <v>711</v>
      </c>
      <c r="N351" s="1296" t="s">
        <v>2452</v>
      </c>
    </row>
    <row r="352" spans="1:14" hidden="1" x14ac:dyDescent="0.3">
      <c r="A352" s="1293">
        <v>1318</v>
      </c>
      <c r="B352" s="1294" t="s">
        <v>2822</v>
      </c>
      <c r="C352" s="1294" t="s">
        <v>1711</v>
      </c>
      <c r="D352" s="1295">
        <v>41611</v>
      </c>
      <c r="E352" s="1295">
        <v>41611</v>
      </c>
      <c r="F352" s="1294" t="s">
        <v>2418</v>
      </c>
      <c r="G352" s="1294" t="s">
        <v>2419</v>
      </c>
      <c r="H352" s="1294" t="s">
        <v>262</v>
      </c>
      <c r="I352" s="1294" t="s">
        <v>1208</v>
      </c>
      <c r="J352" s="1294" t="s">
        <v>2553</v>
      </c>
      <c r="K352" s="1294" t="s">
        <v>2422</v>
      </c>
      <c r="L352" s="1294" t="s">
        <v>1329</v>
      </c>
      <c r="M352" s="1294" t="s">
        <v>716</v>
      </c>
      <c r="N352" s="1296" t="s">
        <v>115</v>
      </c>
    </row>
    <row r="353" spans="1:14" hidden="1" x14ac:dyDescent="0.3">
      <c r="A353" s="1293">
        <v>3412</v>
      </c>
      <c r="B353" s="1294" t="s">
        <v>2823</v>
      </c>
      <c r="C353" s="1294" t="s">
        <v>1681</v>
      </c>
      <c r="D353" s="1295">
        <v>45617</v>
      </c>
      <c r="E353" s="1295">
        <v>45617</v>
      </c>
      <c r="F353" s="1294" t="s">
        <v>2418</v>
      </c>
      <c r="G353" s="1294" t="s">
        <v>2508</v>
      </c>
      <c r="H353" s="1294" t="s">
        <v>262</v>
      </c>
      <c r="I353" s="1294" t="s">
        <v>1212</v>
      </c>
      <c r="J353" s="1294" t="s">
        <v>2421</v>
      </c>
      <c r="K353" s="1294" t="s">
        <v>2422</v>
      </c>
      <c r="L353" s="1294" t="s">
        <v>1353</v>
      </c>
      <c r="M353" s="1294" t="s">
        <v>711</v>
      </c>
      <c r="N353" s="1296" t="s">
        <v>114</v>
      </c>
    </row>
    <row r="354" spans="1:14" hidden="1" x14ac:dyDescent="0.3">
      <c r="A354" s="1293">
        <v>2651</v>
      </c>
      <c r="B354" s="1294" t="s">
        <v>2824</v>
      </c>
      <c r="C354" s="1294" t="s">
        <v>1681</v>
      </c>
      <c r="D354" s="1295">
        <v>44480</v>
      </c>
      <c r="E354" s="1295">
        <v>44480</v>
      </c>
      <c r="F354" s="1294" t="s">
        <v>2418</v>
      </c>
      <c r="G354" s="1294" t="s">
        <v>2419</v>
      </c>
      <c r="H354" s="1294" t="s">
        <v>262</v>
      </c>
      <c r="I354" s="1294" t="s">
        <v>1211</v>
      </c>
      <c r="J354" s="1294" t="s">
        <v>2421</v>
      </c>
      <c r="K354" s="1294" t="s">
        <v>2422</v>
      </c>
      <c r="L354" s="1294" t="s">
        <v>1353</v>
      </c>
      <c r="M354" s="1294" t="s">
        <v>711</v>
      </c>
      <c r="N354" s="1296" t="s">
        <v>114</v>
      </c>
    </row>
    <row r="355" spans="1:14" hidden="1" x14ac:dyDescent="0.3">
      <c r="A355" s="1293">
        <v>2972</v>
      </c>
      <c r="B355" s="1294" t="s">
        <v>2825</v>
      </c>
      <c r="C355" s="1294" t="s">
        <v>2451</v>
      </c>
      <c r="D355" s="1295">
        <v>44791</v>
      </c>
      <c r="E355" s="1295">
        <v>44791</v>
      </c>
      <c r="F355" s="1294" t="s">
        <v>2418</v>
      </c>
      <c r="G355" s="1294" t="s">
        <v>2419</v>
      </c>
      <c r="H355" s="1294" t="s">
        <v>262</v>
      </c>
      <c r="I355" s="1294" t="s">
        <v>1207</v>
      </c>
      <c r="J355" s="1294" t="s">
        <v>2449</v>
      </c>
      <c r="K355" s="1294" t="s">
        <v>2422</v>
      </c>
      <c r="L355" s="1294" t="s">
        <v>2450</v>
      </c>
      <c r="M355" s="1294" t="s">
        <v>711</v>
      </c>
      <c r="N355" s="1296" t="s">
        <v>2452</v>
      </c>
    </row>
    <row r="356" spans="1:14" hidden="1" x14ac:dyDescent="0.3">
      <c r="A356" s="1293">
        <v>2784</v>
      </c>
      <c r="B356" s="1294" t="s">
        <v>2826</v>
      </c>
      <c r="C356" s="1294" t="s">
        <v>1710</v>
      </c>
      <c r="D356" s="1295">
        <v>44588</v>
      </c>
      <c r="E356" s="1295">
        <v>44588</v>
      </c>
      <c r="F356" s="1294" t="s">
        <v>2418</v>
      </c>
      <c r="G356" s="1294" t="s">
        <v>2419</v>
      </c>
      <c r="H356" s="1294" t="s">
        <v>262</v>
      </c>
      <c r="I356" s="1294" t="s">
        <v>1208</v>
      </c>
      <c r="J356" s="1294" t="s">
        <v>2437</v>
      </c>
      <c r="K356" s="1294" t="s">
        <v>2422</v>
      </c>
      <c r="L356" s="1294" t="s">
        <v>1353</v>
      </c>
      <c r="M356" s="1294" t="s">
        <v>716</v>
      </c>
      <c r="N356" s="1296" t="s">
        <v>114</v>
      </c>
    </row>
    <row r="357" spans="1:14" hidden="1" x14ac:dyDescent="0.3">
      <c r="A357" s="1293">
        <v>3162</v>
      </c>
      <c r="B357" s="1294" t="s">
        <v>2827</v>
      </c>
      <c r="C357" s="1294" t="s">
        <v>2474</v>
      </c>
      <c r="D357" s="1295">
        <v>45019</v>
      </c>
      <c r="E357" s="1295">
        <v>45019</v>
      </c>
      <c r="F357" s="1294" t="s">
        <v>2418</v>
      </c>
      <c r="G357" s="1294" t="s">
        <v>2419</v>
      </c>
      <c r="H357" s="1294" t="s">
        <v>262</v>
      </c>
      <c r="I357" s="1294" t="s">
        <v>1208</v>
      </c>
      <c r="J357" s="1294" t="s">
        <v>2431</v>
      </c>
      <c r="K357" s="1294" t="s">
        <v>2422</v>
      </c>
      <c r="L357" s="1294" t="s">
        <v>2432</v>
      </c>
      <c r="M357" s="1294" t="s">
        <v>716</v>
      </c>
      <c r="N357" s="1296" t="s">
        <v>113</v>
      </c>
    </row>
    <row r="358" spans="1:14" hidden="1" x14ac:dyDescent="0.3">
      <c r="A358" s="1293">
        <v>2934</v>
      </c>
      <c r="B358" s="1294" t="s">
        <v>2828</v>
      </c>
      <c r="C358" s="1294" t="s">
        <v>2474</v>
      </c>
      <c r="D358" s="1295">
        <v>44739</v>
      </c>
      <c r="E358" s="1295">
        <v>44739</v>
      </c>
      <c r="F358" s="1294" t="s">
        <v>2418</v>
      </c>
      <c r="G358" s="1294" t="s">
        <v>2419</v>
      </c>
      <c r="H358" s="1294" t="s">
        <v>262</v>
      </c>
      <c r="I358" s="1294" t="s">
        <v>1208</v>
      </c>
      <c r="J358" s="1294" t="s">
        <v>2446</v>
      </c>
      <c r="K358" s="1294" t="s">
        <v>2422</v>
      </c>
      <c r="L358" s="1294" t="s">
        <v>2447</v>
      </c>
      <c r="M358" s="1294" t="s">
        <v>716</v>
      </c>
      <c r="N358" s="1296" t="s">
        <v>113</v>
      </c>
    </row>
    <row r="359" spans="1:14" hidden="1" x14ac:dyDescent="0.3">
      <c r="A359" s="1293">
        <v>2608</v>
      </c>
      <c r="B359" s="1294" t="s">
        <v>2829</v>
      </c>
      <c r="C359" s="1294" t="s">
        <v>1680</v>
      </c>
      <c r="D359" s="1295">
        <v>44433</v>
      </c>
      <c r="E359" s="1295">
        <v>44433</v>
      </c>
      <c r="F359" s="1294" t="s">
        <v>2418</v>
      </c>
      <c r="G359" s="1294" t="s">
        <v>2434</v>
      </c>
      <c r="H359" s="1294" t="s">
        <v>262</v>
      </c>
      <c r="I359" s="1294" t="s">
        <v>1211</v>
      </c>
      <c r="J359" s="1294" t="s">
        <v>2431</v>
      </c>
      <c r="K359" s="1294" t="s">
        <v>2422</v>
      </c>
      <c r="L359" s="1294" t="s">
        <v>2432</v>
      </c>
      <c r="M359" s="1294" t="s">
        <v>711</v>
      </c>
      <c r="N359" s="1296" t="s">
        <v>113</v>
      </c>
    </row>
    <row r="360" spans="1:14" hidden="1" x14ac:dyDescent="0.3">
      <c r="A360" s="1293">
        <v>2866</v>
      </c>
      <c r="B360" s="1294" t="s">
        <v>2830</v>
      </c>
      <c r="C360" s="1294" t="s">
        <v>1680</v>
      </c>
      <c r="D360" s="1295">
        <v>44658</v>
      </c>
      <c r="E360" s="1295">
        <v>44658</v>
      </c>
      <c r="F360" s="1294" t="s">
        <v>2418</v>
      </c>
      <c r="G360" s="1294" t="s">
        <v>2419</v>
      </c>
      <c r="H360" s="1294" t="s">
        <v>262</v>
      </c>
      <c r="I360" s="1294" t="s">
        <v>1209</v>
      </c>
      <c r="J360" s="1294" t="s">
        <v>2431</v>
      </c>
      <c r="K360" s="1294" t="s">
        <v>2422</v>
      </c>
      <c r="L360" s="1294" t="s">
        <v>2432</v>
      </c>
      <c r="M360" s="1294" t="s">
        <v>711</v>
      </c>
      <c r="N360" s="1296" t="s">
        <v>113</v>
      </c>
    </row>
    <row r="361" spans="1:14" hidden="1" x14ac:dyDescent="0.3">
      <c r="A361" s="1293">
        <v>2163</v>
      </c>
      <c r="B361" s="1294" t="s">
        <v>2831</v>
      </c>
      <c r="C361" s="1294" t="s">
        <v>1680</v>
      </c>
      <c r="D361" s="1295">
        <v>43962</v>
      </c>
      <c r="E361" s="1295">
        <v>43962</v>
      </c>
      <c r="F361" s="1294" t="s">
        <v>2418</v>
      </c>
      <c r="G361" s="1294" t="s">
        <v>2434</v>
      </c>
      <c r="H361" s="1294" t="s">
        <v>262</v>
      </c>
      <c r="I361" s="1294" t="s">
        <v>1211</v>
      </c>
      <c r="J361" s="1294" t="s">
        <v>2431</v>
      </c>
      <c r="K361" s="1294" t="s">
        <v>2422</v>
      </c>
      <c r="L361" s="1294" t="s">
        <v>2432</v>
      </c>
      <c r="M361" s="1294" t="s">
        <v>711</v>
      </c>
      <c r="N361" s="1296" t="s">
        <v>113</v>
      </c>
    </row>
    <row r="362" spans="1:14" hidden="1" x14ac:dyDescent="0.3">
      <c r="A362" s="1293">
        <v>2802</v>
      </c>
      <c r="B362" s="1294" t="s">
        <v>2832</v>
      </c>
      <c r="C362" s="1294" t="s">
        <v>1681</v>
      </c>
      <c r="D362" s="1295">
        <v>44603</v>
      </c>
      <c r="E362" s="1295">
        <v>44603</v>
      </c>
      <c r="F362" s="1294" t="s">
        <v>2418</v>
      </c>
      <c r="G362" s="1294" t="s">
        <v>2434</v>
      </c>
      <c r="H362" s="1294" t="s">
        <v>262</v>
      </c>
      <c r="I362" s="1294" t="s">
        <v>1211</v>
      </c>
      <c r="J362" s="1294" t="s">
        <v>2427</v>
      </c>
      <c r="K362" s="1294" t="s">
        <v>2422</v>
      </c>
      <c r="L362" s="1294" t="s">
        <v>1350</v>
      </c>
      <c r="M362" s="1294" t="s">
        <v>711</v>
      </c>
      <c r="N362" s="1296" t="s">
        <v>114</v>
      </c>
    </row>
    <row r="363" spans="1:14" hidden="1" x14ac:dyDescent="0.3">
      <c r="A363" s="1293">
        <v>2696</v>
      </c>
      <c r="B363" s="1294" t="s">
        <v>2833</v>
      </c>
      <c r="C363" s="1294" t="s">
        <v>1680</v>
      </c>
      <c r="D363" s="1295">
        <v>44517</v>
      </c>
      <c r="E363" s="1295">
        <v>44517</v>
      </c>
      <c r="F363" s="1294" t="s">
        <v>2418</v>
      </c>
      <c r="G363" s="1294" t="s">
        <v>2419</v>
      </c>
      <c r="H363" s="1294" t="s">
        <v>262</v>
      </c>
      <c r="I363" s="1294" t="s">
        <v>1207</v>
      </c>
      <c r="J363" s="1294" t="s">
        <v>2431</v>
      </c>
      <c r="K363" s="1294" t="s">
        <v>2422</v>
      </c>
      <c r="L363" s="1294" t="s">
        <v>2432</v>
      </c>
      <c r="M363" s="1294" t="s">
        <v>711</v>
      </c>
      <c r="N363" s="1296" t="s">
        <v>113</v>
      </c>
    </row>
    <row r="364" spans="1:14" hidden="1" x14ac:dyDescent="0.3">
      <c r="A364" s="1293">
        <v>2433</v>
      </c>
      <c r="B364" s="1294" t="s">
        <v>2834</v>
      </c>
      <c r="C364" s="1294" t="s">
        <v>1710</v>
      </c>
      <c r="D364" s="1295">
        <v>44326</v>
      </c>
      <c r="E364" s="1295">
        <v>44326</v>
      </c>
      <c r="F364" s="1294" t="s">
        <v>2418</v>
      </c>
      <c r="G364" s="1294" t="s">
        <v>2419</v>
      </c>
      <c r="H364" s="1294" t="s">
        <v>262</v>
      </c>
      <c r="I364" s="1294" t="s">
        <v>1208</v>
      </c>
      <c r="J364" s="1294" t="s">
        <v>2437</v>
      </c>
      <c r="K364" s="1294" t="s">
        <v>2422</v>
      </c>
      <c r="L364" s="1294" t="s">
        <v>1353</v>
      </c>
      <c r="M364" s="1294" t="s">
        <v>716</v>
      </c>
      <c r="N364" s="1296" t="s">
        <v>114</v>
      </c>
    </row>
    <row r="365" spans="1:14" hidden="1" x14ac:dyDescent="0.3">
      <c r="A365" s="1293">
        <v>3053</v>
      </c>
      <c r="B365" s="1294" t="s">
        <v>2835</v>
      </c>
      <c r="C365" s="1294" t="s">
        <v>1681</v>
      </c>
      <c r="D365" s="1295">
        <v>44900</v>
      </c>
      <c r="E365" s="1295">
        <v>44900</v>
      </c>
      <c r="F365" s="1294" t="s">
        <v>2418</v>
      </c>
      <c r="G365" s="1294" t="s">
        <v>2419</v>
      </c>
      <c r="H365" s="1294" t="s">
        <v>262</v>
      </c>
      <c r="I365" s="1294" t="s">
        <v>1207</v>
      </c>
      <c r="J365" s="1294" t="s">
        <v>2427</v>
      </c>
      <c r="K365" s="1294" t="s">
        <v>2422</v>
      </c>
      <c r="L365" s="1294" t="s">
        <v>1350</v>
      </c>
      <c r="M365" s="1294" t="s">
        <v>711</v>
      </c>
      <c r="N365" s="1296" t="s">
        <v>114</v>
      </c>
    </row>
    <row r="366" spans="1:14" hidden="1" x14ac:dyDescent="0.3">
      <c r="A366" s="1293">
        <v>2646</v>
      </c>
      <c r="B366" s="1294" t="s">
        <v>2836</v>
      </c>
      <c r="C366" s="1294" t="s">
        <v>1683</v>
      </c>
      <c r="D366" s="1295">
        <v>44473</v>
      </c>
      <c r="E366" s="1295">
        <v>44473</v>
      </c>
      <c r="F366" s="1294" t="s">
        <v>2418</v>
      </c>
      <c r="G366" s="1294" t="s">
        <v>2419</v>
      </c>
      <c r="H366" s="1294" t="s">
        <v>262</v>
      </c>
      <c r="I366" s="1294" t="s">
        <v>1209</v>
      </c>
      <c r="J366" s="1294" t="s">
        <v>1354</v>
      </c>
      <c r="K366" s="1294" t="s">
        <v>2422</v>
      </c>
      <c r="L366" s="1294" t="s">
        <v>1332</v>
      </c>
      <c r="M366" s="1294" t="s">
        <v>711</v>
      </c>
      <c r="N366" s="1296" t="s">
        <v>115</v>
      </c>
    </row>
    <row r="367" spans="1:14" hidden="1" x14ac:dyDescent="0.3">
      <c r="A367" s="1293">
        <v>3172</v>
      </c>
      <c r="B367" s="1294" t="s">
        <v>2837</v>
      </c>
      <c r="C367" s="1294" t="s">
        <v>538</v>
      </c>
      <c r="D367" s="1295">
        <v>45033</v>
      </c>
      <c r="E367" s="1295">
        <v>45033</v>
      </c>
      <c r="F367" s="1294" t="s">
        <v>2418</v>
      </c>
      <c r="G367" s="1294" t="s">
        <v>2838</v>
      </c>
      <c r="H367" s="1294" t="s">
        <v>262</v>
      </c>
      <c r="I367" s="1294" t="s">
        <v>1213</v>
      </c>
      <c r="J367" s="1294" t="s">
        <v>1396</v>
      </c>
      <c r="K367" s="1294" t="s">
        <v>2459</v>
      </c>
      <c r="L367" s="1294" t="s">
        <v>1332</v>
      </c>
      <c r="M367" s="1294" t="s">
        <v>765</v>
      </c>
      <c r="N367" s="1296" t="s">
        <v>115</v>
      </c>
    </row>
    <row r="368" spans="1:14" hidden="1" x14ac:dyDescent="0.3">
      <c r="A368" s="1293">
        <v>2952</v>
      </c>
      <c r="B368" s="1294" t="s">
        <v>2839</v>
      </c>
      <c r="C368" s="1294" t="s">
        <v>1681</v>
      </c>
      <c r="D368" s="1295">
        <v>44762</v>
      </c>
      <c r="E368" s="1295">
        <v>44762</v>
      </c>
      <c r="F368" s="1294" t="s">
        <v>2418</v>
      </c>
      <c r="G368" s="1294" t="s">
        <v>2434</v>
      </c>
      <c r="H368" s="1294" t="s">
        <v>262</v>
      </c>
      <c r="I368" s="1294" t="s">
        <v>2536</v>
      </c>
      <c r="J368" s="1294" t="s">
        <v>2427</v>
      </c>
      <c r="K368" s="1294" t="s">
        <v>2422</v>
      </c>
      <c r="L368" s="1294" t="s">
        <v>1350</v>
      </c>
      <c r="M368" s="1294" t="s">
        <v>711</v>
      </c>
      <c r="N368" s="1296" t="s">
        <v>114</v>
      </c>
    </row>
    <row r="369" spans="1:14" hidden="1" x14ac:dyDescent="0.3">
      <c r="A369" s="1293">
        <v>2043</v>
      </c>
      <c r="B369" s="1294" t="s">
        <v>2840</v>
      </c>
      <c r="C369" s="1294" t="s">
        <v>1681</v>
      </c>
      <c r="D369" s="1295">
        <v>43654</v>
      </c>
      <c r="E369" s="1295">
        <v>43654</v>
      </c>
      <c r="F369" s="1294" t="s">
        <v>2418</v>
      </c>
      <c r="G369" s="1294" t="s">
        <v>2434</v>
      </c>
      <c r="H369" s="1294" t="s">
        <v>262</v>
      </c>
      <c r="I369" s="1294" t="s">
        <v>2536</v>
      </c>
      <c r="J369" s="1294" t="s">
        <v>2421</v>
      </c>
      <c r="K369" s="1294" t="s">
        <v>2422</v>
      </c>
      <c r="L369" s="1294" t="s">
        <v>1353</v>
      </c>
      <c r="M369" s="1294" t="s">
        <v>711</v>
      </c>
      <c r="N369" s="1296" t="s">
        <v>114</v>
      </c>
    </row>
    <row r="370" spans="1:14" hidden="1" x14ac:dyDescent="0.3">
      <c r="A370" s="1293">
        <v>3251</v>
      </c>
      <c r="B370" s="1294" t="s">
        <v>2841</v>
      </c>
      <c r="C370" s="1294" t="s">
        <v>1680</v>
      </c>
      <c r="D370" s="1295">
        <v>45267</v>
      </c>
      <c r="E370" s="1295">
        <v>45267</v>
      </c>
      <c r="F370" s="1294" t="s">
        <v>2418</v>
      </c>
      <c r="G370" s="1294" t="s">
        <v>2419</v>
      </c>
      <c r="H370" s="1294" t="s">
        <v>262</v>
      </c>
      <c r="I370" s="1294" t="s">
        <v>2543</v>
      </c>
      <c r="J370" s="1294" t="s">
        <v>2431</v>
      </c>
      <c r="K370" s="1294" t="s">
        <v>2422</v>
      </c>
      <c r="L370" s="1294" t="s">
        <v>2432</v>
      </c>
      <c r="M370" s="1294" t="s">
        <v>711</v>
      </c>
      <c r="N370" s="1296" t="s">
        <v>113</v>
      </c>
    </row>
    <row r="371" spans="1:14" hidden="1" x14ac:dyDescent="0.3">
      <c r="A371" s="1293">
        <v>2873</v>
      </c>
      <c r="B371" s="1294" t="s">
        <v>2842</v>
      </c>
      <c r="C371" s="1294" t="s">
        <v>1681</v>
      </c>
      <c r="D371" s="1295">
        <v>44671</v>
      </c>
      <c r="E371" s="1295">
        <v>44671</v>
      </c>
      <c r="F371" s="1294" t="s">
        <v>2418</v>
      </c>
      <c r="G371" s="1294" t="s">
        <v>2419</v>
      </c>
      <c r="H371" s="1294" t="s">
        <v>262</v>
      </c>
      <c r="I371" s="1294" t="s">
        <v>1209</v>
      </c>
      <c r="J371" s="1294" t="s">
        <v>2427</v>
      </c>
      <c r="K371" s="1294" t="s">
        <v>2422</v>
      </c>
      <c r="L371" s="1294" t="s">
        <v>1350</v>
      </c>
      <c r="M371" s="1294" t="s">
        <v>711</v>
      </c>
      <c r="N371" s="1296" t="s">
        <v>114</v>
      </c>
    </row>
    <row r="372" spans="1:14" hidden="1" x14ac:dyDescent="0.3">
      <c r="A372" s="1293">
        <v>2551</v>
      </c>
      <c r="B372" s="1294" t="s">
        <v>2843</v>
      </c>
      <c r="C372" s="1294" t="s">
        <v>1680</v>
      </c>
      <c r="D372" s="1295">
        <v>44431</v>
      </c>
      <c r="E372" s="1295">
        <v>44431</v>
      </c>
      <c r="F372" s="1294" t="s">
        <v>2418</v>
      </c>
      <c r="G372" s="1294" t="s">
        <v>2419</v>
      </c>
      <c r="H372" s="1294" t="s">
        <v>262</v>
      </c>
      <c r="I372" s="1294" t="s">
        <v>1207</v>
      </c>
      <c r="J372" s="1294" t="s">
        <v>2446</v>
      </c>
      <c r="K372" s="1294" t="s">
        <v>2422</v>
      </c>
      <c r="L372" s="1294" t="s">
        <v>2447</v>
      </c>
      <c r="M372" s="1294" t="s">
        <v>711</v>
      </c>
      <c r="N372" s="1296" t="s">
        <v>113</v>
      </c>
    </row>
    <row r="373" spans="1:14" hidden="1" x14ac:dyDescent="0.3">
      <c r="A373" s="1293">
        <v>1735</v>
      </c>
      <c r="B373" s="1294" t="s">
        <v>2844</v>
      </c>
      <c r="C373" s="1294" t="s">
        <v>1681</v>
      </c>
      <c r="D373" s="1295">
        <v>43132</v>
      </c>
      <c r="E373" s="1295">
        <v>43132</v>
      </c>
      <c r="F373" s="1294" t="s">
        <v>2418</v>
      </c>
      <c r="G373" s="1294" t="s">
        <v>2419</v>
      </c>
      <c r="H373" s="1294" t="s">
        <v>262</v>
      </c>
      <c r="I373" s="1294" t="s">
        <v>1209</v>
      </c>
      <c r="J373" s="1294" t="s">
        <v>2421</v>
      </c>
      <c r="K373" s="1294" t="s">
        <v>2422</v>
      </c>
      <c r="L373" s="1294" t="s">
        <v>1353</v>
      </c>
      <c r="M373" s="1294" t="s">
        <v>711</v>
      </c>
      <c r="N373" s="1296" t="s">
        <v>114</v>
      </c>
    </row>
    <row r="374" spans="1:14" hidden="1" x14ac:dyDescent="0.3">
      <c r="A374" s="1293">
        <v>2976</v>
      </c>
      <c r="B374" s="1294" t="s">
        <v>2845</v>
      </c>
      <c r="C374" s="1294" t="s">
        <v>2451</v>
      </c>
      <c r="D374" s="1295">
        <v>44791</v>
      </c>
      <c r="E374" s="1295">
        <v>44791</v>
      </c>
      <c r="F374" s="1294" t="s">
        <v>2418</v>
      </c>
      <c r="G374" s="1294" t="s">
        <v>2419</v>
      </c>
      <c r="H374" s="1294" t="s">
        <v>262</v>
      </c>
      <c r="I374" s="1294" t="s">
        <v>1212</v>
      </c>
      <c r="J374" s="1294" t="s">
        <v>2449</v>
      </c>
      <c r="K374" s="1294" t="s">
        <v>2422</v>
      </c>
      <c r="L374" s="1294" t="s">
        <v>2450</v>
      </c>
      <c r="M374" s="1294" t="s">
        <v>711</v>
      </c>
      <c r="N374" s="1296" t="s">
        <v>2452</v>
      </c>
    </row>
    <row r="375" spans="1:14" hidden="1" x14ac:dyDescent="0.3">
      <c r="A375" s="1293">
        <v>3397</v>
      </c>
      <c r="B375" s="1294" t="s">
        <v>2846</v>
      </c>
      <c r="C375" s="1294" t="s">
        <v>2451</v>
      </c>
      <c r="D375" s="1295">
        <v>45590</v>
      </c>
      <c r="E375" s="1295">
        <v>45590</v>
      </c>
      <c r="F375" s="1294" t="s">
        <v>2418</v>
      </c>
      <c r="G375" s="1294" t="s">
        <v>2419</v>
      </c>
      <c r="H375" s="1294" t="s">
        <v>262</v>
      </c>
      <c r="I375" s="1294" t="s">
        <v>1207</v>
      </c>
      <c r="J375" s="1294" t="s">
        <v>2847</v>
      </c>
      <c r="K375" s="1294" t="s">
        <v>2422</v>
      </c>
      <c r="L375" s="1294" t="s">
        <v>2848</v>
      </c>
      <c r="M375" s="1294" t="s">
        <v>711</v>
      </c>
      <c r="N375" s="1296" t="s">
        <v>2452</v>
      </c>
    </row>
    <row r="376" spans="1:14" hidden="1" x14ac:dyDescent="0.3">
      <c r="A376" s="1293">
        <v>2852</v>
      </c>
      <c r="B376" s="1294" t="s">
        <v>2849</v>
      </c>
      <c r="C376" s="1294" t="s">
        <v>1681</v>
      </c>
      <c r="D376" s="1295">
        <v>44644</v>
      </c>
      <c r="E376" s="1295">
        <v>44644</v>
      </c>
      <c r="F376" s="1294" t="s">
        <v>2418</v>
      </c>
      <c r="G376" s="1294" t="s">
        <v>2419</v>
      </c>
      <c r="H376" s="1294" t="s">
        <v>262</v>
      </c>
      <c r="I376" s="1294" t="s">
        <v>1211</v>
      </c>
      <c r="J376" s="1294" t="s">
        <v>2421</v>
      </c>
      <c r="K376" s="1294" t="s">
        <v>2422</v>
      </c>
      <c r="L376" s="1294" t="s">
        <v>1353</v>
      </c>
      <c r="M376" s="1294" t="s">
        <v>711</v>
      </c>
      <c r="N376" s="1296" t="s">
        <v>114</v>
      </c>
    </row>
    <row r="377" spans="1:14" hidden="1" x14ac:dyDescent="0.3">
      <c r="A377" s="1293">
        <v>2781</v>
      </c>
      <c r="B377" s="1294" t="s">
        <v>2850</v>
      </c>
      <c r="C377" s="1294" t="s">
        <v>1681</v>
      </c>
      <c r="D377" s="1295">
        <v>44585</v>
      </c>
      <c r="E377" s="1295">
        <v>44585</v>
      </c>
      <c r="F377" s="1294" t="s">
        <v>2418</v>
      </c>
      <c r="G377" s="1294" t="s">
        <v>2508</v>
      </c>
      <c r="H377" s="1294" t="s">
        <v>262</v>
      </c>
      <c r="I377" s="1294" t="s">
        <v>1211</v>
      </c>
      <c r="J377" s="1294" t="s">
        <v>2421</v>
      </c>
      <c r="K377" s="1294" t="s">
        <v>2422</v>
      </c>
      <c r="L377" s="1294" t="s">
        <v>1353</v>
      </c>
      <c r="M377" s="1294" t="s">
        <v>711</v>
      </c>
      <c r="N377" s="1296" t="s">
        <v>114</v>
      </c>
    </row>
    <row r="378" spans="1:14" hidden="1" x14ac:dyDescent="0.3">
      <c r="A378" s="1293">
        <v>2243</v>
      </c>
      <c r="B378" s="1294" t="s">
        <v>2851</v>
      </c>
      <c r="C378" s="1294" t="s">
        <v>1681</v>
      </c>
      <c r="D378" s="1295">
        <v>44095</v>
      </c>
      <c r="E378" s="1295">
        <v>44095</v>
      </c>
      <c r="F378" s="1294" t="s">
        <v>2418</v>
      </c>
      <c r="G378" s="1294" t="s">
        <v>2434</v>
      </c>
      <c r="H378" s="1294" t="s">
        <v>262</v>
      </c>
      <c r="I378" s="1294" t="s">
        <v>1211</v>
      </c>
      <c r="J378" s="1294" t="s">
        <v>2421</v>
      </c>
      <c r="K378" s="1294" t="s">
        <v>2422</v>
      </c>
      <c r="L378" s="1294" t="s">
        <v>1353</v>
      </c>
      <c r="M378" s="1294" t="s">
        <v>711</v>
      </c>
      <c r="N378" s="1296" t="s">
        <v>114</v>
      </c>
    </row>
    <row r="379" spans="1:14" hidden="1" x14ac:dyDescent="0.3">
      <c r="A379" s="1293">
        <v>1610</v>
      </c>
      <c r="B379" s="1294" t="s">
        <v>2852</v>
      </c>
      <c r="C379" s="1294" t="s">
        <v>1680</v>
      </c>
      <c r="D379" s="1295">
        <v>42912</v>
      </c>
      <c r="E379" s="1295">
        <v>42912</v>
      </c>
      <c r="F379" s="1294" t="s">
        <v>2418</v>
      </c>
      <c r="G379" s="1294" t="s">
        <v>2419</v>
      </c>
      <c r="H379" s="1294" t="s">
        <v>262</v>
      </c>
      <c r="I379" s="1294" t="s">
        <v>1211</v>
      </c>
      <c r="J379" s="1294" t="s">
        <v>2431</v>
      </c>
      <c r="K379" s="1294" t="s">
        <v>2422</v>
      </c>
      <c r="L379" s="1294" t="s">
        <v>2432</v>
      </c>
      <c r="M379" s="1294" t="s">
        <v>711</v>
      </c>
      <c r="N379" s="1296" t="s">
        <v>113</v>
      </c>
    </row>
    <row r="380" spans="1:14" hidden="1" x14ac:dyDescent="0.3">
      <c r="A380" s="1293">
        <v>2907</v>
      </c>
      <c r="B380" s="1294" t="s">
        <v>2853</v>
      </c>
      <c r="C380" s="1294" t="s">
        <v>1683</v>
      </c>
      <c r="D380" s="1295">
        <v>44704</v>
      </c>
      <c r="E380" s="1295">
        <v>44704</v>
      </c>
      <c r="F380" s="1294" t="s">
        <v>2418</v>
      </c>
      <c r="G380" s="1294" t="s">
        <v>2434</v>
      </c>
      <c r="H380" s="1294" t="s">
        <v>262</v>
      </c>
      <c r="I380" s="1294" t="s">
        <v>1211</v>
      </c>
      <c r="J380" s="1294" t="s">
        <v>1354</v>
      </c>
      <c r="K380" s="1294" t="s">
        <v>2422</v>
      </c>
      <c r="L380" s="1294" t="s">
        <v>1332</v>
      </c>
      <c r="M380" s="1294" t="s">
        <v>711</v>
      </c>
      <c r="N380" s="1296" t="s">
        <v>115</v>
      </c>
    </row>
    <row r="381" spans="1:14" hidden="1" x14ac:dyDescent="0.3">
      <c r="A381" s="1293">
        <v>1574</v>
      </c>
      <c r="B381" s="1294" t="s">
        <v>2854</v>
      </c>
      <c r="C381" s="1294" t="s">
        <v>1684</v>
      </c>
      <c r="D381" s="1295">
        <v>42751</v>
      </c>
      <c r="E381" s="1295">
        <v>42751</v>
      </c>
      <c r="F381" s="1294" t="s">
        <v>2418</v>
      </c>
      <c r="G381" s="1294" t="s">
        <v>2419</v>
      </c>
      <c r="H381" s="1294" t="s">
        <v>262</v>
      </c>
      <c r="I381" s="1294" t="s">
        <v>1211</v>
      </c>
      <c r="J381" s="1294" t="s">
        <v>2601</v>
      </c>
      <c r="K381" s="1294" t="s">
        <v>2422</v>
      </c>
      <c r="L381" s="1294" t="s">
        <v>1376</v>
      </c>
      <c r="M381" s="1294" t="s">
        <v>711</v>
      </c>
      <c r="N381" s="1296" t="s">
        <v>116</v>
      </c>
    </row>
    <row r="382" spans="1:14" hidden="1" x14ac:dyDescent="0.3">
      <c r="A382" s="1293">
        <v>3380</v>
      </c>
      <c r="B382" s="1294" t="s">
        <v>2855</v>
      </c>
      <c r="C382" s="1294" t="s">
        <v>1680</v>
      </c>
      <c r="D382" s="1295">
        <v>45544</v>
      </c>
      <c r="E382" s="1295">
        <v>45544</v>
      </c>
      <c r="F382" s="1294" t="s">
        <v>2418</v>
      </c>
      <c r="G382" s="1294" t="s">
        <v>2419</v>
      </c>
      <c r="H382" s="1294" t="s">
        <v>262</v>
      </c>
      <c r="I382" s="1294" t="s">
        <v>1209</v>
      </c>
      <c r="J382" s="1294" t="s">
        <v>2446</v>
      </c>
      <c r="K382" s="1294" t="s">
        <v>2422</v>
      </c>
      <c r="L382" s="1294" t="s">
        <v>2447</v>
      </c>
      <c r="M382" s="1294" t="s">
        <v>711</v>
      </c>
      <c r="N382" s="1296" t="s">
        <v>113</v>
      </c>
    </row>
    <row r="383" spans="1:14" hidden="1" x14ac:dyDescent="0.3">
      <c r="A383" s="1293">
        <v>3211</v>
      </c>
      <c r="B383" s="1294" t="s">
        <v>2856</v>
      </c>
      <c r="C383" s="1294" t="s">
        <v>1680</v>
      </c>
      <c r="D383" s="1295">
        <v>45128</v>
      </c>
      <c r="E383" s="1295">
        <v>45128</v>
      </c>
      <c r="F383" s="1294" t="s">
        <v>2418</v>
      </c>
      <c r="G383" s="1294" t="s">
        <v>2419</v>
      </c>
      <c r="H383" s="1294" t="s">
        <v>262</v>
      </c>
      <c r="I383" s="1294" t="s">
        <v>2543</v>
      </c>
      <c r="J383" s="1294" t="s">
        <v>2431</v>
      </c>
      <c r="K383" s="1294" t="s">
        <v>2422</v>
      </c>
      <c r="L383" s="1294" t="s">
        <v>2432</v>
      </c>
      <c r="M383" s="1294" t="s">
        <v>711</v>
      </c>
      <c r="N383" s="1296" t="s">
        <v>113</v>
      </c>
    </row>
    <row r="384" spans="1:14" hidden="1" x14ac:dyDescent="0.3">
      <c r="A384" s="1293">
        <v>3025</v>
      </c>
      <c r="B384" s="1294" t="s">
        <v>2857</v>
      </c>
      <c r="C384" s="1294" t="s">
        <v>1684</v>
      </c>
      <c r="D384" s="1295">
        <v>44851</v>
      </c>
      <c r="E384" s="1295">
        <v>44851</v>
      </c>
      <c r="F384" s="1294" t="s">
        <v>2418</v>
      </c>
      <c r="G384" s="1294" t="s">
        <v>2508</v>
      </c>
      <c r="H384" s="1294" t="s">
        <v>262</v>
      </c>
      <c r="I384" s="1294" t="s">
        <v>1211</v>
      </c>
      <c r="J384" s="1294" t="s">
        <v>1351</v>
      </c>
      <c r="K384" s="1294" t="s">
        <v>2422</v>
      </c>
      <c r="L384" s="1294" t="s">
        <v>1329</v>
      </c>
      <c r="M384" s="1294" t="s">
        <v>711</v>
      </c>
      <c r="N384" s="1296" t="s">
        <v>115</v>
      </c>
    </row>
    <row r="385" spans="1:14" hidden="1" x14ac:dyDescent="0.3">
      <c r="A385" s="1293">
        <v>2095</v>
      </c>
      <c r="B385" s="1294" t="s">
        <v>2858</v>
      </c>
      <c r="C385" s="1294" t="s">
        <v>1682</v>
      </c>
      <c r="D385" s="1295">
        <v>43738</v>
      </c>
      <c r="E385" s="1295">
        <v>43738</v>
      </c>
      <c r="F385" s="1294" t="s">
        <v>2418</v>
      </c>
      <c r="G385" s="1294" t="s">
        <v>2419</v>
      </c>
      <c r="H385" s="1294" t="s">
        <v>262</v>
      </c>
      <c r="I385" s="1294" t="s">
        <v>1211</v>
      </c>
      <c r="J385" s="1294" t="s">
        <v>2437</v>
      </c>
      <c r="K385" s="1294" t="s">
        <v>2422</v>
      </c>
      <c r="L385" s="1294" t="s">
        <v>1353</v>
      </c>
      <c r="M385" s="1294" t="s">
        <v>711</v>
      </c>
      <c r="N385" s="1296" t="s">
        <v>114</v>
      </c>
    </row>
    <row r="386" spans="1:14" hidden="1" x14ac:dyDescent="0.3">
      <c r="A386" s="1293">
        <v>8192</v>
      </c>
      <c r="B386" s="1294" t="s">
        <v>2859</v>
      </c>
      <c r="C386" s="1294" t="s">
        <v>721</v>
      </c>
      <c r="D386" s="1295">
        <v>44690</v>
      </c>
      <c r="E386" s="1295">
        <v>43255</v>
      </c>
      <c r="F386" s="1294" t="s">
        <v>2418</v>
      </c>
      <c r="G386" s="1294" t="s">
        <v>2538</v>
      </c>
      <c r="H386" s="1294" t="s">
        <v>262</v>
      </c>
      <c r="I386" s="1294" t="s">
        <v>2543</v>
      </c>
      <c r="J386" s="1294" t="s">
        <v>2601</v>
      </c>
      <c r="K386" s="1294" t="s">
        <v>330</v>
      </c>
      <c r="L386" s="1294" t="s">
        <v>1376</v>
      </c>
      <c r="M386" s="1294" t="s">
        <v>765</v>
      </c>
      <c r="N386" s="1296" t="s">
        <v>116</v>
      </c>
    </row>
    <row r="387" spans="1:14" hidden="1" x14ac:dyDescent="0.3">
      <c r="A387" s="1293">
        <v>2539</v>
      </c>
      <c r="B387" s="1294" t="s">
        <v>2860</v>
      </c>
      <c r="C387" s="1294" t="s">
        <v>1681</v>
      </c>
      <c r="D387" s="1295">
        <v>44419</v>
      </c>
      <c r="E387" s="1295">
        <v>44419</v>
      </c>
      <c r="F387" s="1294" t="s">
        <v>2418</v>
      </c>
      <c r="G387" s="1294" t="s">
        <v>2434</v>
      </c>
      <c r="H387" s="1294" t="s">
        <v>262</v>
      </c>
      <c r="I387" s="1294" t="s">
        <v>1211</v>
      </c>
      <c r="J387" s="1294" t="s">
        <v>2421</v>
      </c>
      <c r="K387" s="1294" t="s">
        <v>2422</v>
      </c>
      <c r="L387" s="1294" t="s">
        <v>1353</v>
      </c>
      <c r="M387" s="1294" t="s">
        <v>711</v>
      </c>
      <c r="N387" s="1296" t="s">
        <v>114</v>
      </c>
    </row>
    <row r="388" spans="1:14" hidden="1" x14ac:dyDescent="0.3">
      <c r="A388" s="1293">
        <v>2633</v>
      </c>
      <c r="B388" s="1294" t="s">
        <v>2861</v>
      </c>
      <c r="C388" s="1294" t="s">
        <v>1683</v>
      </c>
      <c r="D388" s="1295">
        <v>44455</v>
      </c>
      <c r="E388" s="1295">
        <v>44455</v>
      </c>
      <c r="F388" s="1294" t="s">
        <v>2418</v>
      </c>
      <c r="G388" s="1294" t="s">
        <v>2419</v>
      </c>
      <c r="H388" s="1294" t="s">
        <v>262</v>
      </c>
      <c r="I388" s="1294" t="s">
        <v>1212</v>
      </c>
      <c r="J388" s="1294" t="s">
        <v>1354</v>
      </c>
      <c r="K388" s="1294" t="s">
        <v>2422</v>
      </c>
      <c r="L388" s="1294" t="s">
        <v>1332</v>
      </c>
      <c r="M388" s="1294" t="s">
        <v>711</v>
      </c>
      <c r="N388" s="1296" t="s">
        <v>115</v>
      </c>
    </row>
    <row r="389" spans="1:14" hidden="1" x14ac:dyDescent="0.3">
      <c r="A389" s="1293">
        <v>3078</v>
      </c>
      <c r="B389" s="1294" t="s">
        <v>2862</v>
      </c>
      <c r="C389" s="1294" t="s">
        <v>2474</v>
      </c>
      <c r="D389" s="1295">
        <v>44970</v>
      </c>
      <c r="E389" s="1295">
        <v>44970</v>
      </c>
      <c r="F389" s="1294" t="s">
        <v>2418</v>
      </c>
      <c r="G389" s="1294" t="s">
        <v>2419</v>
      </c>
      <c r="H389" s="1294" t="s">
        <v>262</v>
      </c>
      <c r="I389" s="1294" t="s">
        <v>1208</v>
      </c>
      <c r="J389" s="1294" t="s">
        <v>2431</v>
      </c>
      <c r="K389" s="1294" t="s">
        <v>2422</v>
      </c>
      <c r="L389" s="1294" t="s">
        <v>2432</v>
      </c>
      <c r="M389" s="1294" t="s">
        <v>716</v>
      </c>
      <c r="N389" s="1296" t="s">
        <v>113</v>
      </c>
    </row>
    <row r="390" spans="1:14" hidden="1" x14ac:dyDescent="0.3">
      <c r="A390" s="1293">
        <v>2240</v>
      </c>
      <c r="B390" s="1294" t="s">
        <v>2863</v>
      </c>
      <c r="C390" s="1294" t="s">
        <v>1710</v>
      </c>
      <c r="D390" s="1295">
        <v>44090</v>
      </c>
      <c r="E390" s="1295">
        <v>44089</v>
      </c>
      <c r="F390" s="1294" t="s">
        <v>2418</v>
      </c>
      <c r="G390" s="1294" t="s">
        <v>2434</v>
      </c>
      <c r="H390" s="1294" t="s">
        <v>262</v>
      </c>
      <c r="I390" s="1294" t="s">
        <v>1208</v>
      </c>
      <c r="J390" s="1294" t="s">
        <v>2437</v>
      </c>
      <c r="K390" s="1294" t="s">
        <v>2422</v>
      </c>
      <c r="L390" s="1294" t="s">
        <v>1353</v>
      </c>
      <c r="M390" s="1294" t="s">
        <v>716</v>
      </c>
      <c r="N390" s="1296" t="s">
        <v>114</v>
      </c>
    </row>
    <row r="391" spans="1:14" hidden="1" x14ac:dyDescent="0.3">
      <c r="A391" s="1293">
        <v>2423</v>
      </c>
      <c r="B391" s="1294" t="s">
        <v>2864</v>
      </c>
      <c r="C391" s="1294" t="s">
        <v>1680</v>
      </c>
      <c r="D391" s="1295">
        <v>44319</v>
      </c>
      <c r="E391" s="1295">
        <v>44319</v>
      </c>
      <c r="F391" s="1294" t="s">
        <v>2418</v>
      </c>
      <c r="G391" s="1294" t="s">
        <v>2434</v>
      </c>
      <c r="H391" s="1294" t="s">
        <v>262</v>
      </c>
      <c r="I391" s="1294" t="s">
        <v>1209</v>
      </c>
      <c r="J391" s="1294" t="s">
        <v>2431</v>
      </c>
      <c r="K391" s="1294" t="s">
        <v>2422</v>
      </c>
      <c r="L391" s="1294" t="s">
        <v>2432</v>
      </c>
      <c r="M391" s="1294" t="s">
        <v>711</v>
      </c>
      <c r="N391" s="1296" t="s">
        <v>113</v>
      </c>
    </row>
    <row r="392" spans="1:14" hidden="1" x14ac:dyDescent="0.3">
      <c r="A392" s="1293">
        <v>3159</v>
      </c>
      <c r="B392" s="1294" t="s">
        <v>2865</v>
      </c>
      <c r="C392" s="1294" t="s">
        <v>1710</v>
      </c>
      <c r="D392" s="1295">
        <v>45019</v>
      </c>
      <c r="E392" s="1295">
        <v>45019</v>
      </c>
      <c r="F392" s="1294" t="s">
        <v>2418</v>
      </c>
      <c r="G392" s="1294" t="s">
        <v>2419</v>
      </c>
      <c r="H392" s="1294" t="s">
        <v>262</v>
      </c>
      <c r="I392" s="1294" t="s">
        <v>1208</v>
      </c>
      <c r="J392" s="1294" t="s">
        <v>2437</v>
      </c>
      <c r="K392" s="1294" t="s">
        <v>2422</v>
      </c>
      <c r="L392" s="1294" t="s">
        <v>1353</v>
      </c>
      <c r="M392" s="1294" t="s">
        <v>716</v>
      </c>
      <c r="N392" s="1296" t="s">
        <v>114</v>
      </c>
    </row>
    <row r="393" spans="1:14" hidden="1" x14ac:dyDescent="0.3">
      <c r="A393" s="1293">
        <v>2931</v>
      </c>
      <c r="B393" s="1294" t="s">
        <v>2866</v>
      </c>
      <c r="C393" s="1294" t="s">
        <v>1681</v>
      </c>
      <c r="D393" s="1295">
        <v>44732</v>
      </c>
      <c r="E393" s="1295">
        <v>44732</v>
      </c>
      <c r="F393" s="1294" t="s">
        <v>2418</v>
      </c>
      <c r="G393" s="1294" t="s">
        <v>2434</v>
      </c>
      <c r="H393" s="1294" t="s">
        <v>262</v>
      </c>
      <c r="I393" s="1294" t="s">
        <v>2536</v>
      </c>
      <c r="J393" s="1294" t="s">
        <v>2427</v>
      </c>
      <c r="K393" s="1294" t="s">
        <v>2422</v>
      </c>
      <c r="L393" s="1294" t="s">
        <v>1350</v>
      </c>
      <c r="M393" s="1294" t="s">
        <v>711</v>
      </c>
      <c r="N393" s="1296" t="s">
        <v>114</v>
      </c>
    </row>
    <row r="394" spans="1:14" hidden="1" x14ac:dyDescent="0.3">
      <c r="A394" s="1293">
        <v>2680</v>
      </c>
      <c r="B394" s="1294" t="s">
        <v>2867</v>
      </c>
      <c r="C394" s="1294" t="s">
        <v>1710</v>
      </c>
      <c r="D394" s="1295">
        <v>44508</v>
      </c>
      <c r="E394" s="1295">
        <v>44508</v>
      </c>
      <c r="F394" s="1294" t="s">
        <v>2418</v>
      </c>
      <c r="G394" s="1294" t="s">
        <v>2419</v>
      </c>
      <c r="H394" s="1294" t="s">
        <v>262</v>
      </c>
      <c r="I394" s="1294" t="s">
        <v>1208</v>
      </c>
      <c r="J394" s="1294" t="s">
        <v>2425</v>
      </c>
      <c r="K394" s="1294" t="s">
        <v>2422</v>
      </c>
      <c r="L394" s="1294" t="s">
        <v>1350</v>
      </c>
      <c r="M394" s="1294" t="s">
        <v>716</v>
      </c>
      <c r="N394" s="1296" t="s">
        <v>114</v>
      </c>
    </row>
    <row r="395" spans="1:14" hidden="1" x14ac:dyDescent="0.3">
      <c r="A395" s="1293">
        <v>2909</v>
      </c>
      <c r="B395" s="1294" t="s">
        <v>2868</v>
      </c>
      <c r="C395" s="1294" t="s">
        <v>1680</v>
      </c>
      <c r="D395" s="1295">
        <v>44704</v>
      </c>
      <c r="E395" s="1295">
        <v>44704</v>
      </c>
      <c r="F395" s="1294" t="s">
        <v>2418</v>
      </c>
      <c r="G395" s="1294" t="s">
        <v>2434</v>
      </c>
      <c r="H395" s="1294" t="s">
        <v>262</v>
      </c>
      <c r="I395" s="1294" t="s">
        <v>1209</v>
      </c>
      <c r="J395" s="1294" t="s">
        <v>2431</v>
      </c>
      <c r="K395" s="1294" t="s">
        <v>2422</v>
      </c>
      <c r="L395" s="1294" t="s">
        <v>2432</v>
      </c>
      <c r="M395" s="1294" t="s">
        <v>711</v>
      </c>
      <c r="N395" s="1296" t="s">
        <v>113</v>
      </c>
    </row>
    <row r="396" spans="1:14" hidden="1" x14ac:dyDescent="0.3">
      <c r="A396" s="1293">
        <v>2891</v>
      </c>
      <c r="B396" s="1294" t="s">
        <v>2869</v>
      </c>
      <c r="C396" s="1294" t="s">
        <v>1680</v>
      </c>
      <c r="D396" s="1295">
        <v>44697</v>
      </c>
      <c r="E396" s="1295">
        <v>44697</v>
      </c>
      <c r="F396" s="1294" t="s">
        <v>2418</v>
      </c>
      <c r="G396" s="1294" t="s">
        <v>2419</v>
      </c>
      <c r="H396" s="1294" t="s">
        <v>262</v>
      </c>
      <c r="I396" s="1294" t="s">
        <v>1211</v>
      </c>
      <c r="J396" s="1294" t="s">
        <v>2446</v>
      </c>
      <c r="K396" s="1294" t="s">
        <v>2422</v>
      </c>
      <c r="L396" s="1294" t="s">
        <v>2447</v>
      </c>
      <c r="M396" s="1294" t="s">
        <v>711</v>
      </c>
      <c r="N396" s="1296" t="s">
        <v>113</v>
      </c>
    </row>
    <row r="397" spans="1:14" hidden="1" x14ac:dyDescent="0.3">
      <c r="A397" s="1293">
        <v>2735</v>
      </c>
      <c r="B397" s="1294" t="s">
        <v>2870</v>
      </c>
      <c r="C397" s="1294" t="s">
        <v>1680</v>
      </c>
      <c r="D397" s="1295">
        <v>44545</v>
      </c>
      <c r="E397" s="1295">
        <v>44545</v>
      </c>
      <c r="F397" s="1294" t="s">
        <v>2418</v>
      </c>
      <c r="G397" s="1294" t="s">
        <v>2419</v>
      </c>
      <c r="H397" s="1294" t="s">
        <v>262</v>
      </c>
      <c r="I397" s="1294" t="s">
        <v>1209</v>
      </c>
      <c r="J397" s="1294" t="s">
        <v>2431</v>
      </c>
      <c r="K397" s="1294" t="s">
        <v>2422</v>
      </c>
      <c r="L397" s="1294" t="s">
        <v>2432</v>
      </c>
      <c r="M397" s="1294" t="s">
        <v>711</v>
      </c>
      <c r="N397" s="1296" t="s">
        <v>113</v>
      </c>
    </row>
    <row r="398" spans="1:14" hidden="1" x14ac:dyDescent="0.3">
      <c r="A398" s="1293">
        <v>8085</v>
      </c>
      <c r="B398" s="1294" t="s">
        <v>2871</v>
      </c>
      <c r="C398" s="1294" t="s">
        <v>538</v>
      </c>
      <c r="D398" s="1295">
        <v>42527</v>
      </c>
      <c r="E398" s="1295">
        <v>42527</v>
      </c>
      <c r="F398" s="1294" t="s">
        <v>2418</v>
      </c>
      <c r="G398" s="1294" t="s">
        <v>2872</v>
      </c>
      <c r="H398" s="1294" t="s">
        <v>262</v>
      </c>
      <c r="I398" s="1294" t="s">
        <v>2543</v>
      </c>
      <c r="J398" s="1294" t="s">
        <v>1354</v>
      </c>
      <c r="K398" s="1294" t="s">
        <v>2459</v>
      </c>
      <c r="L398" s="1294" t="s">
        <v>1332</v>
      </c>
      <c r="M398" s="1294" t="s">
        <v>765</v>
      </c>
      <c r="N398" s="1296" t="s">
        <v>115</v>
      </c>
    </row>
    <row r="399" spans="1:14" hidden="1" x14ac:dyDescent="0.3">
      <c r="A399" s="1293">
        <v>2832</v>
      </c>
      <c r="B399" s="1294" t="s">
        <v>2873</v>
      </c>
      <c r="C399" s="1294" t="s">
        <v>1681</v>
      </c>
      <c r="D399" s="1295">
        <v>44627</v>
      </c>
      <c r="E399" s="1295">
        <v>44627</v>
      </c>
      <c r="F399" s="1294" t="s">
        <v>2418</v>
      </c>
      <c r="G399" s="1294" t="s">
        <v>2434</v>
      </c>
      <c r="H399" s="1294" t="s">
        <v>262</v>
      </c>
      <c r="I399" s="1294" t="s">
        <v>1209</v>
      </c>
      <c r="J399" s="1294" t="s">
        <v>2427</v>
      </c>
      <c r="K399" s="1294" t="s">
        <v>2422</v>
      </c>
      <c r="L399" s="1294" t="s">
        <v>1350</v>
      </c>
      <c r="M399" s="1294" t="s">
        <v>711</v>
      </c>
      <c r="N399" s="1296" t="s">
        <v>114</v>
      </c>
    </row>
    <row r="400" spans="1:14" hidden="1" x14ac:dyDescent="0.3">
      <c r="A400" s="1293">
        <v>2917</v>
      </c>
      <c r="B400" s="1294" t="s">
        <v>2874</v>
      </c>
      <c r="C400" s="1294" t="s">
        <v>1681</v>
      </c>
      <c r="D400" s="1295">
        <v>44712</v>
      </c>
      <c r="E400" s="1295">
        <v>44712</v>
      </c>
      <c r="F400" s="1294" t="s">
        <v>2418</v>
      </c>
      <c r="G400" s="1294" t="s">
        <v>2434</v>
      </c>
      <c r="H400" s="1294" t="s">
        <v>262</v>
      </c>
      <c r="I400" s="1294" t="s">
        <v>1212</v>
      </c>
      <c r="J400" s="1294" t="s">
        <v>2421</v>
      </c>
      <c r="K400" s="1294" t="s">
        <v>2422</v>
      </c>
      <c r="L400" s="1294" t="s">
        <v>1353</v>
      </c>
      <c r="M400" s="1294" t="s">
        <v>711</v>
      </c>
      <c r="N400" s="1296" t="s">
        <v>114</v>
      </c>
    </row>
    <row r="401" spans="1:14" hidden="1" x14ac:dyDescent="0.3">
      <c r="A401" s="1293">
        <v>3044</v>
      </c>
      <c r="B401" s="1294" t="s">
        <v>2875</v>
      </c>
      <c r="C401" s="1294" t="s">
        <v>1680</v>
      </c>
      <c r="D401" s="1295">
        <v>44883</v>
      </c>
      <c r="E401" s="1295">
        <v>44883</v>
      </c>
      <c r="F401" s="1294" t="s">
        <v>2418</v>
      </c>
      <c r="G401" s="1294" t="s">
        <v>2419</v>
      </c>
      <c r="H401" s="1294" t="s">
        <v>262</v>
      </c>
      <c r="I401" s="1294" t="s">
        <v>1209</v>
      </c>
      <c r="J401" s="1294" t="s">
        <v>2431</v>
      </c>
      <c r="K401" s="1294" t="s">
        <v>2422</v>
      </c>
      <c r="L401" s="1294" t="s">
        <v>2432</v>
      </c>
      <c r="M401" s="1294" t="s">
        <v>711</v>
      </c>
      <c r="N401" s="1296" t="s">
        <v>113</v>
      </c>
    </row>
    <row r="402" spans="1:14" hidden="1" x14ac:dyDescent="0.3">
      <c r="A402" s="1293">
        <v>2631</v>
      </c>
      <c r="B402" s="1294" t="s">
        <v>2876</v>
      </c>
      <c r="C402" s="1294" t="s">
        <v>721</v>
      </c>
      <c r="D402" s="1295">
        <v>44956</v>
      </c>
      <c r="E402" s="1295">
        <v>44455</v>
      </c>
      <c r="F402" s="1294" t="s">
        <v>2418</v>
      </c>
      <c r="G402" s="1294" t="s">
        <v>2538</v>
      </c>
      <c r="H402" s="1294" t="s">
        <v>262</v>
      </c>
      <c r="I402" s="1294" t="s">
        <v>2536</v>
      </c>
      <c r="J402" s="1294" t="s">
        <v>1333</v>
      </c>
      <c r="K402" s="1294" t="s">
        <v>330</v>
      </c>
      <c r="L402" s="1294" t="s">
        <v>1376</v>
      </c>
      <c r="M402" s="1294" t="s">
        <v>765</v>
      </c>
      <c r="N402" s="1296" t="s">
        <v>116</v>
      </c>
    </row>
    <row r="403" spans="1:14" hidden="1" x14ac:dyDescent="0.3">
      <c r="A403" s="1293">
        <v>3249</v>
      </c>
      <c r="B403" s="1294" t="s">
        <v>2877</v>
      </c>
      <c r="C403" s="1294" t="s">
        <v>1681</v>
      </c>
      <c r="D403" s="1295">
        <v>45253</v>
      </c>
      <c r="E403" s="1295">
        <v>45253</v>
      </c>
      <c r="F403" s="1294" t="s">
        <v>2418</v>
      </c>
      <c r="G403" s="1294" t="s">
        <v>2476</v>
      </c>
      <c r="H403" s="1294" t="s">
        <v>262</v>
      </c>
      <c r="I403" s="1294" t="s">
        <v>1213</v>
      </c>
      <c r="J403" s="1294" t="s">
        <v>2421</v>
      </c>
      <c r="K403" s="1294" t="s">
        <v>2422</v>
      </c>
      <c r="L403" s="1294" t="s">
        <v>1353</v>
      </c>
      <c r="M403" s="1294" t="s">
        <v>711</v>
      </c>
      <c r="N403" s="1296" t="s">
        <v>114</v>
      </c>
    </row>
    <row r="404" spans="1:14" hidden="1" x14ac:dyDescent="0.3">
      <c r="A404" s="1293">
        <v>2144</v>
      </c>
      <c r="B404" s="1294" t="s">
        <v>2878</v>
      </c>
      <c r="C404" s="1294" t="s">
        <v>538</v>
      </c>
      <c r="D404" s="1295">
        <v>44515</v>
      </c>
      <c r="E404" s="1295">
        <v>43951</v>
      </c>
      <c r="F404" s="1294" t="s">
        <v>2418</v>
      </c>
      <c r="G404" s="1294" t="s">
        <v>2538</v>
      </c>
      <c r="H404" s="1294" t="s">
        <v>262</v>
      </c>
      <c r="I404" s="1294" t="s">
        <v>2536</v>
      </c>
      <c r="J404" s="1294" t="s">
        <v>1354</v>
      </c>
      <c r="K404" s="1294" t="s">
        <v>330</v>
      </c>
      <c r="L404" s="1294" t="s">
        <v>1332</v>
      </c>
      <c r="M404" s="1294" t="s">
        <v>765</v>
      </c>
      <c r="N404" s="1296" t="s">
        <v>115</v>
      </c>
    </row>
    <row r="405" spans="1:14" hidden="1" x14ac:dyDescent="0.3">
      <c r="A405" s="1293">
        <v>3017</v>
      </c>
      <c r="B405" s="1294" t="s">
        <v>2879</v>
      </c>
      <c r="C405" s="1294" t="s">
        <v>1710</v>
      </c>
      <c r="D405" s="1295">
        <v>44837</v>
      </c>
      <c r="E405" s="1295">
        <v>44837</v>
      </c>
      <c r="F405" s="1294" t="s">
        <v>2418</v>
      </c>
      <c r="G405" s="1294" t="s">
        <v>2419</v>
      </c>
      <c r="H405" s="1294" t="s">
        <v>262</v>
      </c>
      <c r="I405" s="1294" t="s">
        <v>1208</v>
      </c>
      <c r="J405" s="1294" t="s">
        <v>2437</v>
      </c>
      <c r="K405" s="1294" t="s">
        <v>2422</v>
      </c>
      <c r="L405" s="1294" t="s">
        <v>1353</v>
      </c>
      <c r="M405" s="1294" t="s">
        <v>716</v>
      </c>
      <c r="N405" s="1296" t="s">
        <v>114</v>
      </c>
    </row>
    <row r="406" spans="1:14" hidden="1" x14ac:dyDescent="0.3">
      <c r="A406" s="1293">
        <v>2716</v>
      </c>
      <c r="B406" s="1294" t="s">
        <v>2880</v>
      </c>
      <c r="C406" s="1294" t="s">
        <v>1683</v>
      </c>
      <c r="D406" s="1295">
        <v>44531</v>
      </c>
      <c r="E406" s="1295">
        <v>44531</v>
      </c>
      <c r="F406" s="1294" t="s">
        <v>2418</v>
      </c>
      <c r="G406" s="1294" t="s">
        <v>2508</v>
      </c>
      <c r="H406" s="1294" t="s">
        <v>262</v>
      </c>
      <c r="I406" s="1294" t="s">
        <v>1211</v>
      </c>
      <c r="J406" s="1294" t="s">
        <v>1354</v>
      </c>
      <c r="K406" s="1294" t="s">
        <v>2422</v>
      </c>
      <c r="L406" s="1294" t="s">
        <v>1332</v>
      </c>
      <c r="M406" s="1294" t="s">
        <v>711</v>
      </c>
      <c r="N406" s="1296" t="s">
        <v>115</v>
      </c>
    </row>
    <row r="407" spans="1:14" hidden="1" x14ac:dyDescent="0.3">
      <c r="A407" s="1293">
        <v>2145</v>
      </c>
      <c r="B407" s="1294" t="s">
        <v>2881</v>
      </c>
      <c r="C407" s="1294" t="s">
        <v>1683</v>
      </c>
      <c r="D407" s="1295">
        <v>43850</v>
      </c>
      <c r="E407" s="1295">
        <v>43850</v>
      </c>
      <c r="F407" s="1294" t="s">
        <v>2418</v>
      </c>
      <c r="G407" s="1294" t="s">
        <v>2419</v>
      </c>
      <c r="H407" s="1294" t="s">
        <v>262</v>
      </c>
      <c r="I407" s="1294" t="s">
        <v>1207</v>
      </c>
      <c r="J407" s="1294" t="s">
        <v>1354</v>
      </c>
      <c r="K407" s="1294" t="s">
        <v>2422</v>
      </c>
      <c r="L407" s="1294" t="s">
        <v>1332</v>
      </c>
      <c r="M407" s="1294" t="s">
        <v>711</v>
      </c>
      <c r="N407" s="1296" t="s">
        <v>115</v>
      </c>
    </row>
    <row r="408" spans="1:14" hidden="1" x14ac:dyDescent="0.3">
      <c r="A408" s="1293">
        <v>8429</v>
      </c>
      <c r="B408" s="1294" t="s">
        <v>2882</v>
      </c>
      <c r="C408" s="1294" t="s">
        <v>721</v>
      </c>
      <c r="D408" s="1295">
        <v>44650</v>
      </c>
      <c r="E408" s="1295">
        <v>44650</v>
      </c>
      <c r="F408" s="1294" t="s">
        <v>2418</v>
      </c>
      <c r="G408" s="1294" t="s">
        <v>2538</v>
      </c>
      <c r="H408" s="1294" t="s">
        <v>262</v>
      </c>
      <c r="I408" s="1294" t="s">
        <v>1211</v>
      </c>
      <c r="J408" s="1294" t="s">
        <v>2601</v>
      </c>
      <c r="K408" s="1294" t="s">
        <v>330</v>
      </c>
      <c r="L408" s="1294" t="s">
        <v>1376</v>
      </c>
      <c r="M408" s="1294" t="s">
        <v>765</v>
      </c>
      <c r="N408" s="1296" t="s">
        <v>116</v>
      </c>
    </row>
    <row r="409" spans="1:14" hidden="1" x14ac:dyDescent="0.3">
      <c r="A409" s="1293">
        <v>2752</v>
      </c>
      <c r="B409" s="1294" t="s">
        <v>2883</v>
      </c>
      <c r="C409" s="1294" t="s">
        <v>1681</v>
      </c>
      <c r="D409" s="1295">
        <v>44564</v>
      </c>
      <c r="E409" s="1295">
        <v>44564</v>
      </c>
      <c r="F409" s="1294" t="s">
        <v>2418</v>
      </c>
      <c r="G409" s="1294" t="s">
        <v>2434</v>
      </c>
      <c r="H409" s="1294" t="s">
        <v>262</v>
      </c>
      <c r="I409" s="1294" t="s">
        <v>1211</v>
      </c>
      <c r="J409" s="1294" t="s">
        <v>2421</v>
      </c>
      <c r="K409" s="1294" t="s">
        <v>2422</v>
      </c>
      <c r="L409" s="1294" t="s">
        <v>1353</v>
      </c>
      <c r="M409" s="1294" t="s">
        <v>711</v>
      </c>
      <c r="N409" s="1296" t="s">
        <v>114</v>
      </c>
    </row>
    <row r="410" spans="1:14" hidden="1" x14ac:dyDescent="0.3">
      <c r="A410" s="1293">
        <v>1204</v>
      </c>
      <c r="B410" s="1294" t="s">
        <v>2884</v>
      </c>
      <c r="C410" s="1294" t="s">
        <v>1683</v>
      </c>
      <c r="D410" s="1295">
        <v>41025</v>
      </c>
      <c r="E410" s="1295">
        <v>41025</v>
      </c>
      <c r="F410" s="1294" t="s">
        <v>2418</v>
      </c>
      <c r="G410" s="1294" t="s">
        <v>2419</v>
      </c>
      <c r="H410" s="1294" t="s">
        <v>262</v>
      </c>
      <c r="I410" s="1294" t="s">
        <v>1211</v>
      </c>
      <c r="J410" s="1294" t="s">
        <v>1354</v>
      </c>
      <c r="K410" s="1294" t="s">
        <v>2422</v>
      </c>
      <c r="L410" s="1294" t="s">
        <v>1332</v>
      </c>
      <c r="M410" s="1294" t="s">
        <v>711</v>
      </c>
      <c r="N410" s="1296" t="s">
        <v>115</v>
      </c>
    </row>
    <row r="411" spans="1:14" hidden="1" x14ac:dyDescent="0.3">
      <c r="A411" s="1293">
        <v>2797</v>
      </c>
      <c r="B411" s="1294" t="s">
        <v>2885</v>
      </c>
      <c r="C411" s="1294" t="s">
        <v>2549</v>
      </c>
      <c r="D411" s="1295">
        <v>44599</v>
      </c>
      <c r="E411" s="1295">
        <v>44599</v>
      </c>
      <c r="F411" s="1294" t="s">
        <v>2418</v>
      </c>
      <c r="G411" s="1294" t="s">
        <v>2419</v>
      </c>
      <c r="H411" s="1294" t="s">
        <v>262</v>
      </c>
      <c r="I411" s="1294" t="s">
        <v>1208</v>
      </c>
      <c r="J411" s="1294" t="s">
        <v>2449</v>
      </c>
      <c r="K411" s="1294" t="s">
        <v>2422</v>
      </c>
      <c r="L411" s="1294" t="s">
        <v>2450</v>
      </c>
      <c r="M411" s="1294" t="s">
        <v>716</v>
      </c>
      <c r="N411" s="1296" t="s">
        <v>2452</v>
      </c>
    </row>
    <row r="412" spans="1:14" hidden="1" x14ac:dyDescent="0.3">
      <c r="A412" s="1293">
        <v>1263</v>
      </c>
      <c r="B412" s="1294" t="s">
        <v>2886</v>
      </c>
      <c r="C412" s="1294" t="s">
        <v>1711</v>
      </c>
      <c r="D412" s="1295">
        <v>41295</v>
      </c>
      <c r="E412" s="1295">
        <v>41295</v>
      </c>
      <c r="F412" s="1294" t="s">
        <v>2418</v>
      </c>
      <c r="G412" s="1294" t="s">
        <v>2419</v>
      </c>
      <c r="H412" s="1294" t="s">
        <v>262</v>
      </c>
      <c r="I412" s="1294" t="s">
        <v>1208</v>
      </c>
      <c r="J412" s="1294" t="s">
        <v>2553</v>
      </c>
      <c r="K412" s="1294" t="s">
        <v>2422</v>
      </c>
      <c r="L412" s="1294" t="s">
        <v>1329</v>
      </c>
      <c r="M412" s="1294" t="s">
        <v>716</v>
      </c>
      <c r="N412" s="1296" t="s">
        <v>115</v>
      </c>
    </row>
    <row r="413" spans="1:14" hidden="1" x14ac:dyDescent="0.3">
      <c r="A413" s="1293">
        <v>2374</v>
      </c>
      <c r="B413" s="1294" t="s">
        <v>2887</v>
      </c>
      <c r="C413" s="1294" t="s">
        <v>1680</v>
      </c>
      <c r="D413" s="1295">
        <v>44287</v>
      </c>
      <c r="E413" s="1295">
        <v>44287</v>
      </c>
      <c r="F413" s="1294" t="s">
        <v>2418</v>
      </c>
      <c r="G413" s="1294" t="s">
        <v>2434</v>
      </c>
      <c r="H413" s="1294" t="s">
        <v>262</v>
      </c>
      <c r="I413" s="1294" t="s">
        <v>1211</v>
      </c>
      <c r="J413" s="1294" t="s">
        <v>2431</v>
      </c>
      <c r="K413" s="1294" t="s">
        <v>2422</v>
      </c>
      <c r="L413" s="1294" t="s">
        <v>2432</v>
      </c>
      <c r="M413" s="1294" t="s">
        <v>711</v>
      </c>
      <c r="N413" s="1296" t="s">
        <v>113</v>
      </c>
    </row>
    <row r="414" spans="1:14" hidden="1" x14ac:dyDescent="0.3">
      <c r="A414" s="1293">
        <v>2090</v>
      </c>
      <c r="B414" s="1294" t="s">
        <v>2888</v>
      </c>
      <c r="C414" s="1294" t="s">
        <v>1681</v>
      </c>
      <c r="D414" s="1295">
        <v>43717</v>
      </c>
      <c r="E414" s="1295">
        <v>43717</v>
      </c>
      <c r="F414" s="1294" t="s">
        <v>2418</v>
      </c>
      <c r="G414" s="1294" t="s">
        <v>2419</v>
      </c>
      <c r="H414" s="1294" t="s">
        <v>262</v>
      </c>
      <c r="I414" s="1294" t="s">
        <v>1209</v>
      </c>
      <c r="J414" s="1294" t="s">
        <v>2421</v>
      </c>
      <c r="K414" s="1294" t="s">
        <v>2422</v>
      </c>
      <c r="L414" s="1294" t="s">
        <v>1353</v>
      </c>
      <c r="M414" s="1294" t="s">
        <v>711</v>
      </c>
      <c r="N414" s="1296" t="s">
        <v>114</v>
      </c>
    </row>
    <row r="415" spans="1:14" hidden="1" x14ac:dyDescent="0.3">
      <c r="A415" s="1293">
        <v>1370</v>
      </c>
      <c r="B415" s="1294" t="s">
        <v>2889</v>
      </c>
      <c r="C415" s="1294" t="s">
        <v>1680</v>
      </c>
      <c r="D415" s="1295">
        <v>41855</v>
      </c>
      <c r="E415" s="1295">
        <v>41855</v>
      </c>
      <c r="F415" s="1294" t="s">
        <v>2418</v>
      </c>
      <c r="G415" s="1294" t="s">
        <v>2419</v>
      </c>
      <c r="H415" s="1294" t="s">
        <v>262</v>
      </c>
      <c r="I415" s="1294" t="s">
        <v>1209</v>
      </c>
      <c r="J415" s="1294" t="s">
        <v>2431</v>
      </c>
      <c r="K415" s="1294" t="s">
        <v>2422</v>
      </c>
      <c r="L415" s="1294" t="s">
        <v>2432</v>
      </c>
      <c r="M415" s="1294" t="s">
        <v>711</v>
      </c>
      <c r="N415" s="1296" t="s">
        <v>113</v>
      </c>
    </row>
    <row r="416" spans="1:14" hidden="1" x14ac:dyDescent="0.3">
      <c r="A416" s="1293">
        <v>2809</v>
      </c>
      <c r="B416" s="1294" t="s">
        <v>2890</v>
      </c>
      <c r="C416" s="1294" t="s">
        <v>2549</v>
      </c>
      <c r="D416" s="1295">
        <v>44606</v>
      </c>
      <c r="E416" s="1295">
        <v>44606</v>
      </c>
      <c r="F416" s="1294" t="s">
        <v>2418</v>
      </c>
      <c r="G416" s="1294" t="s">
        <v>2419</v>
      </c>
      <c r="H416" s="1294" t="s">
        <v>262</v>
      </c>
      <c r="I416" s="1294" t="s">
        <v>1208</v>
      </c>
      <c r="J416" s="1294" t="s">
        <v>2449</v>
      </c>
      <c r="K416" s="1294" t="s">
        <v>2422</v>
      </c>
      <c r="L416" s="1294" t="s">
        <v>2450</v>
      </c>
      <c r="M416" s="1294" t="s">
        <v>716</v>
      </c>
      <c r="N416" s="1296" t="s">
        <v>2452</v>
      </c>
    </row>
    <row r="417" spans="1:14" hidden="1" x14ac:dyDescent="0.3">
      <c r="A417" s="1293">
        <v>2850</v>
      </c>
      <c r="B417" s="1294" t="s">
        <v>2891</v>
      </c>
      <c r="C417" s="1294" t="s">
        <v>1680</v>
      </c>
      <c r="D417" s="1295">
        <v>44643</v>
      </c>
      <c r="E417" s="1295">
        <v>44643</v>
      </c>
      <c r="F417" s="1294" t="s">
        <v>2418</v>
      </c>
      <c r="G417" s="1294" t="s">
        <v>2419</v>
      </c>
      <c r="H417" s="1294" t="s">
        <v>262</v>
      </c>
      <c r="I417" s="1294" t="s">
        <v>1211</v>
      </c>
      <c r="J417" s="1294" t="s">
        <v>2431</v>
      </c>
      <c r="K417" s="1294" t="s">
        <v>2422</v>
      </c>
      <c r="L417" s="1294" t="s">
        <v>2432</v>
      </c>
      <c r="M417" s="1294" t="s">
        <v>711</v>
      </c>
      <c r="N417" s="1296" t="s">
        <v>113</v>
      </c>
    </row>
    <row r="418" spans="1:14" hidden="1" x14ac:dyDescent="0.3">
      <c r="A418" s="1293">
        <v>2861</v>
      </c>
      <c r="B418" s="1294" t="s">
        <v>2892</v>
      </c>
      <c r="C418" s="1294" t="s">
        <v>1681</v>
      </c>
      <c r="D418" s="1295">
        <v>44652</v>
      </c>
      <c r="E418" s="1295">
        <v>44652</v>
      </c>
      <c r="F418" s="1294" t="s">
        <v>2418</v>
      </c>
      <c r="G418" s="1294" t="s">
        <v>2419</v>
      </c>
      <c r="H418" s="1294" t="s">
        <v>262</v>
      </c>
      <c r="I418" s="1294" t="s">
        <v>1211</v>
      </c>
      <c r="J418" s="1294" t="s">
        <v>2421</v>
      </c>
      <c r="K418" s="1294" t="s">
        <v>2422</v>
      </c>
      <c r="L418" s="1294" t="s">
        <v>1353</v>
      </c>
      <c r="M418" s="1294" t="s">
        <v>711</v>
      </c>
      <c r="N418" s="1296" t="s">
        <v>114</v>
      </c>
    </row>
    <row r="419" spans="1:14" hidden="1" x14ac:dyDescent="0.3">
      <c r="A419" s="1293">
        <v>2615</v>
      </c>
      <c r="B419" s="1294" t="s">
        <v>2893</v>
      </c>
      <c r="C419" s="1294" t="s">
        <v>1683</v>
      </c>
      <c r="D419" s="1295">
        <v>44439</v>
      </c>
      <c r="E419" s="1295">
        <v>44439</v>
      </c>
      <c r="F419" s="1294" t="s">
        <v>2418</v>
      </c>
      <c r="G419" s="1294" t="s">
        <v>2508</v>
      </c>
      <c r="H419" s="1294" t="s">
        <v>262</v>
      </c>
      <c r="I419" s="1294" t="s">
        <v>2536</v>
      </c>
      <c r="J419" s="1294" t="s">
        <v>1354</v>
      </c>
      <c r="K419" s="1294" t="s">
        <v>2422</v>
      </c>
      <c r="L419" s="1294" t="s">
        <v>1332</v>
      </c>
      <c r="M419" s="1294" t="s">
        <v>711</v>
      </c>
      <c r="N419" s="1296" t="s">
        <v>115</v>
      </c>
    </row>
    <row r="420" spans="1:14" hidden="1" x14ac:dyDescent="0.3">
      <c r="A420" s="1293">
        <v>3248</v>
      </c>
      <c r="B420" s="1294" t="s">
        <v>2894</v>
      </c>
      <c r="C420" s="1294" t="s">
        <v>721</v>
      </c>
      <c r="D420" s="1295">
        <v>45411</v>
      </c>
      <c r="E420" s="1295">
        <v>45411</v>
      </c>
      <c r="F420" s="1294" t="s">
        <v>2895</v>
      </c>
      <c r="G420" s="1294" t="s">
        <v>2896</v>
      </c>
      <c r="H420" s="1294" t="s">
        <v>262</v>
      </c>
      <c r="I420" s="1294" t="s">
        <v>1212</v>
      </c>
      <c r="J420" s="1294" t="s">
        <v>2496</v>
      </c>
      <c r="K420" s="1294" t="s">
        <v>2459</v>
      </c>
      <c r="L420" s="1294" t="s">
        <v>1372</v>
      </c>
      <c r="M420" s="1294" t="s">
        <v>765</v>
      </c>
      <c r="N420" s="1296" t="s">
        <v>116</v>
      </c>
    </row>
    <row r="421" spans="1:14" hidden="1" x14ac:dyDescent="0.3">
      <c r="A421" s="1293">
        <v>8426</v>
      </c>
      <c r="B421" s="1294" t="s">
        <v>2897</v>
      </c>
      <c r="C421" s="1294" t="s">
        <v>538</v>
      </c>
      <c r="D421" s="1295">
        <v>44643</v>
      </c>
      <c r="E421" s="1295">
        <v>44643</v>
      </c>
      <c r="F421" s="1294" t="s">
        <v>2418</v>
      </c>
      <c r="G421" s="1294" t="s">
        <v>2482</v>
      </c>
      <c r="H421" s="1294" t="s">
        <v>262</v>
      </c>
      <c r="I421" s="1294" t="s">
        <v>1212</v>
      </c>
      <c r="J421" s="1294" t="s">
        <v>1396</v>
      </c>
      <c r="K421" s="1294" t="s">
        <v>2459</v>
      </c>
      <c r="L421" s="1294" t="s">
        <v>1332</v>
      </c>
      <c r="M421" s="1294" t="s">
        <v>765</v>
      </c>
      <c r="N421" s="1296" t="s">
        <v>115</v>
      </c>
    </row>
    <row r="422" spans="1:14" hidden="1" x14ac:dyDescent="0.3">
      <c r="A422" s="1293">
        <v>1900</v>
      </c>
      <c r="B422" s="1294" t="s">
        <v>2898</v>
      </c>
      <c r="C422" s="1294" t="s">
        <v>1680</v>
      </c>
      <c r="D422" s="1295">
        <v>43430</v>
      </c>
      <c r="E422" s="1295">
        <v>43430</v>
      </c>
      <c r="F422" s="1294" t="s">
        <v>2418</v>
      </c>
      <c r="G422" s="1294" t="s">
        <v>2419</v>
      </c>
      <c r="H422" s="1294" t="s">
        <v>262</v>
      </c>
      <c r="I422" s="1294" t="s">
        <v>1211</v>
      </c>
      <c r="J422" s="1294" t="s">
        <v>2431</v>
      </c>
      <c r="K422" s="1294" t="s">
        <v>2422</v>
      </c>
      <c r="L422" s="1294" t="s">
        <v>2432</v>
      </c>
      <c r="M422" s="1294" t="s">
        <v>711</v>
      </c>
      <c r="N422" s="1296" t="s">
        <v>113</v>
      </c>
    </row>
    <row r="423" spans="1:14" hidden="1" x14ac:dyDescent="0.3">
      <c r="A423" s="1293">
        <v>9305</v>
      </c>
      <c r="B423" s="1294" t="s">
        <v>2899</v>
      </c>
      <c r="C423" s="1294" t="s">
        <v>1680</v>
      </c>
      <c r="D423" s="1295">
        <v>45017</v>
      </c>
      <c r="E423" s="1295">
        <v>45017</v>
      </c>
      <c r="F423" s="1294" t="s">
        <v>2418</v>
      </c>
      <c r="G423" s="1294" t="s">
        <v>2419</v>
      </c>
      <c r="H423" s="1294" t="s">
        <v>262</v>
      </c>
      <c r="I423" s="1294" t="s">
        <v>1207</v>
      </c>
      <c r="J423" s="1294" t="s">
        <v>2446</v>
      </c>
      <c r="K423" s="1294" t="s">
        <v>2422</v>
      </c>
      <c r="L423" s="1294" t="s">
        <v>2447</v>
      </c>
      <c r="M423" s="1294" t="s">
        <v>711</v>
      </c>
      <c r="N423" s="1296" t="s">
        <v>113</v>
      </c>
    </row>
    <row r="424" spans="1:14" hidden="1" x14ac:dyDescent="0.3">
      <c r="A424" s="1293">
        <v>8417</v>
      </c>
      <c r="B424" s="1294" t="s">
        <v>2900</v>
      </c>
      <c r="C424" s="1294" t="s">
        <v>536</v>
      </c>
      <c r="D424" s="1295">
        <v>44592</v>
      </c>
      <c r="E424" s="1295">
        <v>44592</v>
      </c>
      <c r="F424" s="1294" t="s">
        <v>2418</v>
      </c>
      <c r="G424" s="1294" t="s">
        <v>2531</v>
      </c>
      <c r="H424" s="1294" t="s">
        <v>262</v>
      </c>
      <c r="I424" s="1294" t="s">
        <v>2543</v>
      </c>
      <c r="J424" s="1294" t="s">
        <v>2421</v>
      </c>
      <c r="K424" s="1294" t="s">
        <v>2459</v>
      </c>
      <c r="L424" s="1294" t="s">
        <v>1353</v>
      </c>
      <c r="M424" s="1294" t="s">
        <v>765</v>
      </c>
      <c r="N424" s="1296" t="s">
        <v>114</v>
      </c>
    </row>
    <row r="425" spans="1:14" hidden="1" x14ac:dyDescent="0.3">
      <c r="A425" s="1293">
        <v>2725</v>
      </c>
      <c r="B425" s="1294" t="s">
        <v>2901</v>
      </c>
      <c r="C425" s="1294" t="s">
        <v>1681</v>
      </c>
      <c r="D425" s="1295">
        <v>44539</v>
      </c>
      <c r="E425" s="1295">
        <v>44539</v>
      </c>
      <c r="F425" s="1294" t="s">
        <v>2418</v>
      </c>
      <c r="G425" s="1294" t="s">
        <v>2434</v>
      </c>
      <c r="H425" s="1294" t="s">
        <v>262</v>
      </c>
      <c r="I425" s="1294" t="s">
        <v>1211</v>
      </c>
      <c r="J425" s="1294" t="s">
        <v>2421</v>
      </c>
      <c r="K425" s="1294" t="s">
        <v>2422</v>
      </c>
      <c r="L425" s="1294" t="s">
        <v>1353</v>
      </c>
      <c r="M425" s="1294" t="s">
        <v>711</v>
      </c>
      <c r="N425" s="1296" t="s">
        <v>114</v>
      </c>
    </row>
    <row r="426" spans="1:14" hidden="1" x14ac:dyDescent="0.3">
      <c r="A426" s="1293">
        <v>3163</v>
      </c>
      <c r="B426" s="1294" t="s">
        <v>2902</v>
      </c>
      <c r="C426" s="1294" t="s">
        <v>1710</v>
      </c>
      <c r="D426" s="1295">
        <v>45019</v>
      </c>
      <c r="E426" s="1295">
        <v>45019</v>
      </c>
      <c r="F426" s="1294" t="s">
        <v>2418</v>
      </c>
      <c r="G426" s="1294" t="s">
        <v>2419</v>
      </c>
      <c r="H426" s="1294" t="s">
        <v>262</v>
      </c>
      <c r="I426" s="1294" t="s">
        <v>1208</v>
      </c>
      <c r="J426" s="1294" t="s">
        <v>2425</v>
      </c>
      <c r="K426" s="1294" t="s">
        <v>2422</v>
      </c>
      <c r="L426" s="1294" t="s">
        <v>1350</v>
      </c>
      <c r="M426" s="1294" t="s">
        <v>716</v>
      </c>
      <c r="N426" s="1296" t="s">
        <v>114</v>
      </c>
    </row>
    <row r="427" spans="1:14" hidden="1" x14ac:dyDescent="0.3">
      <c r="A427" s="1293">
        <v>2921</v>
      </c>
      <c r="B427" s="1294" t="s">
        <v>2903</v>
      </c>
      <c r="C427" s="1294" t="s">
        <v>1681</v>
      </c>
      <c r="D427" s="1295">
        <v>44725</v>
      </c>
      <c r="E427" s="1295">
        <v>44725</v>
      </c>
      <c r="F427" s="1294" t="s">
        <v>2418</v>
      </c>
      <c r="G427" s="1294" t="s">
        <v>2419</v>
      </c>
      <c r="H427" s="1294" t="s">
        <v>262</v>
      </c>
      <c r="I427" s="1294" t="s">
        <v>1211</v>
      </c>
      <c r="J427" s="1294" t="s">
        <v>2421</v>
      </c>
      <c r="K427" s="1294" t="s">
        <v>2422</v>
      </c>
      <c r="L427" s="1294" t="s">
        <v>1353</v>
      </c>
      <c r="M427" s="1294" t="s">
        <v>711</v>
      </c>
      <c r="N427" s="1296" t="s">
        <v>114</v>
      </c>
    </row>
    <row r="428" spans="1:14" hidden="1" x14ac:dyDescent="0.3">
      <c r="A428" s="1293">
        <v>3417</v>
      </c>
      <c r="B428" s="1294" t="s">
        <v>2904</v>
      </c>
      <c r="C428" s="1294" t="s">
        <v>1681</v>
      </c>
      <c r="D428" s="1295">
        <v>45628</v>
      </c>
      <c r="E428" s="1295">
        <v>45628</v>
      </c>
      <c r="F428" s="1294" t="s">
        <v>2418</v>
      </c>
      <c r="G428" s="1294" t="s">
        <v>2419</v>
      </c>
      <c r="H428" s="1294" t="s">
        <v>262</v>
      </c>
      <c r="I428" s="1294" t="s">
        <v>1205</v>
      </c>
      <c r="J428" s="1294" t="s">
        <v>2421</v>
      </c>
      <c r="K428" s="1294" t="s">
        <v>2422</v>
      </c>
      <c r="L428" s="1294" t="s">
        <v>1353</v>
      </c>
      <c r="M428" s="1294" t="s">
        <v>711</v>
      </c>
      <c r="N428" s="1296" t="s">
        <v>114</v>
      </c>
    </row>
    <row r="429" spans="1:14" hidden="1" x14ac:dyDescent="0.3">
      <c r="A429" s="1293">
        <v>2662</v>
      </c>
      <c r="B429" s="1294" t="s">
        <v>2905</v>
      </c>
      <c r="C429" s="1294" t="s">
        <v>1683</v>
      </c>
      <c r="D429" s="1295">
        <v>44489</v>
      </c>
      <c r="E429" s="1295">
        <v>44489</v>
      </c>
      <c r="F429" s="1294" t="s">
        <v>2418</v>
      </c>
      <c r="G429" s="1294" t="s">
        <v>2419</v>
      </c>
      <c r="H429" s="1294" t="s">
        <v>262</v>
      </c>
      <c r="I429" s="1294" t="s">
        <v>1211</v>
      </c>
      <c r="J429" s="1294" t="s">
        <v>1354</v>
      </c>
      <c r="K429" s="1294" t="s">
        <v>2422</v>
      </c>
      <c r="L429" s="1294" t="s">
        <v>1332</v>
      </c>
      <c r="M429" s="1294" t="s">
        <v>711</v>
      </c>
      <c r="N429" s="1296" t="s">
        <v>115</v>
      </c>
    </row>
    <row r="430" spans="1:14" hidden="1" x14ac:dyDescent="0.3">
      <c r="A430" s="1293">
        <v>3207</v>
      </c>
      <c r="B430" s="1294" t="s">
        <v>2906</v>
      </c>
      <c r="C430" s="1294" t="s">
        <v>1680</v>
      </c>
      <c r="D430" s="1295">
        <v>45113</v>
      </c>
      <c r="E430" s="1295">
        <v>45113</v>
      </c>
      <c r="F430" s="1294" t="s">
        <v>2418</v>
      </c>
      <c r="G430" s="1294" t="s">
        <v>2508</v>
      </c>
      <c r="H430" s="1294" t="s">
        <v>262</v>
      </c>
      <c r="I430" s="1294" t="s">
        <v>1213</v>
      </c>
      <c r="J430" s="1294" t="s">
        <v>2431</v>
      </c>
      <c r="K430" s="1294" t="s">
        <v>2422</v>
      </c>
      <c r="L430" s="1294" t="s">
        <v>2432</v>
      </c>
      <c r="M430" s="1294" t="s">
        <v>711</v>
      </c>
      <c r="N430" s="1296" t="s">
        <v>113</v>
      </c>
    </row>
    <row r="431" spans="1:14" hidden="1" x14ac:dyDescent="0.3">
      <c r="A431" s="1293">
        <v>2165</v>
      </c>
      <c r="B431" s="1294" t="s">
        <v>2907</v>
      </c>
      <c r="C431" s="1294" t="s">
        <v>1681</v>
      </c>
      <c r="D431" s="1295">
        <v>43969</v>
      </c>
      <c r="E431" s="1295">
        <v>43969</v>
      </c>
      <c r="F431" s="1294" t="s">
        <v>2418</v>
      </c>
      <c r="G431" s="1294" t="s">
        <v>2419</v>
      </c>
      <c r="H431" s="1294" t="s">
        <v>262</v>
      </c>
      <c r="I431" s="1294" t="s">
        <v>1212</v>
      </c>
      <c r="J431" s="1294" t="s">
        <v>2427</v>
      </c>
      <c r="K431" s="1294" t="s">
        <v>2422</v>
      </c>
      <c r="L431" s="1294" t="s">
        <v>1350</v>
      </c>
      <c r="M431" s="1294" t="s">
        <v>711</v>
      </c>
      <c r="N431" s="1296" t="s">
        <v>114</v>
      </c>
    </row>
    <row r="432" spans="1:14" hidden="1" x14ac:dyDescent="0.3">
      <c r="A432" s="1293">
        <v>1793</v>
      </c>
      <c r="B432" s="1294" t="s">
        <v>2908</v>
      </c>
      <c r="C432" s="1294" t="s">
        <v>536</v>
      </c>
      <c r="D432" s="1295">
        <v>44501</v>
      </c>
      <c r="E432" s="1295">
        <v>43269</v>
      </c>
      <c r="F432" s="1294" t="s">
        <v>2418</v>
      </c>
      <c r="G432" s="1294" t="s">
        <v>2538</v>
      </c>
      <c r="H432" s="1294" t="s">
        <v>262</v>
      </c>
      <c r="I432" s="1294" t="s">
        <v>1209</v>
      </c>
      <c r="J432" s="1294" t="s">
        <v>2427</v>
      </c>
      <c r="K432" s="1294" t="s">
        <v>330</v>
      </c>
      <c r="L432" s="1294" t="s">
        <v>1350</v>
      </c>
      <c r="M432" s="1294" t="s">
        <v>765</v>
      </c>
      <c r="N432" s="1296" t="s">
        <v>114</v>
      </c>
    </row>
    <row r="433" spans="1:14" hidden="1" x14ac:dyDescent="0.3">
      <c r="A433" s="1293">
        <v>2793</v>
      </c>
      <c r="B433" s="1294" t="s">
        <v>2909</v>
      </c>
      <c r="C433" s="1294" t="s">
        <v>1681</v>
      </c>
      <c r="D433" s="1295">
        <v>44599</v>
      </c>
      <c r="E433" s="1295">
        <v>44599</v>
      </c>
      <c r="F433" s="1294" t="s">
        <v>2418</v>
      </c>
      <c r="G433" s="1294" t="s">
        <v>2434</v>
      </c>
      <c r="H433" s="1294" t="s">
        <v>262</v>
      </c>
      <c r="I433" s="1294" t="s">
        <v>1211</v>
      </c>
      <c r="J433" s="1294" t="s">
        <v>2427</v>
      </c>
      <c r="K433" s="1294" t="s">
        <v>2422</v>
      </c>
      <c r="L433" s="1294" t="s">
        <v>1350</v>
      </c>
      <c r="M433" s="1294" t="s">
        <v>711</v>
      </c>
      <c r="N433" s="1296" t="s">
        <v>114</v>
      </c>
    </row>
    <row r="434" spans="1:14" hidden="1" x14ac:dyDescent="0.3">
      <c r="A434" s="1293">
        <v>2762</v>
      </c>
      <c r="B434" s="1294" t="s">
        <v>2910</v>
      </c>
      <c r="C434" s="1294" t="s">
        <v>1680</v>
      </c>
      <c r="D434" s="1295">
        <v>44578</v>
      </c>
      <c r="E434" s="1295">
        <v>44578</v>
      </c>
      <c r="F434" s="1294" t="s">
        <v>2418</v>
      </c>
      <c r="G434" s="1294" t="s">
        <v>2419</v>
      </c>
      <c r="H434" s="1294" t="s">
        <v>262</v>
      </c>
      <c r="I434" s="1294" t="s">
        <v>1211</v>
      </c>
      <c r="J434" s="1294" t="s">
        <v>2446</v>
      </c>
      <c r="K434" s="1294" t="s">
        <v>2422</v>
      </c>
      <c r="L434" s="1294" t="s">
        <v>2447</v>
      </c>
      <c r="M434" s="1294" t="s">
        <v>711</v>
      </c>
      <c r="N434" s="1296" t="s">
        <v>113</v>
      </c>
    </row>
    <row r="435" spans="1:14" hidden="1" x14ac:dyDescent="0.3">
      <c r="A435" s="1293">
        <v>2914</v>
      </c>
      <c r="B435" s="1294" t="s">
        <v>2911</v>
      </c>
      <c r="C435" s="1294" t="s">
        <v>1681</v>
      </c>
      <c r="D435" s="1295">
        <v>44707</v>
      </c>
      <c r="E435" s="1295">
        <v>44707</v>
      </c>
      <c r="F435" s="1294" t="s">
        <v>2418</v>
      </c>
      <c r="G435" s="1294" t="s">
        <v>2508</v>
      </c>
      <c r="H435" s="1294" t="s">
        <v>262</v>
      </c>
      <c r="I435" s="1294" t="s">
        <v>1211</v>
      </c>
      <c r="J435" s="1294" t="s">
        <v>2421</v>
      </c>
      <c r="K435" s="1294" t="s">
        <v>2422</v>
      </c>
      <c r="L435" s="1294" t="s">
        <v>1353</v>
      </c>
      <c r="M435" s="1294" t="s">
        <v>711</v>
      </c>
      <c r="N435" s="1296" t="s">
        <v>114</v>
      </c>
    </row>
    <row r="436" spans="1:14" hidden="1" x14ac:dyDescent="0.3">
      <c r="A436" s="1293">
        <v>2822</v>
      </c>
      <c r="B436" s="1294" t="s">
        <v>2912</v>
      </c>
      <c r="C436" s="1294" t="s">
        <v>2474</v>
      </c>
      <c r="D436" s="1295">
        <v>44620</v>
      </c>
      <c r="E436" s="1295">
        <v>44620</v>
      </c>
      <c r="F436" s="1294" t="s">
        <v>2418</v>
      </c>
      <c r="G436" s="1294" t="s">
        <v>2434</v>
      </c>
      <c r="H436" s="1294" t="s">
        <v>262</v>
      </c>
      <c r="I436" s="1294" t="s">
        <v>1208</v>
      </c>
      <c r="J436" s="1294" t="s">
        <v>2431</v>
      </c>
      <c r="K436" s="1294" t="s">
        <v>2422</v>
      </c>
      <c r="L436" s="1294" t="s">
        <v>2432</v>
      </c>
      <c r="M436" s="1294" t="s">
        <v>716</v>
      </c>
      <c r="N436" s="1296" t="s">
        <v>113</v>
      </c>
    </row>
    <row r="437" spans="1:14" hidden="1" x14ac:dyDescent="0.3">
      <c r="A437" s="1293">
        <v>2458</v>
      </c>
      <c r="B437" s="1294" t="s">
        <v>2913</v>
      </c>
      <c r="C437" s="1294" t="s">
        <v>1681</v>
      </c>
      <c r="D437" s="1295">
        <v>44348</v>
      </c>
      <c r="E437" s="1295">
        <v>44348</v>
      </c>
      <c r="F437" s="1294" t="s">
        <v>2418</v>
      </c>
      <c r="G437" s="1294" t="s">
        <v>2419</v>
      </c>
      <c r="H437" s="1294" t="s">
        <v>262</v>
      </c>
      <c r="I437" s="1294" t="s">
        <v>1205</v>
      </c>
      <c r="J437" s="1294" t="s">
        <v>2421</v>
      </c>
      <c r="K437" s="1294" t="s">
        <v>2422</v>
      </c>
      <c r="L437" s="1294" t="s">
        <v>1353</v>
      </c>
      <c r="M437" s="1294" t="s">
        <v>711</v>
      </c>
      <c r="N437" s="1296" t="s">
        <v>114</v>
      </c>
    </row>
    <row r="438" spans="1:14" hidden="1" x14ac:dyDescent="0.3">
      <c r="A438" s="1293">
        <v>2733</v>
      </c>
      <c r="B438" s="1294" t="s">
        <v>2914</v>
      </c>
      <c r="C438" s="1294" t="s">
        <v>1681</v>
      </c>
      <c r="D438" s="1295">
        <v>44545</v>
      </c>
      <c r="E438" s="1295">
        <v>44545</v>
      </c>
      <c r="F438" s="1294" t="s">
        <v>2418</v>
      </c>
      <c r="G438" s="1294" t="s">
        <v>2419</v>
      </c>
      <c r="H438" s="1294" t="s">
        <v>262</v>
      </c>
      <c r="I438" s="1294" t="s">
        <v>1211</v>
      </c>
      <c r="J438" s="1294" t="s">
        <v>2421</v>
      </c>
      <c r="K438" s="1294" t="s">
        <v>2422</v>
      </c>
      <c r="L438" s="1294" t="s">
        <v>1353</v>
      </c>
      <c r="M438" s="1294" t="s">
        <v>711</v>
      </c>
      <c r="N438" s="1296" t="s">
        <v>114</v>
      </c>
    </row>
    <row r="439" spans="1:14" hidden="1" x14ac:dyDescent="0.3">
      <c r="A439" s="1293">
        <v>1920</v>
      </c>
      <c r="B439" s="1294" t="s">
        <v>2915</v>
      </c>
      <c r="C439" s="1294" t="s">
        <v>2474</v>
      </c>
      <c r="D439" s="1295">
        <v>43458</v>
      </c>
      <c r="E439" s="1295">
        <v>43458</v>
      </c>
      <c r="F439" s="1294" t="s">
        <v>2418</v>
      </c>
      <c r="G439" s="1294" t="s">
        <v>2419</v>
      </c>
      <c r="H439" s="1294" t="s">
        <v>262</v>
      </c>
      <c r="I439" s="1294" t="s">
        <v>1208</v>
      </c>
      <c r="J439" s="1294" t="s">
        <v>2431</v>
      </c>
      <c r="K439" s="1294" t="s">
        <v>2422</v>
      </c>
      <c r="L439" s="1294" t="s">
        <v>2432</v>
      </c>
      <c r="M439" s="1294" t="s">
        <v>716</v>
      </c>
      <c r="N439" s="1296" t="s">
        <v>113</v>
      </c>
    </row>
    <row r="440" spans="1:14" hidden="1" x14ac:dyDescent="0.3">
      <c r="A440" s="1293">
        <v>2849</v>
      </c>
      <c r="B440" s="1294" t="s">
        <v>2916</v>
      </c>
      <c r="C440" s="1294" t="s">
        <v>1680</v>
      </c>
      <c r="D440" s="1295">
        <v>44643</v>
      </c>
      <c r="E440" s="1295">
        <v>44643</v>
      </c>
      <c r="F440" s="1294" t="s">
        <v>2418</v>
      </c>
      <c r="G440" s="1294" t="s">
        <v>2419</v>
      </c>
      <c r="H440" s="1294" t="s">
        <v>262</v>
      </c>
      <c r="I440" s="1294" t="s">
        <v>1211</v>
      </c>
      <c r="J440" s="1294" t="s">
        <v>2446</v>
      </c>
      <c r="K440" s="1294" t="s">
        <v>2422</v>
      </c>
      <c r="L440" s="1294" t="s">
        <v>2447</v>
      </c>
      <c r="M440" s="1294" t="s">
        <v>711</v>
      </c>
      <c r="N440" s="1296" t="s">
        <v>113</v>
      </c>
    </row>
    <row r="441" spans="1:14" hidden="1" x14ac:dyDescent="0.3">
      <c r="A441" s="1293">
        <v>2813</v>
      </c>
      <c r="B441" s="1294" t="s">
        <v>2917</v>
      </c>
      <c r="C441" s="1294" t="s">
        <v>534</v>
      </c>
      <c r="D441" s="1295">
        <v>45530</v>
      </c>
      <c r="E441" s="1295">
        <v>44609</v>
      </c>
      <c r="F441" s="1294" t="s">
        <v>2418</v>
      </c>
      <c r="G441" s="1294" t="s">
        <v>2556</v>
      </c>
      <c r="H441" s="1294" t="s">
        <v>262</v>
      </c>
      <c r="I441" s="1294" t="s">
        <v>2543</v>
      </c>
      <c r="J441" s="1294" t="s">
        <v>2431</v>
      </c>
      <c r="K441" s="1294" t="s">
        <v>2459</v>
      </c>
      <c r="L441" s="1294" t="s">
        <v>2432</v>
      </c>
      <c r="M441" s="1294" t="s">
        <v>765</v>
      </c>
      <c r="N441" s="1296" t="s">
        <v>113</v>
      </c>
    </row>
    <row r="442" spans="1:14" hidden="1" x14ac:dyDescent="0.3">
      <c r="A442" s="1293">
        <v>2266</v>
      </c>
      <c r="B442" s="1294" t="s">
        <v>2918</v>
      </c>
      <c r="C442" s="1294" t="s">
        <v>534</v>
      </c>
      <c r="D442" s="1295">
        <v>45019</v>
      </c>
      <c r="E442" s="1295">
        <v>44165</v>
      </c>
      <c r="F442" s="1294" t="s">
        <v>2418</v>
      </c>
      <c r="G442" s="1294" t="s">
        <v>2538</v>
      </c>
      <c r="H442" s="1294" t="s">
        <v>262</v>
      </c>
      <c r="I442" s="1294" t="s">
        <v>1209</v>
      </c>
      <c r="J442" s="1294" t="s">
        <v>2431</v>
      </c>
      <c r="K442" s="1294" t="s">
        <v>330</v>
      </c>
      <c r="L442" s="1294" t="s">
        <v>2432</v>
      </c>
      <c r="M442" s="1294" t="s">
        <v>765</v>
      </c>
      <c r="N442" s="1296" t="s">
        <v>113</v>
      </c>
    </row>
    <row r="443" spans="1:14" hidden="1" x14ac:dyDescent="0.3">
      <c r="A443" s="1293">
        <v>2971</v>
      </c>
      <c r="B443" s="1294" t="s">
        <v>2919</v>
      </c>
      <c r="C443" s="1294" t="s">
        <v>2451</v>
      </c>
      <c r="D443" s="1295">
        <v>44791</v>
      </c>
      <c r="E443" s="1295">
        <v>44791</v>
      </c>
      <c r="F443" s="1294" t="s">
        <v>2418</v>
      </c>
      <c r="G443" s="1294" t="s">
        <v>2419</v>
      </c>
      <c r="H443" s="1294" t="s">
        <v>262</v>
      </c>
      <c r="I443" s="1294" t="s">
        <v>1212</v>
      </c>
      <c r="J443" s="1294" t="s">
        <v>2449</v>
      </c>
      <c r="K443" s="1294" t="s">
        <v>2422</v>
      </c>
      <c r="L443" s="1294" t="s">
        <v>2450</v>
      </c>
      <c r="M443" s="1294" t="s">
        <v>711</v>
      </c>
      <c r="N443" s="1296" t="s">
        <v>2452</v>
      </c>
    </row>
    <row r="444" spans="1:14" hidden="1" x14ac:dyDescent="0.3">
      <c r="A444" s="1293">
        <v>2504</v>
      </c>
      <c r="B444" s="1294" t="s">
        <v>2920</v>
      </c>
      <c r="C444" s="1294" t="s">
        <v>1680</v>
      </c>
      <c r="D444" s="1295">
        <v>44383</v>
      </c>
      <c r="E444" s="1295">
        <v>44383</v>
      </c>
      <c r="F444" s="1294" t="s">
        <v>2418</v>
      </c>
      <c r="G444" s="1294" t="s">
        <v>2419</v>
      </c>
      <c r="H444" s="1294" t="s">
        <v>262</v>
      </c>
      <c r="I444" s="1294" t="s">
        <v>1207</v>
      </c>
      <c r="J444" s="1294" t="s">
        <v>2446</v>
      </c>
      <c r="K444" s="1294" t="s">
        <v>2422</v>
      </c>
      <c r="L444" s="1294" t="s">
        <v>2447</v>
      </c>
      <c r="M444" s="1294" t="s">
        <v>711</v>
      </c>
      <c r="N444" s="1296" t="s">
        <v>113</v>
      </c>
    </row>
    <row r="445" spans="1:14" hidden="1" x14ac:dyDescent="0.3">
      <c r="A445" s="1293">
        <v>8028</v>
      </c>
      <c r="B445" s="1294" t="s">
        <v>2921</v>
      </c>
      <c r="C445" s="1294" t="s">
        <v>538</v>
      </c>
      <c r="D445" s="1295">
        <v>40087</v>
      </c>
      <c r="E445" s="1295">
        <v>40087</v>
      </c>
      <c r="F445" s="1294" t="s">
        <v>2418</v>
      </c>
      <c r="G445" s="1294" t="s">
        <v>2922</v>
      </c>
      <c r="H445" s="1294" t="s">
        <v>262</v>
      </c>
      <c r="I445" s="1294" t="s">
        <v>1211</v>
      </c>
      <c r="J445" s="1294" t="s">
        <v>1354</v>
      </c>
      <c r="K445" s="1294" t="s">
        <v>2459</v>
      </c>
      <c r="L445" s="1294" t="s">
        <v>1332</v>
      </c>
      <c r="M445" s="1294" t="s">
        <v>765</v>
      </c>
      <c r="N445" s="1296" t="s">
        <v>115</v>
      </c>
    </row>
    <row r="446" spans="1:14" hidden="1" x14ac:dyDescent="0.3">
      <c r="A446" s="1293">
        <v>2927</v>
      </c>
      <c r="B446" s="1294" t="s">
        <v>2923</v>
      </c>
      <c r="C446" s="1294" t="s">
        <v>1681</v>
      </c>
      <c r="D446" s="1295">
        <v>44732</v>
      </c>
      <c r="E446" s="1295">
        <v>44732</v>
      </c>
      <c r="F446" s="1294" t="s">
        <v>2418</v>
      </c>
      <c r="G446" s="1294" t="s">
        <v>2419</v>
      </c>
      <c r="H446" s="1294" t="s">
        <v>262</v>
      </c>
      <c r="I446" s="1294" t="s">
        <v>2536</v>
      </c>
      <c r="J446" s="1294" t="s">
        <v>2427</v>
      </c>
      <c r="K446" s="1294" t="s">
        <v>2422</v>
      </c>
      <c r="L446" s="1294" t="s">
        <v>1350</v>
      </c>
      <c r="M446" s="1294" t="s">
        <v>711</v>
      </c>
      <c r="N446" s="1296" t="s">
        <v>114</v>
      </c>
    </row>
    <row r="447" spans="1:14" hidden="1" x14ac:dyDescent="0.3">
      <c r="A447" s="1293">
        <v>2827</v>
      </c>
      <c r="B447" s="1294" t="s">
        <v>2924</v>
      </c>
      <c r="C447" s="1294" t="s">
        <v>1684</v>
      </c>
      <c r="D447" s="1295">
        <v>44621</v>
      </c>
      <c r="E447" s="1295">
        <v>44621</v>
      </c>
      <c r="F447" s="1294" t="s">
        <v>2418</v>
      </c>
      <c r="G447" s="1294" t="s">
        <v>2419</v>
      </c>
      <c r="H447" s="1294" t="s">
        <v>262</v>
      </c>
      <c r="I447" s="1294" t="s">
        <v>1212</v>
      </c>
      <c r="J447" s="1294" t="s">
        <v>1351</v>
      </c>
      <c r="K447" s="1294" t="s">
        <v>2422</v>
      </c>
      <c r="L447" s="1294" t="s">
        <v>1329</v>
      </c>
      <c r="M447" s="1294" t="s">
        <v>711</v>
      </c>
      <c r="N447" s="1296" t="s">
        <v>115</v>
      </c>
    </row>
    <row r="448" spans="1:14" hidden="1" x14ac:dyDescent="0.3">
      <c r="A448" s="1293">
        <v>2541</v>
      </c>
      <c r="B448" s="1294" t="s">
        <v>2925</v>
      </c>
      <c r="C448" s="1294" t="s">
        <v>1681</v>
      </c>
      <c r="D448" s="1295">
        <v>44419</v>
      </c>
      <c r="E448" s="1295">
        <v>44419</v>
      </c>
      <c r="F448" s="1294" t="s">
        <v>2418</v>
      </c>
      <c r="G448" s="1294" t="s">
        <v>2508</v>
      </c>
      <c r="H448" s="1294" t="s">
        <v>262</v>
      </c>
      <c r="I448" s="1294" t="s">
        <v>1211</v>
      </c>
      <c r="J448" s="1294" t="s">
        <v>2421</v>
      </c>
      <c r="K448" s="1294" t="s">
        <v>2422</v>
      </c>
      <c r="L448" s="1294" t="s">
        <v>1353</v>
      </c>
      <c r="M448" s="1294" t="s">
        <v>711</v>
      </c>
      <c r="N448" s="1296" t="s">
        <v>114</v>
      </c>
    </row>
    <row r="449" spans="1:14" hidden="1" x14ac:dyDescent="0.3">
      <c r="A449" s="1293">
        <v>2166</v>
      </c>
      <c r="B449" s="1294" t="s">
        <v>2926</v>
      </c>
      <c r="C449" s="1294" t="s">
        <v>1681</v>
      </c>
      <c r="D449" s="1295">
        <v>43977</v>
      </c>
      <c r="E449" s="1295">
        <v>43977</v>
      </c>
      <c r="F449" s="1294" t="s">
        <v>2418</v>
      </c>
      <c r="G449" s="1294" t="s">
        <v>2434</v>
      </c>
      <c r="H449" s="1294" t="s">
        <v>262</v>
      </c>
      <c r="I449" s="1294" t="s">
        <v>1211</v>
      </c>
      <c r="J449" s="1294" t="s">
        <v>2421</v>
      </c>
      <c r="K449" s="1294" t="s">
        <v>2422</v>
      </c>
      <c r="L449" s="1294" t="s">
        <v>1353</v>
      </c>
      <c r="M449" s="1294" t="s">
        <v>711</v>
      </c>
      <c r="N449" s="1296" t="s">
        <v>114</v>
      </c>
    </row>
    <row r="450" spans="1:14" hidden="1" x14ac:dyDescent="0.3">
      <c r="A450" s="1293">
        <v>2284</v>
      </c>
      <c r="B450" s="1294" t="s">
        <v>2927</v>
      </c>
      <c r="C450" s="1294" t="s">
        <v>1680</v>
      </c>
      <c r="D450" s="1295">
        <v>44179</v>
      </c>
      <c r="E450" s="1295">
        <v>44179</v>
      </c>
      <c r="F450" s="1294" t="s">
        <v>2418</v>
      </c>
      <c r="G450" s="1294" t="s">
        <v>2434</v>
      </c>
      <c r="H450" s="1294" t="s">
        <v>262</v>
      </c>
      <c r="I450" s="1294" t="s">
        <v>1209</v>
      </c>
      <c r="J450" s="1294" t="s">
        <v>2431</v>
      </c>
      <c r="K450" s="1294" t="s">
        <v>2422</v>
      </c>
      <c r="L450" s="1294" t="s">
        <v>2432</v>
      </c>
      <c r="M450" s="1294" t="s">
        <v>711</v>
      </c>
      <c r="N450" s="1296" t="s">
        <v>113</v>
      </c>
    </row>
    <row r="451" spans="1:14" hidden="1" x14ac:dyDescent="0.3">
      <c r="A451" s="1293">
        <v>2723</v>
      </c>
      <c r="B451" s="1294" t="s">
        <v>2928</v>
      </c>
      <c r="C451" s="1294" t="s">
        <v>1683</v>
      </c>
      <c r="D451" s="1295">
        <v>44536</v>
      </c>
      <c r="E451" s="1295">
        <v>44536</v>
      </c>
      <c r="F451" s="1294" t="s">
        <v>2418</v>
      </c>
      <c r="G451" s="1294" t="s">
        <v>2419</v>
      </c>
      <c r="H451" s="1294" t="s">
        <v>262</v>
      </c>
      <c r="I451" s="1294" t="s">
        <v>1211</v>
      </c>
      <c r="J451" s="1294" t="s">
        <v>1396</v>
      </c>
      <c r="K451" s="1294" t="s">
        <v>2422</v>
      </c>
      <c r="L451" s="1294" t="s">
        <v>1332</v>
      </c>
      <c r="M451" s="1294" t="s">
        <v>711</v>
      </c>
      <c r="N451" s="1296" t="s">
        <v>115</v>
      </c>
    </row>
    <row r="452" spans="1:14" hidden="1" x14ac:dyDescent="0.3">
      <c r="A452" s="1293">
        <v>1626</v>
      </c>
      <c r="B452" s="1294" t="s">
        <v>2929</v>
      </c>
      <c r="C452" s="1294" t="s">
        <v>2932</v>
      </c>
      <c r="D452" s="1295">
        <v>42933</v>
      </c>
      <c r="E452" s="1295">
        <v>42933</v>
      </c>
      <c r="F452" s="1294" t="s">
        <v>2418</v>
      </c>
      <c r="G452" s="1294" t="s">
        <v>2419</v>
      </c>
      <c r="H452" s="1294" t="s">
        <v>2931</v>
      </c>
      <c r="I452" s="1294" t="s">
        <v>2930</v>
      </c>
      <c r="J452" s="1294" t="s">
        <v>2421</v>
      </c>
      <c r="K452" s="1294" t="s">
        <v>2422</v>
      </c>
      <c r="L452" s="1294" t="s">
        <v>1353</v>
      </c>
      <c r="M452" s="1294" t="s">
        <v>2932</v>
      </c>
      <c r="N452" s="1296" t="s">
        <v>114</v>
      </c>
    </row>
    <row r="453" spans="1:14" hidden="1" x14ac:dyDescent="0.3">
      <c r="A453" s="1293">
        <v>3256</v>
      </c>
      <c r="B453" s="1294" t="s">
        <v>2933</v>
      </c>
      <c r="C453" s="1294" t="s">
        <v>2932</v>
      </c>
      <c r="D453" s="1295">
        <v>45293</v>
      </c>
      <c r="E453" s="1295">
        <v>45293</v>
      </c>
      <c r="F453" s="1294" t="s">
        <v>2418</v>
      </c>
      <c r="G453" s="1294" t="s">
        <v>2419</v>
      </c>
      <c r="H453" s="1294" t="s">
        <v>2931</v>
      </c>
      <c r="I453" s="1294" t="s">
        <v>2934</v>
      </c>
      <c r="J453" s="1294" t="s">
        <v>2935</v>
      </c>
      <c r="K453" s="1294" t="s">
        <v>2422</v>
      </c>
      <c r="L453" s="1294" t="s">
        <v>1350</v>
      </c>
      <c r="M453" s="1294" t="s">
        <v>2932</v>
      </c>
      <c r="N453" s="1296" t="s">
        <v>114</v>
      </c>
    </row>
    <row r="454" spans="1:14" hidden="1" x14ac:dyDescent="0.3">
      <c r="A454" s="1293">
        <v>1286</v>
      </c>
      <c r="B454" s="1294" t="s">
        <v>2936</v>
      </c>
      <c r="C454" s="1294" t="s">
        <v>2932</v>
      </c>
      <c r="D454" s="1295">
        <v>41493</v>
      </c>
      <c r="E454" s="1295">
        <v>41493</v>
      </c>
      <c r="F454" s="1294" t="s">
        <v>2418</v>
      </c>
      <c r="G454" s="1294" t="s">
        <v>2419</v>
      </c>
      <c r="H454" s="1294" t="s">
        <v>2931</v>
      </c>
      <c r="I454" s="1294" t="s">
        <v>2937</v>
      </c>
      <c r="J454" s="1294" t="s">
        <v>1396</v>
      </c>
      <c r="K454" s="1294" t="s">
        <v>2422</v>
      </c>
      <c r="L454" s="1294" t="s">
        <v>1332</v>
      </c>
      <c r="M454" s="1294" t="s">
        <v>2932</v>
      </c>
      <c r="N454" s="1296" t="s">
        <v>115</v>
      </c>
    </row>
    <row r="455" spans="1:14" hidden="1" x14ac:dyDescent="0.3">
      <c r="A455" s="1293">
        <v>2490</v>
      </c>
      <c r="B455" s="1294" t="s">
        <v>2938</v>
      </c>
      <c r="C455" s="1294" t="s">
        <v>2932</v>
      </c>
      <c r="D455" s="1295">
        <v>44370</v>
      </c>
      <c r="E455" s="1295">
        <v>44370</v>
      </c>
      <c r="F455" s="1294" t="s">
        <v>2418</v>
      </c>
      <c r="G455" s="1294" t="s">
        <v>2476</v>
      </c>
      <c r="H455" s="1294" t="s">
        <v>2931</v>
      </c>
      <c r="I455" s="1294" t="s">
        <v>2939</v>
      </c>
      <c r="J455" s="1294" t="s">
        <v>2553</v>
      </c>
      <c r="K455" s="1294" t="s">
        <v>2422</v>
      </c>
      <c r="L455" s="1294" t="s">
        <v>1329</v>
      </c>
      <c r="M455" s="1294" t="s">
        <v>2932</v>
      </c>
      <c r="N455" s="1296" t="s">
        <v>115</v>
      </c>
    </row>
    <row r="456" spans="1:14" hidden="1" x14ac:dyDescent="0.3">
      <c r="A456" s="1293">
        <v>3402</v>
      </c>
      <c r="B456" s="1294" t="s">
        <v>2940</v>
      </c>
      <c r="C456" s="1294" t="s">
        <v>2932</v>
      </c>
      <c r="D456" s="1295">
        <v>45593</v>
      </c>
      <c r="E456" s="1295">
        <v>45593</v>
      </c>
      <c r="F456" s="1294" t="s">
        <v>2418</v>
      </c>
      <c r="G456" s="1294" t="s">
        <v>2419</v>
      </c>
      <c r="H456" s="1294" t="s">
        <v>2931</v>
      </c>
      <c r="I456" s="1294" t="s">
        <v>2941</v>
      </c>
      <c r="J456" s="1294" t="s">
        <v>2446</v>
      </c>
      <c r="K456" s="1294" t="s">
        <v>2422</v>
      </c>
      <c r="L456" s="1294" t="s">
        <v>2447</v>
      </c>
      <c r="M456" s="1294" t="s">
        <v>2932</v>
      </c>
      <c r="N456" s="1296" t="s">
        <v>113</v>
      </c>
    </row>
    <row r="457" spans="1:14" hidden="1" x14ac:dyDescent="0.3">
      <c r="A457" s="1293">
        <v>1918</v>
      </c>
      <c r="B457" s="1294" t="s">
        <v>2942</v>
      </c>
      <c r="C457" s="1294" t="s">
        <v>2932</v>
      </c>
      <c r="D457" s="1295">
        <v>43458</v>
      </c>
      <c r="E457" s="1295">
        <v>43458</v>
      </c>
      <c r="F457" s="1294" t="s">
        <v>2418</v>
      </c>
      <c r="G457" s="1294" t="s">
        <v>2434</v>
      </c>
      <c r="H457" s="1294" t="s">
        <v>2931</v>
      </c>
      <c r="I457" s="1294" t="s">
        <v>2943</v>
      </c>
      <c r="J457" s="1294" t="s">
        <v>1396</v>
      </c>
      <c r="K457" s="1294" t="s">
        <v>2422</v>
      </c>
      <c r="L457" s="1294" t="s">
        <v>1332</v>
      </c>
      <c r="M457" s="1294" t="s">
        <v>2932</v>
      </c>
      <c r="N457" s="1296" t="s">
        <v>115</v>
      </c>
    </row>
    <row r="458" spans="1:14" hidden="1" x14ac:dyDescent="0.3">
      <c r="A458" s="1293">
        <v>2180</v>
      </c>
      <c r="B458" s="1294" t="s">
        <v>2944</v>
      </c>
      <c r="C458" s="1294" t="s">
        <v>2932</v>
      </c>
      <c r="D458" s="1295">
        <v>43997</v>
      </c>
      <c r="E458" s="1295">
        <v>43997</v>
      </c>
      <c r="F458" s="1294" t="s">
        <v>2418</v>
      </c>
      <c r="G458" s="1294" t="s">
        <v>2419</v>
      </c>
      <c r="H458" s="1294" t="s">
        <v>2931</v>
      </c>
      <c r="I458" s="1294" t="s">
        <v>2945</v>
      </c>
      <c r="J458" s="1294" t="s">
        <v>1396</v>
      </c>
      <c r="K458" s="1294" t="s">
        <v>2422</v>
      </c>
      <c r="L458" s="1294" t="s">
        <v>1332</v>
      </c>
      <c r="M458" s="1294" t="s">
        <v>2932</v>
      </c>
      <c r="N458" s="1296" t="s">
        <v>115</v>
      </c>
    </row>
    <row r="459" spans="1:14" hidden="1" x14ac:dyDescent="0.3">
      <c r="A459" s="1293">
        <v>8294</v>
      </c>
      <c r="B459" s="1294" t="s">
        <v>2946</v>
      </c>
      <c r="C459" s="1294" t="s">
        <v>2932</v>
      </c>
      <c r="D459" s="1295">
        <v>43705</v>
      </c>
      <c r="E459" s="1295">
        <v>43705</v>
      </c>
      <c r="F459" s="1294" t="s">
        <v>2418</v>
      </c>
      <c r="G459" s="1294" t="s">
        <v>2947</v>
      </c>
      <c r="H459" s="1294" t="s">
        <v>2931</v>
      </c>
      <c r="I459" s="1294" t="s">
        <v>2948</v>
      </c>
      <c r="J459" s="1294" t="s">
        <v>2553</v>
      </c>
      <c r="K459" s="1294" t="s">
        <v>2459</v>
      </c>
      <c r="L459" s="1294" t="s">
        <v>1329</v>
      </c>
      <c r="M459" s="1294" t="s">
        <v>2932</v>
      </c>
      <c r="N459" s="1296" t="s">
        <v>115</v>
      </c>
    </row>
    <row r="460" spans="1:14" hidden="1" x14ac:dyDescent="0.3">
      <c r="A460" s="1293">
        <v>3092</v>
      </c>
      <c r="B460" s="1294" t="s">
        <v>2949</v>
      </c>
      <c r="C460" s="1294" t="s">
        <v>2932</v>
      </c>
      <c r="D460" s="1295">
        <v>44978</v>
      </c>
      <c r="E460" s="1295">
        <v>44978</v>
      </c>
      <c r="F460" s="1294" t="s">
        <v>2418</v>
      </c>
      <c r="G460" s="1294" t="s">
        <v>2482</v>
      </c>
      <c r="H460" s="1294" t="s">
        <v>2931</v>
      </c>
      <c r="I460" s="1294" t="s">
        <v>2950</v>
      </c>
      <c r="J460" s="1294" t="s">
        <v>1333</v>
      </c>
      <c r="K460" s="1294" t="s">
        <v>2459</v>
      </c>
      <c r="L460" s="1294" t="s">
        <v>1376</v>
      </c>
      <c r="M460" s="1294" t="s">
        <v>2932</v>
      </c>
      <c r="N460" s="1296" t="s">
        <v>116</v>
      </c>
    </row>
    <row r="461" spans="1:14" hidden="1" x14ac:dyDescent="0.3">
      <c r="A461" s="1293">
        <v>8223</v>
      </c>
      <c r="B461" s="1294" t="s">
        <v>2951</v>
      </c>
      <c r="C461" s="1294" t="s">
        <v>2932</v>
      </c>
      <c r="D461" s="1295">
        <v>43377</v>
      </c>
      <c r="E461" s="1295">
        <v>43377</v>
      </c>
      <c r="F461" s="1294" t="s">
        <v>2418</v>
      </c>
      <c r="G461" s="1294" t="s">
        <v>2727</v>
      </c>
      <c r="H461" s="1294" t="s">
        <v>2931</v>
      </c>
      <c r="I461" s="1294" t="s">
        <v>2948</v>
      </c>
      <c r="J461" s="1294" t="s">
        <v>1333</v>
      </c>
      <c r="K461" s="1294" t="s">
        <v>2459</v>
      </c>
      <c r="L461" s="1294" t="s">
        <v>1376</v>
      </c>
      <c r="M461" s="1294" t="s">
        <v>2932</v>
      </c>
      <c r="N461" s="1296" t="s">
        <v>116</v>
      </c>
    </row>
    <row r="462" spans="1:14" hidden="1" x14ac:dyDescent="0.3">
      <c r="A462" s="1293">
        <v>1489</v>
      </c>
      <c r="B462" s="1294" t="s">
        <v>2952</v>
      </c>
      <c r="C462" s="1294" t="s">
        <v>2932</v>
      </c>
      <c r="D462" s="1295">
        <v>42493</v>
      </c>
      <c r="E462" s="1295">
        <v>42493</v>
      </c>
      <c r="F462" s="1294" t="s">
        <v>2418</v>
      </c>
      <c r="G462" s="1294" t="s">
        <v>2419</v>
      </c>
      <c r="H462" s="1294" t="s">
        <v>2931</v>
      </c>
      <c r="I462" s="1294" t="s">
        <v>2953</v>
      </c>
      <c r="J462" s="1294" t="s">
        <v>2496</v>
      </c>
      <c r="K462" s="1294" t="s">
        <v>2422</v>
      </c>
      <c r="L462" s="1294" t="s">
        <v>1372</v>
      </c>
      <c r="M462" s="1294" t="s">
        <v>2932</v>
      </c>
      <c r="N462" s="1296" t="s">
        <v>116</v>
      </c>
    </row>
    <row r="463" spans="1:14" hidden="1" x14ac:dyDescent="0.3">
      <c r="A463" s="1293">
        <v>1947</v>
      </c>
      <c r="B463" s="1294" t="s">
        <v>2954</v>
      </c>
      <c r="C463" s="1294" t="s">
        <v>2932</v>
      </c>
      <c r="D463" s="1295">
        <v>43514</v>
      </c>
      <c r="E463" s="1295">
        <v>43514</v>
      </c>
      <c r="F463" s="1294" t="s">
        <v>2418</v>
      </c>
      <c r="G463" s="1294" t="s">
        <v>2434</v>
      </c>
      <c r="H463" s="1294" t="s">
        <v>2931</v>
      </c>
      <c r="I463" s="1294" t="s">
        <v>2943</v>
      </c>
      <c r="J463" s="1294" t="s">
        <v>2427</v>
      </c>
      <c r="K463" s="1294" t="s">
        <v>2422</v>
      </c>
      <c r="L463" s="1294" t="s">
        <v>1350</v>
      </c>
      <c r="M463" s="1294" t="s">
        <v>2932</v>
      </c>
      <c r="N463" s="1296" t="s">
        <v>114</v>
      </c>
    </row>
    <row r="464" spans="1:14" hidden="1" x14ac:dyDescent="0.3">
      <c r="A464" s="1293">
        <v>3322</v>
      </c>
      <c r="B464" s="1294" t="s">
        <v>2955</v>
      </c>
      <c r="C464" s="1294" t="s">
        <v>2932</v>
      </c>
      <c r="D464" s="1295">
        <v>45323</v>
      </c>
      <c r="E464" s="1295">
        <v>45323</v>
      </c>
      <c r="F464" s="1294" t="s">
        <v>2418</v>
      </c>
      <c r="G464" s="1294" t="s">
        <v>2419</v>
      </c>
      <c r="H464" s="1294" t="s">
        <v>2931</v>
      </c>
      <c r="I464" s="1294" t="s">
        <v>2941</v>
      </c>
      <c r="J464" s="1294" t="s">
        <v>2431</v>
      </c>
      <c r="K464" s="1294" t="s">
        <v>2422</v>
      </c>
      <c r="L464" s="1294" t="s">
        <v>2432</v>
      </c>
      <c r="M464" s="1294" t="s">
        <v>2932</v>
      </c>
      <c r="N464" s="1296" t="s">
        <v>113</v>
      </c>
    </row>
    <row r="465" spans="1:14" hidden="1" x14ac:dyDescent="0.3">
      <c r="A465" s="1293">
        <v>2187</v>
      </c>
      <c r="B465" s="1294" t="s">
        <v>2956</v>
      </c>
      <c r="C465" s="1294" t="s">
        <v>2932</v>
      </c>
      <c r="D465" s="1295">
        <v>44047</v>
      </c>
      <c r="E465" s="1295">
        <v>44047</v>
      </c>
      <c r="F465" s="1294" t="s">
        <v>2418</v>
      </c>
      <c r="G465" s="1294" t="s">
        <v>2434</v>
      </c>
      <c r="H465" s="1294" t="s">
        <v>2931</v>
      </c>
      <c r="I465" s="1294" t="s">
        <v>2930</v>
      </c>
      <c r="J465" s="1294" t="s">
        <v>2553</v>
      </c>
      <c r="K465" s="1294" t="s">
        <v>2422</v>
      </c>
      <c r="L465" s="1294" t="s">
        <v>1329</v>
      </c>
      <c r="M465" s="1294" t="s">
        <v>2932</v>
      </c>
      <c r="N465" s="1296" t="s">
        <v>115</v>
      </c>
    </row>
    <row r="466" spans="1:14" hidden="1" x14ac:dyDescent="0.3">
      <c r="A466" s="1293">
        <v>2532</v>
      </c>
      <c r="B466" s="1294" t="s">
        <v>2957</v>
      </c>
      <c r="C466" s="1294" t="s">
        <v>2932</v>
      </c>
      <c r="D466" s="1295">
        <v>44412</v>
      </c>
      <c r="E466" s="1295">
        <v>44412</v>
      </c>
      <c r="F466" s="1294" t="s">
        <v>2418</v>
      </c>
      <c r="G466" s="1294" t="s">
        <v>2419</v>
      </c>
      <c r="H466" s="1294" t="s">
        <v>2931</v>
      </c>
      <c r="I466" s="1294" t="s">
        <v>2937</v>
      </c>
      <c r="J466" s="1294" t="s">
        <v>1396</v>
      </c>
      <c r="K466" s="1294" t="s">
        <v>2422</v>
      </c>
      <c r="L466" s="1294" t="s">
        <v>1332</v>
      </c>
      <c r="M466" s="1294" t="s">
        <v>2932</v>
      </c>
      <c r="N466" s="1296" t="s">
        <v>115</v>
      </c>
    </row>
    <row r="467" spans="1:14" hidden="1" x14ac:dyDescent="0.3">
      <c r="A467" s="1293">
        <v>9308</v>
      </c>
      <c r="B467" s="1294" t="s">
        <v>2958</v>
      </c>
      <c r="C467" s="1294" t="s">
        <v>2932</v>
      </c>
      <c r="D467" s="1295">
        <v>44743</v>
      </c>
      <c r="E467" s="1295">
        <v>44743</v>
      </c>
      <c r="F467" s="1294" t="s">
        <v>2418</v>
      </c>
      <c r="G467" s="1294" t="s">
        <v>2531</v>
      </c>
      <c r="H467" s="1294" t="s">
        <v>2931</v>
      </c>
      <c r="I467" s="1294" t="s">
        <v>2939</v>
      </c>
      <c r="J467" s="1294" t="s">
        <v>2431</v>
      </c>
      <c r="K467" s="1294" t="s">
        <v>2459</v>
      </c>
      <c r="L467" s="1294" t="s">
        <v>2432</v>
      </c>
      <c r="M467" s="1294" t="s">
        <v>2932</v>
      </c>
      <c r="N467" s="1296" t="s">
        <v>113</v>
      </c>
    </row>
    <row r="468" spans="1:14" hidden="1" x14ac:dyDescent="0.3">
      <c r="A468" s="1293">
        <v>8370</v>
      </c>
      <c r="B468" s="1294" t="s">
        <v>2959</v>
      </c>
      <c r="C468" s="1294" t="s">
        <v>2932</v>
      </c>
      <c r="D468" s="1295">
        <v>45040</v>
      </c>
      <c r="E468" s="1295">
        <v>45040</v>
      </c>
      <c r="F468" s="1294" t="s">
        <v>2418</v>
      </c>
      <c r="G468" s="1294" t="s">
        <v>2960</v>
      </c>
      <c r="H468" s="1294" t="s">
        <v>2931</v>
      </c>
      <c r="I468" s="1294" t="s">
        <v>2943</v>
      </c>
      <c r="J468" s="1294" t="s">
        <v>2961</v>
      </c>
      <c r="K468" s="1294" t="s">
        <v>2459</v>
      </c>
      <c r="L468" s="1294" t="s">
        <v>1372</v>
      </c>
      <c r="M468" s="1294" t="s">
        <v>2932</v>
      </c>
      <c r="N468" s="1296" t="s">
        <v>116</v>
      </c>
    </row>
    <row r="469" spans="1:14" hidden="1" x14ac:dyDescent="0.3">
      <c r="A469" s="1293">
        <v>9321</v>
      </c>
      <c r="B469" s="1294" t="s">
        <v>2962</v>
      </c>
      <c r="C469" s="1294" t="s">
        <v>2932</v>
      </c>
      <c r="D469" s="1295">
        <v>44746</v>
      </c>
      <c r="E469" s="1295">
        <v>44746</v>
      </c>
      <c r="F469" s="1294" t="s">
        <v>2418</v>
      </c>
      <c r="G469" s="1294" t="s">
        <v>2419</v>
      </c>
      <c r="H469" s="1294" t="s">
        <v>2931</v>
      </c>
      <c r="I469" s="1294" t="s">
        <v>2930</v>
      </c>
      <c r="J469" s="1294" t="s">
        <v>2431</v>
      </c>
      <c r="K469" s="1294" t="s">
        <v>2422</v>
      </c>
      <c r="L469" s="1294" t="s">
        <v>2432</v>
      </c>
      <c r="M469" s="1294" t="s">
        <v>2932</v>
      </c>
      <c r="N469" s="1296" t="s">
        <v>113</v>
      </c>
    </row>
    <row r="470" spans="1:14" hidden="1" x14ac:dyDescent="0.3">
      <c r="A470" s="1293">
        <v>3192</v>
      </c>
      <c r="B470" s="1294" t="s">
        <v>2963</v>
      </c>
      <c r="C470" s="1294" t="s">
        <v>2932</v>
      </c>
      <c r="D470" s="1295">
        <v>45068</v>
      </c>
      <c r="E470" s="1295">
        <v>45068</v>
      </c>
      <c r="F470" s="1294" t="s">
        <v>2418</v>
      </c>
      <c r="G470" s="1294" t="s">
        <v>2419</v>
      </c>
      <c r="H470" s="1294" t="s">
        <v>2931</v>
      </c>
      <c r="I470" s="1294" t="s">
        <v>2941</v>
      </c>
      <c r="J470" s="1294" t="s">
        <v>2431</v>
      </c>
      <c r="K470" s="1294" t="s">
        <v>2422</v>
      </c>
      <c r="L470" s="1294" t="s">
        <v>2432</v>
      </c>
      <c r="M470" s="1294" t="s">
        <v>2932</v>
      </c>
      <c r="N470" s="1296" t="s">
        <v>113</v>
      </c>
    </row>
    <row r="471" spans="1:14" hidden="1" x14ac:dyDescent="0.3">
      <c r="A471" s="1293">
        <v>2898</v>
      </c>
      <c r="B471" s="1294" t="s">
        <v>2964</v>
      </c>
      <c r="C471" s="1294" t="s">
        <v>2932</v>
      </c>
      <c r="D471" s="1295">
        <v>44697</v>
      </c>
      <c r="E471" s="1295">
        <v>44697</v>
      </c>
      <c r="F471" s="1294" t="s">
        <v>2418</v>
      </c>
      <c r="G471" s="1294" t="s">
        <v>2434</v>
      </c>
      <c r="H471" s="1294" t="s">
        <v>2931</v>
      </c>
      <c r="I471" s="1294" t="s">
        <v>2948</v>
      </c>
      <c r="J471" s="1294" t="s">
        <v>1396</v>
      </c>
      <c r="K471" s="1294" t="s">
        <v>2422</v>
      </c>
      <c r="L471" s="1294" t="s">
        <v>1332</v>
      </c>
      <c r="M471" s="1294" t="s">
        <v>2932</v>
      </c>
      <c r="N471" s="1296" t="s">
        <v>115</v>
      </c>
    </row>
    <row r="472" spans="1:14" hidden="1" x14ac:dyDescent="0.3">
      <c r="A472" s="1293">
        <v>2896</v>
      </c>
      <c r="B472" s="1294" t="s">
        <v>2965</v>
      </c>
      <c r="C472" s="1294" t="s">
        <v>2932</v>
      </c>
      <c r="D472" s="1295">
        <v>44697</v>
      </c>
      <c r="E472" s="1295">
        <v>44697</v>
      </c>
      <c r="F472" s="1294" t="s">
        <v>2418</v>
      </c>
      <c r="G472" s="1294" t="s">
        <v>2419</v>
      </c>
      <c r="H472" s="1294" t="s">
        <v>2931</v>
      </c>
      <c r="I472" s="1294" t="s">
        <v>2948</v>
      </c>
      <c r="J472" s="1294" t="s">
        <v>1396</v>
      </c>
      <c r="K472" s="1294" t="s">
        <v>2422</v>
      </c>
      <c r="L472" s="1294" t="s">
        <v>1332</v>
      </c>
      <c r="M472" s="1294" t="s">
        <v>2932</v>
      </c>
      <c r="N472" s="1296" t="s">
        <v>115</v>
      </c>
    </row>
    <row r="473" spans="1:14" hidden="1" x14ac:dyDescent="0.3">
      <c r="A473" s="1293">
        <v>3358</v>
      </c>
      <c r="B473" s="1294" t="s">
        <v>2966</v>
      </c>
      <c r="C473" s="1294" t="s">
        <v>2932</v>
      </c>
      <c r="D473" s="1295">
        <v>45439</v>
      </c>
      <c r="E473" s="1295">
        <v>45439</v>
      </c>
      <c r="F473" s="1294" t="s">
        <v>2418</v>
      </c>
      <c r="G473" s="1294" t="s">
        <v>2419</v>
      </c>
      <c r="H473" s="1294" t="s">
        <v>2931</v>
      </c>
      <c r="I473" s="1294" t="s">
        <v>2967</v>
      </c>
      <c r="J473" s="1294" t="s">
        <v>2446</v>
      </c>
      <c r="K473" s="1294" t="s">
        <v>2422</v>
      </c>
      <c r="L473" s="1294" t="s">
        <v>2447</v>
      </c>
      <c r="M473" s="1294" t="s">
        <v>2932</v>
      </c>
      <c r="N473" s="1296" t="s">
        <v>113</v>
      </c>
    </row>
    <row r="474" spans="1:14" hidden="1" x14ac:dyDescent="0.3">
      <c r="A474" s="1293">
        <v>1708</v>
      </c>
      <c r="B474" s="1294" t="s">
        <v>2968</v>
      </c>
      <c r="C474" s="1294" t="s">
        <v>2932</v>
      </c>
      <c r="D474" s="1295">
        <v>43089</v>
      </c>
      <c r="E474" s="1295">
        <v>43089</v>
      </c>
      <c r="F474" s="1294" t="s">
        <v>2418</v>
      </c>
      <c r="G474" s="1294" t="s">
        <v>2419</v>
      </c>
      <c r="H474" s="1294" t="s">
        <v>2931</v>
      </c>
      <c r="I474" s="1294" t="s">
        <v>2948</v>
      </c>
      <c r="J474" s="1294" t="s">
        <v>1396</v>
      </c>
      <c r="K474" s="1294" t="s">
        <v>2422</v>
      </c>
      <c r="L474" s="1294" t="s">
        <v>1332</v>
      </c>
      <c r="M474" s="1294" t="s">
        <v>2932</v>
      </c>
      <c r="N474" s="1296" t="s">
        <v>115</v>
      </c>
    </row>
    <row r="475" spans="1:14" hidden="1" x14ac:dyDescent="0.3">
      <c r="A475" s="1293">
        <v>3198</v>
      </c>
      <c r="B475" s="1294" t="s">
        <v>2969</v>
      </c>
      <c r="C475" s="1294" t="s">
        <v>2932</v>
      </c>
      <c r="D475" s="1295">
        <v>45078</v>
      </c>
      <c r="E475" s="1295">
        <v>45078</v>
      </c>
      <c r="F475" s="1294" t="s">
        <v>2418</v>
      </c>
      <c r="G475" s="1294" t="s">
        <v>2419</v>
      </c>
      <c r="H475" s="1294" t="s">
        <v>2931</v>
      </c>
      <c r="I475" s="1294" t="s">
        <v>2967</v>
      </c>
      <c r="J475" s="1294" t="s">
        <v>2446</v>
      </c>
      <c r="K475" s="1294" t="s">
        <v>2422</v>
      </c>
      <c r="L475" s="1294" t="s">
        <v>2447</v>
      </c>
      <c r="M475" s="1294" t="s">
        <v>2932</v>
      </c>
      <c r="N475" s="1296" t="s">
        <v>113</v>
      </c>
    </row>
    <row r="476" spans="1:14" hidden="1" x14ac:dyDescent="0.3">
      <c r="A476" s="1293">
        <v>2146</v>
      </c>
      <c r="B476" s="1294" t="s">
        <v>2970</v>
      </c>
      <c r="C476" s="1294" t="s">
        <v>2932</v>
      </c>
      <c r="D476" s="1295">
        <v>43860</v>
      </c>
      <c r="E476" s="1295">
        <v>43850</v>
      </c>
      <c r="F476" s="1294" t="s">
        <v>2418</v>
      </c>
      <c r="G476" s="1294" t="s">
        <v>2419</v>
      </c>
      <c r="H476" s="1294" t="s">
        <v>2931</v>
      </c>
      <c r="I476" s="1294" t="s">
        <v>2939</v>
      </c>
      <c r="J476" s="1294" t="s">
        <v>2816</v>
      </c>
      <c r="K476" s="1294" t="s">
        <v>2422</v>
      </c>
      <c r="L476" s="1294" t="s">
        <v>1387</v>
      </c>
      <c r="M476" s="1294" t="s">
        <v>2932</v>
      </c>
      <c r="N476" s="1296" t="s">
        <v>117</v>
      </c>
    </row>
    <row r="477" spans="1:14" hidden="1" x14ac:dyDescent="0.3">
      <c r="A477" s="1293">
        <v>1756</v>
      </c>
      <c r="B477" s="1294" t="s">
        <v>2971</v>
      </c>
      <c r="C477" s="1294" t="s">
        <v>2932</v>
      </c>
      <c r="D477" s="1295">
        <v>43178</v>
      </c>
      <c r="E477" s="1295">
        <v>43178</v>
      </c>
      <c r="F477" s="1294" t="s">
        <v>2418</v>
      </c>
      <c r="G477" s="1294" t="s">
        <v>2419</v>
      </c>
      <c r="H477" s="1294" t="s">
        <v>2931</v>
      </c>
      <c r="I477" s="1294" t="s">
        <v>2972</v>
      </c>
      <c r="J477" s="1294" t="s">
        <v>2421</v>
      </c>
      <c r="K477" s="1294" t="s">
        <v>2422</v>
      </c>
      <c r="L477" s="1294" t="s">
        <v>1353</v>
      </c>
      <c r="M477" s="1294" t="s">
        <v>2932</v>
      </c>
      <c r="N477" s="1296" t="s">
        <v>114</v>
      </c>
    </row>
    <row r="478" spans="1:14" hidden="1" x14ac:dyDescent="0.3">
      <c r="A478" s="1293">
        <v>2114</v>
      </c>
      <c r="B478" s="1294" t="s">
        <v>2973</v>
      </c>
      <c r="C478" s="1294" t="s">
        <v>2932</v>
      </c>
      <c r="D478" s="1295">
        <v>43780</v>
      </c>
      <c r="E478" s="1295">
        <v>43780</v>
      </c>
      <c r="F478" s="1294" t="s">
        <v>2418</v>
      </c>
      <c r="G478" s="1294" t="s">
        <v>2419</v>
      </c>
      <c r="H478" s="1294" t="s">
        <v>2931</v>
      </c>
      <c r="I478" s="1294" t="s">
        <v>2950</v>
      </c>
      <c r="J478" s="1294" t="s">
        <v>1351</v>
      </c>
      <c r="K478" s="1294" t="s">
        <v>2422</v>
      </c>
      <c r="L478" s="1294" t="s">
        <v>1329</v>
      </c>
      <c r="M478" s="1294" t="s">
        <v>2932</v>
      </c>
      <c r="N478" s="1296" t="s">
        <v>115</v>
      </c>
    </row>
    <row r="479" spans="1:14" hidden="1" x14ac:dyDescent="0.3">
      <c r="A479" s="1293">
        <v>1629</v>
      </c>
      <c r="B479" s="1294" t="s">
        <v>2974</v>
      </c>
      <c r="C479" s="1294" t="s">
        <v>2932</v>
      </c>
      <c r="D479" s="1295">
        <v>42940</v>
      </c>
      <c r="E479" s="1295">
        <v>42940</v>
      </c>
      <c r="F479" s="1294" t="s">
        <v>2418</v>
      </c>
      <c r="G479" s="1294" t="s">
        <v>2419</v>
      </c>
      <c r="H479" s="1294" t="s">
        <v>2931</v>
      </c>
      <c r="I479" s="1294" t="s">
        <v>2967</v>
      </c>
      <c r="J479" s="1294" t="s">
        <v>1396</v>
      </c>
      <c r="K479" s="1294" t="s">
        <v>2422</v>
      </c>
      <c r="L479" s="1294" t="s">
        <v>1332</v>
      </c>
      <c r="M479" s="1294" t="s">
        <v>2932</v>
      </c>
      <c r="N479" s="1296" t="s">
        <v>115</v>
      </c>
    </row>
    <row r="480" spans="1:14" hidden="1" x14ac:dyDescent="0.3">
      <c r="A480" s="1293">
        <v>1567</v>
      </c>
      <c r="B480" s="1294" t="s">
        <v>2975</v>
      </c>
      <c r="C480" s="1294" t="s">
        <v>2932</v>
      </c>
      <c r="D480" s="1295">
        <v>42716</v>
      </c>
      <c r="E480" s="1295">
        <v>42716</v>
      </c>
      <c r="F480" s="1294" t="s">
        <v>2418</v>
      </c>
      <c r="G480" s="1294" t="s">
        <v>2419</v>
      </c>
      <c r="H480" s="1294" t="s">
        <v>2931</v>
      </c>
      <c r="I480" s="1294" t="s">
        <v>2941</v>
      </c>
      <c r="J480" s="1294" t="s">
        <v>2421</v>
      </c>
      <c r="K480" s="1294" t="s">
        <v>2422</v>
      </c>
      <c r="L480" s="1294" t="s">
        <v>1353</v>
      </c>
      <c r="M480" s="1294" t="s">
        <v>2932</v>
      </c>
      <c r="N480" s="1296" t="s">
        <v>114</v>
      </c>
    </row>
    <row r="481" spans="1:14" hidden="1" x14ac:dyDescent="0.3">
      <c r="A481" s="1293">
        <v>2869</v>
      </c>
      <c r="B481" s="1294" t="s">
        <v>2976</v>
      </c>
      <c r="C481" s="1294" t="s">
        <v>2932</v>
      </c>
      <c r="D481" s="1295">
        <v>44662</v>
      </c>
      <c r="E481" s="1295">
        <v>44662</v>
      </c>
      <c r="F481" s="1294" t="s">
        <v>2418</v>
      </c>
      <c r="G481" s="1294" t="s">
        <v>2419</v>
      </c>
      <c r="H481" s="1294" t="s">
        <v>2931</v>
      </c>
      <c r="I481" s="1294" t="s">
        <v>2967</v>
      </c>
      <c r="J481" s="1294" t="s">
        <v>2421</v>
      </c>
      <c r="K481" s="1294" t="s">
        <v>2422</v>
      </c>
      <c r="L481" s="1294" t="s">
        <v>1353</v>
      </c>
      <c r="M481" s="1294" t="s">
        <v>2932</v>
      </c>
      <c r="N481" s="1296" t="s">
        <v>114</v>
      </c>
    </row>
    <row r="482" spans="1:14" hidden="1" x14ac:dyDescent="0.3">
      <c r="A482" s="1293">
        <v>2610</v>
      </c>
      <c r="B482" s="1294" t="s">
        <v>2977</v>
      </c>
      <c r="C482" s="1294" t="s">
        <v>2932</v>
      </c>
      <c r="D482" s="1295">
        <v>44433</v>
      </c>
      <c r="E482" s="1295">
        <v>44433</v>
      </c>
      <c r="F482" s="1294" t="s">
        <v>2418</v>
      </c>
      <c r="G482" s="1294" t="s">
        <v>2434</v>
      </c>
      <c r="H482" s="1294" t="s">
        <v>2931</v>
      </c>
      <c r="I482" s="1294" t="s">
        <v>2937</v>
      </c>
      <c r="J482" s="1294" t="s">
        <v>2421</v>
      </c>
      <c r="K482" s="1294" t="s">
        <v>2422</v>
      </c>
      <c r="L482" s="1294" t="s">
        <v>1353</v>
      </c>
      <c r="M482" s="1294" t="s">
        <v>2932</v>
      </c>
      <c r="N482" s="1296" t="s">
        <v>114</v>
      </c>
    </row>
    <row r="483" spans="1:14" hidden="1" x14ac:dyDescent="0.3">
      <c r="A483" s="1293">
        <v>3383</v>
      </c>
      <c r="B483" s="1294" t="s">
        <v>2978</v>
      </c>
      <c r="C483" s="1294" t="s">
        <v>2932</v>
      </c>
      <c r="D483" s="1295">
        <v>44319</v>
      </c>
      <c r="E483" s="1295">
        <v>44319</v>
      </c>
      <c r="F483" s="1294" t="s">
        <v>2418</v>
      </c>
      <c r="G483" s="1294" t="s">
        <v>2419</v>
      </c>
      <c r="H483" s="1294" t="s">
        <v>2931</v>
      </c>
      <c r="I483" s="1294" t="s">
        <v>2979</v>
      </c>
      <c r="J483" s="1294" t="s">
        <v>2980</v>
      </c>
      <c r="K483" s="1294" t="s">
        <v>2422</v>
      </c>
      <c r="L483" s="1294" t="s">
        <v>1353</v>
      </c>
      <c r="M483" s="1294" t="s">
        <v>2932</v>
      </c>
      <c r="N483" s="1296" t="s">
        <v>114</v>
      </c>
    </row>
    <row r="484" spans="1:14" hidden="1" x14ac:dyDescent="0.3">
      <c r="A484" s="1293">
        <v>8352</v>
      </c>
      <c r="B484" s="1294" t="s">
        <v>2981</v>
      </c>
      <c r="C484" s="1294" t="s">
        <v>2932</v>
      </c>
      <c r="D484" s="1295">
        <v>44200</v>
      </c>
      <c r="E484" s="1295">
        <v>44200</v>
      </c>
      <c r="F484" s="1294" t="s">
        <v>2418</v>
      </c>
      <c r="G484" s="1294" t="s">
        <v>2538</v>
      </c>
      <c r="H484" s="1294" t="s">
        <v>2931</v>
      </c>
      <c r="I484" s="1294" t="s">
        <v>2939</v>
      </c>
      <c r="J484" s="1294" t="s">
        <v>1396</v>
      </c>
      <c r="K484" s="1294" t="s">
        <v>330</v>
      </c>
      <c r="L484" s="1294" t="s">
        <v>1332</v>
      </c>
      <c r="M484" s="1294" t="s">
        <v>2932</v>
      </c>
      <c r="N484" s="1296" t="s">
        <v>115</v>
      </c>
    </row>
    <row r="485" spans="1:14" hidden="1" x14ac:dyDescent="0.3">
      <c r="A485" s="1293">
        <v>2547</v>
      </c>
      <c r="B485" s="1294" t="s">
        <v>2982</v>
      </c>
      <c r="C485" s="1294" t="s">
        <v>2932</v>
      </c>
      <c r="D485" s="1295">
        <v>44409</v>
      </c>
      <c r="E485" s="1295">
        <v>44409</v>
      </c>
      <c r="F485" s="1294" t="s">
        <v>2418</v>
      </c>
      <c r="G485" s="1294" t="s">
        <v>2419</v>
      </c>
      <c r="H485" s="1294" t="s">
        <v>2931</v>
      </c>
      <c r="I485" s="1294" t="s">
        <v>2937</v>
      </c>
      <c r="J485" s="1294" t="s">
        <v>2446</v>
      </c>
      <c r="K485" s="1294" t="s">
        <v>2422</v>
      </c>
      <c r="L485" s="1294" t="s">
        <v>2447</v>
      </c>
      <c r="M485" s="1294" t="s">
        <v>2932</v>
      </c>
      <c r="N485" s="1296" t="s">
        <v>113</v>
      </c>
    </row>
    <row r="486" spans="1:14" hidden="1" x14ac:dyDescent="0.3">
      <c r="A486" s="1293">
        <v>8362</v>
      </c>
      <c r="B486" s="1294" t="s">
        <v>2983</v>
      </c>
      <c r="C486" s="1294" t="s">
        <v>2932</v>
      </c>
      <c r="D486" s="1295">
        <v>44230</v>
      </c>
      <c r="E486" s="1295">
        <v>44230</v>
      </c>
      <c r="F486" s="1294" t="s">
        <v>2418</v>
      </c>
      <c r="G486" s="1294" t="s">
        <v>2960</v>
      </c>
      <c r="H486" s="1294" t="s">
        <v>2931</v>
      </c>
      <c r="I486" s="1294" t="s">
        <v>2953</v>
      </c>
      <c r="J486" s="1294" t="s">
        <v>1424</v>
      </c>
      <c r="K486" s="1294" t="s">
        <v>2459</v>
      </c>
      <c r="L486" s="1294" t="s">
        <v>2984</v>
      </c>
      <c r="M486" s="1294" t="s">
        <v>2932</v>
      </c>
      <c r="N486" s="1296" t="s">
        <v>116</v>
      </c>
    </row>
    <row r="487" spans="1:14" hidden="1" x14ac:dyDescent="0.3">
      <c r="A487" s="1293">
        <v>8117</v>
      </c>
      <c r="B487" s="1294" t="s">
        <v>2985</v>
      </c>
      <c r="C487" s="1294" t="s">
        <v>2932</v>
      </c>
      <c r="D487" s="1295">
        <v>42807</v>
      </c>
      <c r="E487" s="1295">
        <v>42807</v>
      </c>
      <c r="F487" s="1294" t="s">
        <v>2418</v>
      </c>
      <c r="G487" s="1294" t="s">
        <v>2531</v>
      </c>
      <c r="H487" s="1294" t="s">
        <v>2931</v>
      </c>
      <c r="I487" s="1294" t="s">
        <v>2943</v>
      </c>
      <c r="J487" s="1294" t="s">
        <v>1424</v>
      </c>
      <c r="K487" s="1294" t="s">
        <v>2459</v>
      </c>
      <c r="L487" s="1294" t="s">
        <v>1389</v>
      </c>
      <c r="M487" s="1294" t="s">
        <v>2932</v>
      </c>
      <c r="N487" s="1296" t="s">
        <v>117</v>
      </c>
    </row>
    <row r="488" spans="1:14" hidden="1" x14ac:dyDescent="0.3">
      <c r="A488" s="1293">
        <v>1854</v>
      </c>
      <c r="B488" s="1294" t="s">
        <v>2986</v>
      </c>
      <c r="C488" s="1294" t="s">
        <v>2932</v>
      </c>
      <c r="D488" s="1295">
        <v>43367</v>
      </c>
      <c r="E488" s="1295">
        <v>43367</v>
      </c>
      <c r="F488" s="1294" t="s">
        <v>2418</v>
      </c>
      <c r="G488" s="1294" t="s">
        <v>2419</v>
      </c>
      <c r="H488" s="1294" t="s">
        <v>2931</v>
      </c>
      <c r="I488" s="1294" t="s">
        <v>2948</v>
      </c>
      <c r="J488" s="1294" t="s">
        <v>2431</v>
      </c>
      <c r="K488" s="1294" t="s">
        <v>2422</v>
      </c>
      <c r="L488" s="1294" t="s">
        <v>2432</v>
      </c>
      <c r="M488" s="1294" t="s">
        <v>2932</v>
      </c>
      <c r="N488" s="1296" t="s">
        <v>113</v>
      </c>
    </row>
    <row r="489" spans="1:14" hidden="1" x14ac:dyDescent="0.3">
      <c r="A489" s="1293">
        <v>1327</v>
      </c>
      <c r="B489" s="1294" t="s">
        <v>2987</v>
      </c>
      <c r="C489" s="1294" t="s">
        <v>2932</v>
      </c>
      <c r="D489" s="1295">
        <v>41701</v>
      </c>
      <c r="E489" s="1295">
        <v>41701</v>
      </c>
      <c r="F489" s="1294" t="s">
        <v>2418</v>
      </c>
      <c r="G489" s="1294" t="s">
        <v>2419</v>
      </c>
      <c r="H489" s="1294" t="s">
        <v>2931</v>
      </c>
      <c r="I489" s="1294" t="s">
        <v>2941</v>
      </c>
      <c r="J489" s="1294" t="s">
        <v>1396</v>
      </c>
      <c r="K489" s="1294" t="s">
        <v>2422</v>
      </c>
      <c r="L489" s="1294" t="s">
        <v>1332</v>
      </c>
      <c r="M489" s="1294" t="s">
        <v>2932</v>
      </c>
      <c r="N489" s="1296" t="s">
        <v>115</v>
      </c>
    </row>
    <row r="490" spans="1:14" hidden="1" x14ac:dyDescent="0.3">
      <c r="A490" s="1293">
        <v>2903</v>
      </c>
      <c r="B490" s="1294" t="s">
        <v>2988</v>
      </c>
      <c r="C490" s="1294" t="s">
        <v>2932</v>
      </c>
      <c r="D490" s="1295">
        <v>44697</v>
      </c>
      <c r="E490" s="1295">
        <v>44697</v>
      </c>
      <c r="F490" s="1294" t="s">
        <v>2418</v>
      </c>
      <c r="G490" s="1294" t="s">
        <v>2419</v>
      </c>
      <c r="H490" s="1294" t="s">
        <v>2931</v>
      </c>
      <c r="I490" s="1294" t="s">
        <v>2945</v>
      </c>
      <c r="J490" s="1294" t="s">
        <v>2425</v>
      </c>
      <c r="K490" s="1294" t="s">
        <v>2422</v>
      </c>
      <c r="L490" s="1294" t="s">
        <v>1350</v>
      </c>
      <c r="M490" s="1294" t="s">
        <v>2932</v>
      </c>
      <c r="N490" s="1296" t="s">
        <v>114</v>
      </c>
    </row>
    <row r="491" spans="1:14" hidden="1" x14ac:dyDescent="0.3">
      <c r="A491" s="1293">
        <v>1284</v>
      </c>
      <c r="B491" s="1294" t="s">
        <v>2989</v>
      </c>
      <c r="C491" s="1294" t="s">
        <v>2932</v>
      </c>
      <c r="D491" s="1295">
        <v>41426</v>
      </c>
      <c r="E491" s="1295">
        <v>41426</v>
      </c>
      <c r="F491" s="1294" t="s">
        <v>2418</v>
      </c>
      <c r="G491" s="1294" t="s">
        <v>2419</v>
      </c>
      <c r="H491" s="1294" t="s">
        <v>2931</v>
      </c>
      <c r="I491" s="1294" t="s">
        <v>2990</v>
      </c>
      <c r="J491" s="1294" t="s">
        <v>2431</v>
      </c>
      <c r="K491" s="1294" t="s">
        <v>2422</v>
      </c>
      <c r="L491" s="1294" t="s">
        <v>2432</v>
      </c>
      <c r="M491" s="1294" t="s">
        <v>2932</v>
      </c>
      <c r="N491" s="1296" t="s">
        <v>113</v>
      </c>
    </row>
    <row r="492" spans="1:14" hidden="1" x14ac:dyDescent="0.3">
      <c r="A492" s="1293">
        <v>3165</v>
      </c>
      <c r="B492" s="1294" t="s">
        <v>2991</v>
      </c>
      <c r="C492" s="1294" t="s">
        <v>2932</v>
      </c>
      <c r="D492" s="1295">
        <v>45021</v>
      </c>
      <c r="E492" s="1295">
        <v>45021</v>
      </c>
      <c r="F492" s="1294" t="s">
        <v>2418</v>
      </c>
      <c r="G492" s="1294" t="s">
        <v>2531</v>
      </c>
      <c r="H492" s="1294" t="s">
        <v>2931</v>
      </c>
      <c r="I492" s="1294" t="s">
        <v>2992</v>
      </c>
      <c r="J492" s="1294" t="s">
        <v>2553</v>
      </c>
      <c r="K492" s="1294" t="s">
        <v>2459</v>
      </c>
      <c r="L492" s="1294" t="s">
        <v>1329</v>
      </c>
      <c r="M492" s="1294" t="s">
        <v>2932</v>
      </c>
      <c r="N492" s="1296" t="s">
        <v>115</v>
      </c>
    </row>
    <row r="493" spans="1:14" hidden="1" x14ac:dyDescent="0.3">
      <c r="A493" s="1293">
        <v>3225</v>
      </c>
      <c r="B493" s="1294" t="s">
        <v>2993</v>
      </c>
      <c r="C493" s="1294" t="s">
        <v>2932</v>
      </c>
      <c r="D493" s="1295">
        <v>45175</v>
      </c>
      <c r="E493" s="1295">
        <v>45175</v>
      </c>
      <c r="F493" s="1294" t="s">
        <v>2418</v>
      </c>
      <c r="G493" s="1294" t="s">
        <v>2531</v>
      </c>
      <c r="H493" s="1294" t="s">
        <v>2931</v>
      </c>
      <c r="I493" s="1294" t="s">
        <v>2992</v>
      </c>
      <c r="J493" s="1294" t="s">
        <v>2421</v>
      </c>
      <c r="K493" s="1294" t="s">
        <v>2459</v>
      </c>
      <c r="L493" s="1294" t="s">
        <v>1353</v>
      </c>
      <c r="M493" s="1294" t="s">
        <v>2932</v>
      </c>
      <c r="N493" s="1296" t="s">
        <v>114</v>
      </c>
    </row>
    <row r="494" spans="1:14" hidden="1" x14ac:dyDescent="0.3">
      <c r="A494" s="1293">
        <v>2234</v>
      </c>
      <c r="B494" s="1294" t="s">
        <v>2994</v>
      </c>
      <c r="C494" s="1294" t="s">
        <v>2932</v>
      </c>
      <c r="D494" s="1295">
        <v>44055</v>
      </c>
      <c r="E494" s="1295">
        <v>44055</v>
      </c>
      <c r="F494" s="1294" t="s">
        <v>2418</v>
      </c>
      <c r="G494" s="1294" t="s">
        <v>2419</v>
      </c>
      <c r="H494" s="1294" t="s">
        <v>2931</v>
      </c>
      <c r="I494" s="1294" t="s">
        <v>2939</v>
      </c>
      <c r="J494" s="1294" t="s">
        <v>2431</v>
      </c>
      <c r="K494" s="1294" t="s">
        <v>2422</v>
      </c>
      <c r="L494" s="1294" t="s">
        <v>2432</v>
      </c>
      <c r="M494" s="1294" t="s">
        <v>2932</v>
      </c>
      <c r="N494" s="1296" t="s">
        <v>113</v>
      </c>
    </row>
    <row r="495" spans="1:14" hidden="1" x14ac:dyDescent="0.3">
      <c r="A495" s="1293">
        <v>2821</v>
      </c>
      <c r="B495" s="1294" t="s">
        <v>2995</v>
      </c>
      <c r="C495" s="1294" t="s">
        <v>2932</v>
      </c>
      <c r="D495" s="1295">
        <v>44620</v>
      </c>
      <c r="E495" s="1295">
        <v>44620</v>
      </c>
      <c r="F495" s="1294" t="s">
        <v>2418</v>
      </c>
      <c r="G495" s="1294" t="s">
        <v>2419</v>
      </c>
      <c r="H495" s="1294" t="s">
        <v>2931</v>
      </c>
      <c r="I495" s="1294" t="s">
        <v>2945</v>
      </c>
      <c r="J495" s="1294" t="s">
        <v>1396</v>
      </c>
      <c r="K495" s="1294" t="s">
        <v>2422</v>
      </c>
      <c r="L495" s="1294" t="s">
        <v>1332</v>
      </c>
      <c r="M495" s="1294" t="s">
        <v>2932</v>
      </c>
      <c r="N495" s="1296" t="s">
        <v>115</v>
      </c>
    </row>
    <row r="496" spans="1:14" hidden="1" x14ac:dyDescent="0.3">
      <c r="A496" s="1293">
        <v>2629</v>
      </c>
      <c r="B496" s="1294" t="s">
        <v>2996</v>
      </c>
      <c r="C496" s="1294" t="s">
        <v>2932</v>
      </c>
      <c r="D496" s="1295">
        <v>44453</v>
      </c>
      <c r="E496" s="1295">
        <v>44453</v>
      </c>
      <c r="F496" s="1294" t="s">
        <v>2418</v>
      </c>
      <c r="G496" s="1294" t="s">
        <v>2522</v>
      </c>
      <c r="H496" s="1294" t="s">
        <v>2931</v>
      </c>
      <c r="I496" s="1294" t="s">
        <v>2930</v>
      </c>
      <c r="J496" s="1294" t="s">
        <v>2553</v>
      </c>
      <c r="K496" s="1294" t="s">
        <v>2422</v>
      </c>
      <c r="L496" s="1294" t="s">
        <v>1329</v>
      </c>
      <c r="M496" s="1294" t="s">
        <v>2932</v>
      </c>
      <c r="N496" s="1296" t="s">
        <v>115</v>
      </c>
    </row>
    <row r="497" spans="1:14" hidden="1" x14ac:dyDescent="0.3">
      <c r="A497" s="1293">
        <v>3079</v>
      </c>
      <c r="B497" s="1294" t="s">
        <v>2997</v>
      </c>
      <c r="C497" s="1294" t="s">
        <v>2932</v>
      </c>
      <c r="D497" s="1295">
        <v>44970</v>
      </c>
      <c r="E497" s="1295">
        <v>44970</v>
      </c>
      <c r="F497" s="1294" t="s">
        <v>2418</v>
      </c>
      <c r="G497" s="1294" t="s">
        <v>2419</v>
      </c>
      <c r="H497" s="1294" t="s">
        <v>2931</v>
      </c>
      <c r="I497" s="1294" t="s">
        <v>2930</v>
      </c>
      <c r="J497" s="1294" t="s">
        <v>2431</v>
      </c>
      <c r="K497" s="1294" t="s">
        <v>2422</v>
      </c>
      <c r="L497" s="1294" t="s">
        <v>2432</v>
      </c>
      <c r="M497" s="1294" t="s">
        <v>2932</v>
      </c>
      <c r="N497" s="1296" t="s">
        <v>113</v>
      </c>
    </row>
    <row r="498" spans="1:14" hidden="1" x14ac:dyDescent="0.3">
      <c r="A498" s="1293">
        <v>8398</v>
      </c>
      <c r="B498" s="1294" t="s">
        <v>2998</v>
      </c>
      <c r="C498" s="1294" t="s">
        <v>2932</v>
      </c>
      <c r="D498" s="1295">
        <v>44433</v>
      </c>
      <c r="E498" s="1295">
        <v>44433</v>
      </c>
      <c r="F498" s="1294" t="s">
        <v>2418</v>
      </c>
      <c r="G498" s="1294" t="s">
        <v>2538</v>
      </c>
      <c r="H498" s="1294" t="s">
        <v>2931</v>
      </c>
      <c r="I498" s="1294" t="s">
        <v>2941</v>
      </c>
      <c r="J498" s="1294" t="s">
        <v>2427</v>
      </c>
      <c r="K498" s="1294" t="s">
        <v>330</v>
      </c>
      <c r="L498" s="1294" t="s">
        <v>1350</v>
      </c>
      <c r="M498" s="1294" t="s">
        <v>2932</v>
      </c>
      <c r="N498" s="1296" t="s">
        <v>114</v>
      </c>
    </row>
    <row r="499" spans="1:14" hidden="1" x14ac:dyDescent="0.3">
      <c r="A499" s="1293">
        <v>1595</v>
      </c>
      <c r="B499" s="1294" t="s">
        <v>2999</v>
      </c>
      <c r="C499" s="1294" t="s">
        <v>2932</v>
      </c>
      <c r="D499" s="1295">
        <v>42856</v>
      </c>
      <c r="E499" s="1295">
        <v>42856</v>
      </c>
      <c r="F499" s="1294" t="s">
        <v>2418</v>
      </c>
      <c r="G499" s="1294" t="s">
        <v>2419</v>
      </c>
      <c r="H499" s="1294" t="s">
        <v>2931</v>
      </c>
      <c r="I499" s="1294" t="s">
        <v>2937</v>
      </c>
      <c r="J499" s="1294" t="s">
        <v>2553</v>
      </c>
      <c r="K499" s="1294" t="s">
        <v>2422</v>
      </c>
      <c r="L499" s="1294" t="s">
        <v>1329</v>
      </c>
      <c r="M499" s="1294" t="s">
        <v>2932</v>
      </c>
      <c r="N499" s="1296" t="s">
        <v>115</v>
      </c>
    </row>
    <row r="500" spans="1:14" hidden="1" x14ac:dyDescent="0.3">
      <c r="A500" s="1293">
        <v>1022</v>
      </c>
      <c r="B500" s="1294" t="s">
        <v>3000</v>
      </c>
      <c r="C500" s="1294" t="s">
        <v>2932</v>
      </c>
      <c r="D500" s="1295">
        <v>39601</v>
      </c>
      <c r="E500" s="1295">
        <v>39601</v>
      </c>
      <c r="F500" s="1294" t="s">
        <v>2418</v>
      </c>
      <c r="G500" s="1294" t="s">
        <v>2419</v>
      </c>
      <c r="H500" s="1294" t="s">
        <v>2931</v>
      </c>
      <c r="I500" s="1294" t="s">
        <v>2937</v>
      </c>
      <c r="J500" s="1294" t="s">
        <v>1396</v>
      </c>
      <c r="K500" s="1294" t="s">
        <v>2422</v>
      </c>
      <c r="L500" s="1294" t="s">
        <v>1332</v>
      </c>
      <c r="M500" s="1294" t="s">
        <v>2932</v>
      </c>
      <c r="N500" s="1296" t="s">
        <v>115</v>
      </c>
    </row>
    <row r="501" spans="1:14" hidden="1" x14ac:dyDescent="0.3">
      <c r="A501" s="1293">
        <v>8187</v>
      </c>
      <c r="B501" s="1294" t="s">
        <v>3001</v>
      </c>
      <c r="C501" s="1294" t="s">
        <v>2932</v>
      </c>
      <c r="D501" s="1295">
        <v>43255</v>
      </c>
      <c r="E501" s="1295">
        <v>43255</v>
      </c>
      <c r="F501" s="1294" t="s">
        <v>2418</v>
      </c>
      <c r="G501" s="1294" t="s">
        <v>2564</v>
      </c>
      <c r="H501" s="1294" t="s">
        <v>2931</v>
      </c>
      <c r="I501" s="1294" t="s">
        <v>2941</v>
      </c>
      <c r="J501" s="1294" t="s">
        <v>2816</v>
      </c>
      <c r="K501" s="1294" t="s">
        <v>2459</v>
      </c>
      <c r="L501" s="1294" t="s">
        <v>1387</v>
      </c>
      <c r="M501" s="1294" t="s">
        <v>2932</v>
      </c>
      <c r="N501" s="1296" t="s">
        <v>117</v>
      </c>
    </row>
    <row r="502" spans="1:14" hidden="1" x14ac:dyDescent="0.3">
      <c r="A502" s="1293">
        <v>2161</v>
      </c>
      <c r="B502" s="1294" t="s">
        <v>3002</v>
      </c>
      <c r="C502" s="1294" t="s">
        <v>2932</v>
      </c>
      <c r="D502" s="1295">
        <v>43955</v>
      </c>
      <c r="E502" s="1295">
        <v>43955</v>
      </c>
      <c r="F502" s="1294" t="s">
        <v>2418</v>
      </c>
      <c r="G502" s="1294" t="s">
        <v>2419</v>
      </c>
      <c r="H502" s="1294" t="s">
        <v>2931</v>
      </c>
      <c r="I502" s="1294" t="s">
        <v>2945</v>
      </c>
      <c r="J502" s="1294" t="s">
        <v>2425</v>
      </c>
      <c r="K502" s="1294" t="s">
        <v>2422</v>
      </c>
      <c r="L502" s="1294" t="s">
        <v>1350</v>
      </c>
      <c r="M502" s="1294" t="s">
        <v>2932</v>
      </c>
      <c r="N502" s="1296" t="s">
        <v>114</v>
      </c>
    </row>
    <row r="503" spans="1:14" hidden="1" x14ac:dyDescent="0.3">
      <c r="A503" s="1293">
        <v>1253</v>
      </c>
      <c r="B503" s="1294" t="s">
        <v>3003</v>
      </c>
      <c r="C503" s="1294" t="s">
        <v>2932</v>
      </c>
      <c r="D503" s="1295">
        <v>41267</v>
      </c>
      <c r="E503" s="1295">
        <v>41267</v>
      </c>
      <c r="F503" s="1294" t="s">
        <v>2418</v>
      </c>
      <c r="G503" s="1294" t="s">
        <v>2419</v>
      </c>
      <c r="H503" s="1294" t="s">
        <v>2931</v>
      </c>
      <c r="I503" s="1294" t="s">
        <v>2990</v>
      </c>
      <c r="J503" s="1294" t="s">
        <v>2553</v>
      </c>
      <c r="K503" s="1294" t="s">
        <v>2422</v>
      </c>
      <c r="L503" s="1294" t="s">
        <v>1329</v>
      </c>
      <c r="M503" s="1294" t="s">
        <v>2932</v>
      </c>
      <c r="N503" s="1296" t="s">
        <v>115</v>
      </c>
    </row>
    <row r="504" spans="1:14" hidden="1" x14ac:dyDescent="0.3">
      <c r="A504" s="1293">
        <v>3019</v>
      </c>
      <c r="B504" s="1294" t="s">
        <v>3004</v>
      </c>
      <c r="C504" s="1294" t="s">
        <v>2932</v>
      </c>
      <c r="D504" s="1295">
        <v>44837</v>
      </c>
      <c r="E504" s="1295">
        <v>44837</v>
      </c>
      <c r="F504" s="1294" t="s">
        <v>2418</v>
      </c>
      <c r="G504" s="1294" t="s">
        <v>2531</v>
      </c>
      <c r="H504" s="1294" t="s">
        <v>2931</v>
      </c>
      <c r="I504" s="1294" t="s">
        <v>2943</v>
      </c>
      <c r="J504" s="1294" t="s">
        <v>3005</v>
      </c>
      <c r="K504" s="1294" t="s">
        <v>2459</v>
      </c>
      <c r="L504" s="1294" t="s">
        <v>1376</v>
      </c>
      <c r="M504" s="1294" t="s">
        <v>2932</v>
      </c>
      <c r="N504" s="1296" t="s">
        <v>116</v>
      </c>
    </row>
    <row r="505" spans="1:14" hidden="1" x14ac:dyDescent="0.3">
      <c r="A505" s="1293">
        <v>1840</v>
      </c>
      <c r="B505" s="1294" t="s">
        <v>3006</v>
      </c>
      <c r="C505" s="1294" t="s">
        <v>2932</v>
      </c>
      <c r="D505" s="1295">
        <v>43339</v>
      </c>
      <c r="E505" s="1295">
        <v>43339</v>
      </c>
      <c r="F505" s="1294" t="s">
        <v>2418</v>
      </c>
      <c r="G505" s="1294" t="s">
        <v>2419</v>
      </c>
      <c r="H505" s="1294" t="s">
        <v>2931</v>
      </c>
      <c r="I505" s="1294" t="s">
        <v>2941</v>
      </c>
      <c r="J505" s="1294" t="s">
        <v>1396</v>
      </c>
      <c r="K505" s="1294" t="s">
        <v>2422</v>
      </c>
      <c r="L505" s="1294" t="s">
        <v>1332</v>
      </c>
      <c r="M505" s="1294" t="s">
        <v>2932</v>
      </c>
      <c r="N505" s="1296" t="s">
        <v>115</v>
      </c>
    </row>
    <row r="506" spans="1:14" hidden="1" x14ac:dyDescent="0.3">
      <c r="A506" s="1293">
        <v>3227</v>
      </c>
      <c r="B506" s="1294" t="s">
        <v>3007</v>
      </c>
      <c r="C506" s="1294" t="s">
        <v>2932</v>
      </c>
      <c r="D506" s="1295">
        <v>45182</v>
      </c>
      <c r="E506" s="1295">
        <v>45182</v>
      </c>
      <c r="F506" s="1294" t="s">
        <v>2418</v>
      </c>
      <c r="G506" s="1294" t="s">
        <v>2531</v>
      </c>
      <c r="H506" s="1294" t="s">
        <v>2931</v>
      </c>
      <c r="I506" s="1294" t="s">
        <v>2943</v>
      </c>
      <c r="J506" s="1294" t="s">
        <v>3005</v>
      </c>
      <c r="K506" s="1294" t="s">
        <v>2459</v>
      </c>
      <c r="L506" s="1294" t="s">
        <v>1376</v>
      </c>
      <c r="M506" s="1294" t="s">
        <v>2932</v>
      </c>
      <c r="N506" s="1296" t="s">
        <v>116</v>
      </c>
    </row>
    <row r="507" spans="1:14" hidden="1" x14ac:dyDescent="0.3">
      <c r="A507" s="1293">
        <v>1789</v>
      </c>
      <c r="B507" s="1294" t="s">
        <v>3008</v>
      </c>
      <c r="C507" s="1294" t="s">
        <v>2932</v>
      </c>
      <c r="D507" s="1295">
        <v>43255</v>
      </c>
      <c r="E507" s="1295">
        <v>43255</v>
      </c>
      <c r="F507" s="1294" t="s">
        <v>2418</v>
      </c>
      <c r="G507" s="1294" t="s">
        <v>2476</v>
      </c>
      <c r="H507" s="1294" t="s">
        <v>2931</v>
      </c>
      <c r="I507" s="1294" t="s">
        <v>2953</v>
      </c>
      <c r="J507" s="1294" t="s">
        <v>3009</v>
      </c>
      <c r="K507" s="1294" t="s">
        <v>2422</v>
      </c>
      <c r="L507" s="1294" t="s">
        <v>2984</v>
      </c>
      <c r="M507" s="1294" t="s">
        <v>2932</v>
      </c>
      <c r="N507" s="1296" t="s">
        <v>116</v>
      </c>
    </row>
    <row r="508" spans="1:14" hidden="1" x14ac:dyDescent="0.3">
      <c r="A508" s="1293">
        <v>3223</v>
      </c>
      <c r="B508" s="1294" t="s">
        <v>3010</v>
      </c>
      <c r="C508" s="1294" t="s">
        <v>2932</v>
      </c>
      <c r="D508" s="1295">
        <v>45170</v>
      </c>
      <c r="E508" s="1295">
        <v>45170</v>
      </c>
      <c r="F508" s="1294" t="s">
        <v>2418</v>
      </c>
      <c r="G508" s="1294" t="s">
        <v>2434</v>
      </c>
      <c r="H508" s="1294" t="s">
        <v>2931</v>
      </c>
      <c r="I508" s="1294" t="s">
        <v>2939</v>
      </c>
      <c r="J508" s="1294" t="s">
        <v>2449</v>
      </c>
      <c r="K508" s="1294" t="s">
        <v>2422</v>
      </c>
      <c r="L508" s="1294" t="s">
        <v>2450</v>
      </c>
      <c r="M508" s="1294" t="s">
        <v>2932</v>
      </c>
      <c r="N508" s="1296" t="s">
        <v>2452</v>
      </c>
    </row>
    <row r="509" spans="1:14" hidden="1" x14ac:dyDescent="0.3">
      <c r="A509" s="1293">
        <v>8143</v>
      </c>
      <c r="B509" s="1294" t="s">
        <v>3011</v>
      </c>
      <c r="C509" s="1294" t="s">
        <v>2932</v>
      </c>
      <c r="D509" s="1295">
        <v>43108</v>
      </c>
      <c r="E509" s="1295">
        <v>43108</v>
      </c>
      <c r="F509" s="1294" t="s">
        <v>2418</v>
      </c>
      <c r="G509" s="1294" t="s">
        <v>2727</v>
      </c>
      <c r="H509" s="1294" t="s">
        <v>2931</v>
      </c>
      <c r="I509" s="1294" t="s">
        <v>2943</v>
      </c>
      <c r="J509" s="1294" t="s">
        <v>2816</v>
      </c>
      <c r="K509" s="1294" t="s">
        <v>2459</v>
      </c>
      <c r="L509" s="1294" t="s">
        <v>1387</v>
      </c>
      <c r="M509" s="1294" t="s">
        <v>2932</v>
      </c>
      <c r="N509" s="1296" t="s">
        <v>117</v>
      </c>
    </row>
    <row r="510" spans="1:14" hidden="1" x14ac:dyDescent="0.3">
      <c r="A510" s="1293">
        <v>3210</v>
      </c>
      <c r="B510" s="1294" t="s">
        <v>3012</v>
      </c>
      <c r="C510" s="1294" t="s">
        <v>2932</v>
      </c>
      <c r="D510" s="1295">
        <v>45117</v>
      </c>
      <c r="E510" s="1295">
        <v>45117</v>
      </c>
      <c r="F510" s="1294" t="s">
        <v>2418</v>
      </c>
      <c r="G510" s="1294" t="s">
        <v>2508</v>
      </c>
      <c r="H510" s="1294" t="s">
        <v>2931</v>
      </c>
      <c r="I510" s="1294" t="s">
        <v>2930</v>
      </c>
      <c r="J510" s="1294" t="s">
        <v>2427</v>
      </c>
      <c r="K510" s="1294" t="s">
        <v>2422</v>
      </c>
      <c r="L510" s="1294" t="s">
        <v>1350</v>
      </c>
      <c r="M510" s="1294" t="s">
        <v>2932</v>
      </c>
      <c r="N510" s="1296" t="s">
        <v>114</v>
      </c>
    </row>
    <row r="511" spans="1:14" hidden="1" x14ac:dyDescent="0.3">
      <c r="A511" s="1293">
        <v>3151</v>
      </c>
      <c r="B511" s="1294" t="s">
        <v>3013</v>
      </c>
      <c r="C511" s="1294" t="s">
        <v>2932</v>
      </c>
      <c r="D511" s="1295">
        <v>44993</v>
      </c>
      <c r="E511" s="1295">
        <v>44993</v>
      </c>
      <c r="F511" s="1294" t="s">
        <v>2418</v>
      </c>
      <c r="G511" s="1294" t="s">
        <v>3014</v>
      </c>
      <c r="H511" s="1294" t="s">
        <v>2931</v>
      </c>
      <c r="I511" s="1294" t="s">
        <v>2943</v>
      </c>
      <c r="J511" s="1294" t="s">
        <v>3005</v>
      </c>
      <c r="K511" s="1294" t="s">
        <v>2459</v>
      </c>
      <c r="L511" s="1294" t="s">
        <v>1376</v>
      </c>
      <c r="M511" s="1294" t="s">
        <v>2932</v>
      </c>
      <c r="N511" s="1296" t="s">
        <v>116</v>
      </c>
    </row>
    <row r="512" spans="1:14" hidden="1" x14ac:dyDescent="0.3">
      <c r="A512" s="1293">
        <v>1865</v>
      </c>
      <c r="B512" s="1294" t="s">
        <v>3015</v>
      </c>
      <c r="C512" s="1294" t="s">
        <v>2932</v>
      </c>
      <c r="D512" s="1295">
        <v>43388</v>
      </c>
      <c r="E512" s="1295">
        <v>43388</v>
      </c>
      <c r="F512" s="1294" t="s">
        <v>2418</v>
      </c>
      <c r="G512" s="1294" t="s">
        <v>2419</v>
      </c>
      <c r="H512" s="1294" t="s">
        <v>2931</v>
      </c>
      <c r="I512" s="1294" t="s">
        <v>2948</v>
      </c>
      <c r="J512" s="1294" t="s">
        <v>2427</v>
      </c>
      <c r="K512" s="1294" t="s">
        <v>2422</v>
      </c>
      <c r="L512" s="1294" t="s">
        <v>1350</v>
      </c>
      <c r="M512" s="1294" t="s">
        <v>2932</v>
      </c>
      <c r="N512" s="1296" t="s">
        <v>114</v>
      </c>
    </row>
    <row r="513" spans="1:14" hidden="1" x14ac:dyDescent="0.3">
      <c r="A513" s="1293">
        <v>1231</v>
      </c>
      <c r="B513" s="1294" t="s">
        <v>3016</v>
      </c>
      <c r="C513" s="1294" t="s">
        <v>2932</v>
      </c>
      <c r="D513" s="1295">
        <v>41109</v>
      </c>
      <c r="E513" s="1295">
        <v>41109</v>
      </c>
      <c r="F513" s="1294" t="s">
        <v>2418</v>
      </c>
      <c r="G513" s="1294" t="s">
        <v>2419</v>
      </c>
      <c r="H513" s="1294" t="s">
        <v>2931</v>
      </c>
      <c r="I513" s="1294" t="s">
        <v>2939</v>
      </c>
      <c r="J513" s="1294" t="s">
        <v>2553</v>
      </c>
      <c r="K513" s="1294" t="s">
        <v>2422</v>
      </c>
      <c r="L513" s="1294" t="s">
        <v>1329</v>
      </c>
      <c r="M513" s="1294" t="s">
        <v>2932</v>
      </c>
      <c r="N513" s="1296" t="s">
        <v>115</v>
      </c>
    </row>
    <row r="514" spans="1:14" hidden="1" x14ac:dyDescent="0.3">
      <c r="A514" s="1293">
        <v>1621</v>
      </c>
      <c r="B514" s="1294" t="s">
        <v>3017</v>
      </c>
      <c r="C514" s="1294" t="s">
        <v>2932</v>
      </c>
      <c r="D514" s="1295">
        <v>42919</v>
      </c>
      <c r="E514" s="1295">
        <v>42919</v>
      </c>
      <c r="F514" s="1294" t="s">
        <v>2418</v>
      </c>
      <c r="G514" s="1294" t="s">
        <v>2419</v>
      </c>
      <c r="H514" s="1294" t="s">
        <v>2931</v>
      </c>
      <c r="I514" s="1294" t="s">
        <v>2948</v>
      </c>
      <c r="J514" s="1294" t="s">
        <v>2421</v>
      </c>
      <c r="K514" s="1294" t="s">
        <v>2422</v>
      </c>
      <c r="L514" s="1294" t="s">
        <v>1353</v>
      </c>
      <c r="M514" s="1294" t="s">
        <v>2932</v>
      </c>
      <c r="N514" s="1296" t="s">
        <v>114</v>
      </c>
    </row>
    <row r="515" spans="1:14" hidden="1" x14ac:dyDescent="0.3">
      <c r="A515" s="1293">
        <v>3026</v>
      </c>
      <c r="B515" s="1294" t="s">
        <v>3018</v>
      </c>
      <c r="C515" s="1294" t="s">
        <v>2932</v>
      </c>
      <c r="D515" s="1295">
        <v>44943</v>
      </c>
      <c r="E515" s="1295">
        <v>44943</v>
      </c>
      <c r="F515" s="1294" t="s">
        <v>2418</v>
      </c>
      <c r="G515" s="1294" t="s">
        <v>2419</v>
      </c>
      <c r="H515" s="1294" t="s">
        <v>2931</v>
      </c>
      <c r="I515" s="1294" t="s">
        <v>2941</v>
      </c>
      <c r="J515" s="1294" t="s">
        <v>2449</v>
      </c>
      <c r="K515" s="1294" t="s">
        <v>2422</v>
      </c>
      <c r="L515" s="1294" t="s">
        <v>2450</v>
      </c>
      <c r="M515" s="1294" t="s">
        <v>2932</v>
      </c>
      <c r="N515" s="1296" t="s">
        <v>2452</v>
      </c>
    </row>
    <row r="516" spans="1:14" hidden="1" x14ac:dyDescent="0.3">
      <c r="A516" s="1293">
        <v>1381</v>
      </c>
      <c r="B516" s="1294" t="s">
        <v>3019</v>
      </c>
      <c r="C516" s="1294" t="s">
        <v>2932</v>
      </c>
      <c r="D516" s="1295">
        <v>41918</v>
      </c>
      <c r="E516" s="1295">
        <v>41918</v>
      </c>
      <c r="F516" s="1294" t="s">
        <v>2418</v>
      </c>
      <c r="G516" s="1294" t="s">
        <v>2419</v>
      </c>
      <c r="H516" s="1294" t="s">
        <v>2931</v>
      </c>
      <c r="I516" s="1294" t="s">
        <v>2990</v>
      </c>
      <c r="J516" s="1294" t="s">
        <v>2421</v>
      </c>
      <c r="K516" s="1294" t="s">
        <v>2422</v>
      </c>
      <c r="L516" s="1294" t="s">
        <v>1353</v>
      </c>
      <c r="M516" s="1294" t="s">
        <v>2932</v>
      </c>
      <c r="N516" s="1296" t="s">
        <v>114</v>
      </c>
    </row>
    <row r="517" spans="1:14" hidden="1" x14ac:dyDescent="0.3">
      <c r="A517" s="1293">
        <v>3021</v>
      </c>
      <c r="B517" s="1294" t="s">
        <v>3020</v>
      </c>
      <c r="C517" s="1294" t="s">
        <v>2932</v>
      </c>
      <c r="D517" s="1295">
        <v>44931</v>
      </c>
      <c r="E517" s="1295">
        <v>44931</v>
      </c>
      <c r="F517" s="1294" t="s">
        <v>2418</v>
      </c>
      <c r="G517" s="1294" t="s">
        <v>2434</v>
      </c>
      <c r="H517" s="1294" t="s">
        <v>2931</v>
      </c>
      <c r="I517" s="1294" t="s">
        <v>2930</v>
      </c>
      <c r="J517" s="1294" t="s">
        <v>2449</v>
      </c>
      <c r="K517" s="1294" t="s">
        <v>2422</v>
      </c>
      <c r="L517" s="1294" t="s">
        <v>2450</v>
      </c>
      <c r="M517" s="1294" t="s">
        <v>2932</v>
      </c>
      <c r="N517" s="1296" t="s">
        <v>2452</v>
      </c>
    </row>
    <row r="518" spans="1:14" hidden="1" x14ac:dyDescent="0.3">
      <c r="A518" s="1293">
        <v>8238</v>
      </c>
      <c r="B518" s="1294" t="s">
        <v>3021</v>
      </c>
      <c r="C518" s="1294" t="s">
        <v>2932</v>
      </c>
      <c r="D518" s="1295">
        <v>43430</v>
      </c>
      <c r="E518" s="1295">
        <v>43430</v>
      </c>
      <c r="F518" s="1294" t="s">
        <v>2418</v>
      </c>
      <c r="G518" s="1294" t="s">
        <v>2531</v>
      </c>
      <c r="H518" s="1294" t="s">
        <v>2931</v>
      </c>
      <c r="I518" s="1294" t="s">
        <v>2992</v>
      </c>
      <c r="J518" s="1294" t="s">
        <v>2553</v>
      </c>
      <c r="K518" s="1294" t="s">
        <v>2459</v>
      </c>
      <c r="L518" s="1294" t="s">
        <v>1329</v>
      </c>
      <c r="M518" s="1294" t="s">
        <v>2932</v>
      </c>
      <c r="N518" s="1296" t="s">
        <v>115</v>
      </c>
    </row>
    <row r="519" spans="1:14" hidden="1" x14ac:dyDescent="0.3">
      <c r="A519" s="1293">
        <v>3009</v>
      </c>
      <c r="B519" s="1294" t="s">
        <v>3022</v>
      </c>
      <c r="C519" s="1294" t="s">
        <v>3023</v>
      </c>
      <c r="D519" s="1295">
        <v>44816</v>
      </c>
      <c r="E519" s="1295">
        <v>44816</v>
      </c>
      <c r="F519" s="1294" t="s">
        <v>2418</v>
      </c>
      <c r="G519" s="1294" t="s">
        <v>2611</v>
      </c>
      <c r="H519" s="1294" t="s">
        <v>336</v>
      </c>
      <c r="I519" s="1294" t="s">
        <v>336</v>
      </c>
      <c r="J519" s="1294" t="s">
        <v>2425</v>
      </c>
      <c r="K519" s="1294" t="s">
        <v>330</v>
      </c>
      <c r="L519" s="1294" t="s">
        <v>1350</v>
      </c>
      <c r="M519" s="1294" t="s">
        <v>765</v>
      </c>
      <c r="N519" s="1296" t="s">
        <v>114</v>
      </c>
    </row>
    <row r="520" spans="1:14" hidden="1" x14ac:dyDescent="0.3">
      <c r="A520" s="1293">
        <v>2932</v>
      </c>
      <c r="B520" s="1294" t="s">
        <v>3024</v>
      </c>
      <c r="C520" s="1294" t="s">
        <v>3023</v>
      </c>
      <c r="D520" s="1295">
        <v>44732</v>
      </c>
      <c r="E520" s="1295">
        <v>44732</v>
      </c>
      <c r="F520" s="1294" t="s">
        <v>2418</v>
      </c>
      <c r="G520" s="1294" t="s">
        <v>2434</v>
      </c>
      <c r="H520" s="1294" t="s">
        <v>336</v>
      </c>
      <c r="I520" s="1294" t="s">
        <v>336</v>
      </c>
      <c r="J520" s="1294" t="s">
        <v>2437</v>
      </c>
      <c r="K520" s="1294" t="s">
        <v>2422</v>
      </c>
      <c r="L520" s="1294" t="s">
        <v>1353</v>
      </c>
      <c r="M520" s="1294" t="s">
        <v>3025</v>
      </c>
      <c r="N520" s="1296" t="s">
        <v>114</v>
      </c>
    </row>
    <row r="521" spans="1:14" hidden="1" x14ac:dyDescent="0.3">
      <c r="A521" s="1293">
        <v>2170</v>
      </c>
      <c r="B521" s="1294" t="s">
        <v>3026</v>
      </c>
      <c r="C521" s="1294" t="s">
        <v>444</v>
      </c>
      <c r="D521" s="1295">
        <v>43997</v>
      </c>
      <c r="E521" s="1295">
        <v>43997</v>
      </c>
      <c r="F521" s="1294" t="s">
        <v>2418</v>
      </c>
      <c r="G521" s="1294" t="s">
        <v>2434</v>
      </c>
      <c r="H521" s="1294" t="s">
        <v>336</v>
      </c>
      <c r="I521" s="1294" t="s">
        <v>336</v>
      </c>
      <c r="J521" s="1294" t="s">
        <v>1396</v>
      </c>
      <c r="K521" s="1294" t="s">
        <v>2422</v>
      </c>
      <c r="L521" s="1294" t="s">
        <v>1332</v>
      </c>
      <c r="M521" s="1294" t="s">
        <v>3025</v>
      </c>
      <c r="N521" s="1296" t="s">
        <v>115</v>
      </c>
    </row>
    <row r="522" spans="1:14" hidden="1" x14ac:dyDescent="0.3">
      <c r="A522" s="1293">
        <v>2482</v>
      </c>
      <c r="B522" s="1294" t="s">
        <v>3027</v>
      </c>
      <c r="C522" s="1294" t="s">
        <v>3023</v>
      </c>
      <c r="D522" s="1295">
        <v>44368</v>
      </c>
      <c r="E522" s="1295">
        <v>44368</v>
      </c>
      <c r="F522" s="1294" t="s">
        <v>2418</v>
      </c>
      <c r="G522" s="1294" t="s">
        <v>2434</v>
      </c>
      <c r="H522" s="1294" t="s">
        <v>336</v>
      </c>
      <c r="I522" s="1294" t="s">
        <v>336</v>
      </c>
      <c r="J522" s="1294" t="s">
        <v>2425</v>
      </c>
      <c r="K522" s="1294" t="s">
        <v>2422</v>
      </c>
      <c r="L522" s="1294" t="s">
        <v>1350</v>
      </c>
      <c r="M522" s="1294" t="s">
        <v>3025</v>
      </c>
      <c r="N522" s="1296" t="s">
        <v>114</v>
      </c>
    </row>
    <row r="523" spans="1:14" hidden="1" x14ac:dyDescent="0.3">
      <c r="A523" s="1293">
        <v>2929</v>
      </c>
      <c r="B523" s="1294" t="s">
        <v>3028</v>
      </c>
      <c r="C523" s="1294" t="s">
        <v>3023</v>
      </c>
      <c r="D523" s="1295">
        <v>44732</v>
      </c>
      <c r="E523" s="1295">
        <v>44732</v>
      </c>
      <c r="F523" s="1294" t="s">
        <v>2418</v>
      </c>
      <c r="G523" s="1294" t="s">
        <v>2514</v>
      </c>
      <c r="H523" s="1294" t="s">
        <v>336</v>
      </c>
      <c r="I523" s="1294" t="s">
        <v>336</v>
      </c>
      <c r="J523" s="1294" t="s">
        <v>2437</v>
      </c>
      <c r="K523" s="1294" t="s">
        <v>2422</v>
      </c>
      <c r="L523" s="1294" t="s">
        <v>1353</v>
      </c>
      <c r="M523" s="1294" t="s">
        <v>3025</v>
      </c>
      <c r="N523" s="1296" t="s">
        <v>114</v>
      </c>
    </row>
    <row r="524" spans="1:14" hidden="1" x14ac:dyDescent="0.3">
      <c r="A524" s="1293">
        <v>3403</v>
      </c>
      <c r="B524" s="1294" t="s">
        <v>3029</v>
      </c>
      <c r="C524" s="1294" t="s">
        <v>444</v>
      </c>
      <c r="D524" s="1295">
        <v>45600</v>
      </c>
      <c r="E524" s="1295">
        <v>45600</v>
      </c>
      <c r="F524" s="1294" t="s">
        <v>2418</v>
      </c>
      <c r="G524" s="1294" t="s">
        <v>2434</v>
      </c>
      <c r="H524" s="1294" t="s">
        <v>336</v>
      </c>
      <c r="I524" s="1294" t="s">
        <v>336</v>
      </c>
      <c r="J524" s="1294" t="s">
        <v>1354</v>
      </c>
      <c r="K524" s="1294" t="s">
        <v>2422</v>
      </c>
      <c r="L524" s="1294" t="s">
        <v>1332</v>
      </c>
      <c r="M524" s="1294" t="s">
        <v>3025</v>
      </c>
      <c r="N524" s="1296" t="s">
        <v>115</v>
      </c>
    </row>
    <row r="525" spans="1:14" hidden="1" x14ac:dyDescent="0.3">
      <c r="A525" s="1293">
        <v>2894</v>
      </c>
      <c r="B525" s="1294" t="s">
        <v>3030</v>
      </c>
      <c r="C525" s="1294" t="s">
        <v>3023</v>
      </c>
      <c r="D525" s="1295">
        <v>44697</v>
      </c>
      <c r="E525" s="1295">
        <v>44697</v>
      </c>
      <c r="F525" s="1294" t="s">
        <v>2418</v>
      </c>
      <c r="G525" s="1294" t="s">
        <v>2419</v>
      </c>
      <c r="H525" s="1294" t="s">
        <v>336</v>
      </c>
      <c r="I525" s="1294" t="s">
        <v>336</v>
      </c>
      <c r="J525" s="1294" t="s">
        <v>2425</v>
      </c>
      <c r="K525" s="1294" t="s">
        <v>2422</v>
      </c>
      <c r="L525" s="1294" t="s">
        <v>1350</v>
      </c>
      <c r="M525" s="1294" t="s">
        <v>3025</v>
      </c>
      <c r="N525" s="1296" t="s">
        <v>114</v>
      </c>
    </row>
    <row r="526" spans="1:14" hidden="1" x14ac:dyDescent="0.3">
      <c r="A526" s="1293">
        <v>2788</v>
      </c>
      <c r="B526" s="1294" t="s">
        <v>3031</v>
      </c>
      <c r="C526" s="1294" t="s">
        <v>3032</v>
      </c>
      <c r="D526" s="1295">
        <v>44735</v>
      </c>
      <c r="E526" s="1295">
        <v>44735</v>
      </c>
      <c r="F526" s="1294" t="s">
        <v>2418</v>
      </c>
      <c r="G526" s="1294" t="s">
        <v>2419</v>
      </c>
      <c r="H526" s="1294" t="s">
        <v>336</v>
      </c>
      <c r="I526" s="1294" t="s">
        <v>336</v>
      </c>
      <c r="J526" s="1294" t="s">
        <v>2553</v>
      </c>
      <c r="K526" s="1294" t="s">
        <v>2422</v>
      </c>
      <c r="L526" s="1294" t="s">
        <v>1329</v>
      </c>
      <c r="M526" s="1294" t="s">
        <v>3025</v>
      </c>
      <c r="N526" s="1296" t="s">
        <v>115</v>
      </c>
    </row>
    <row r="527" spans="1:14" hidden="1" x14ac:dyDescent="0.3">
      <c r="A527" s="1293">
        <v>8353</v>
      </c>
      <c r="B527" s="1294" t="s">
        <v>3033</v>
      </c>
      <c r="C527" s="1294" t="s">
        <v>3032</v>
      </c>
      <c r="D527" s="1295">
        <v>44200</v>
      </c>
      <c r="E527" s="1295">
        <v>44200</v>
      </c>
      <c r="F527" s="1294" t="s">
        <v>2418</v>
      </c>
      <c r="G527" s="1294" t="s">
        <v>2564</v>
      </c>
      <c r="H527" s="1294" t="s">
        <v>336</v>
      </c>
      <c r="I527" s="1294" t="s">
        <v>336</v>
      </c>
      <c r="J527" s="1294" t="s">
        <v>2553</v>
      </c>
      <c r="K527" s="1294" t="s">
        <v>2459</v>
      </c>
      <c r="L527" s="1294" t="s">
        <v>1329</v>
      </c>
      <c r="M527" s="1294" t="s">
        <v>765</v>
      </c>
      <c r="N527" s="1296" t="s">
        <v>115</v>
      </c>
    </row>
    <row r="528" spans="1:14" hidden="1" x14ac:dyDescent="0.3">
      <c r="A528" s="1293">
        <v>2919</v>
      </c>
      <c r="B528" s="1294" t="s">
        <v>3034</v>
      </c>
      <c r="C528" s="1294" t="s">
        <v>3032</v>
      </c>
      <c r="D528" s="1295">
        <v>44722</v>
      </c>
      <c r="E528" s="1295">
        <v>44722</v>
      </c>
      <c r="F528" s="1294" t="s">
        <v>2418</v>
      </c>
      <c r="G528" s="1294" t="s">
        <v>2508</v>
      </c>
      <c r="H528" s="1294" t="s">
        <v>336</v>
      </c>
      <c r="I528" s="1294" t="s">
        <v>336</v>
      </c>
      <c r="J528" s="1294" t="s">
        <v>2553</v>
      </c>
      <c r="K528" s="1294" t="s">
        <v>2422</v>
      </c>
      <c r="L528" s="1294" t="s">
        <v>1329</v>
      </c>
      <c r="M528" s="1294" t="s">
        <v>3025</v>
      </c>
      <c r="N528" s="1296" t="s">
        <v>115</v>
      </c>
    </row>
    <row r="529" spans="1:14" hidden="1" x14ac:dyDescent="0.3">
      <c r="A529" s="1293">
        <v>8427</v>
      </c>
      <c r="B529" s="1294" t="s">
        <v>3035</v>
      </c>
      <c r="C529" s="1294" t="s">
        <v>444</v>
      </c>
      <c r="D529" s="1295">
        <v>44648</v>
      </c>
      <c r="E529" s="1295">
        <v>44648</v>
      </c>
      <c r="F529" s="1294" t="s">
        <v>2418</v>
      </c>
      <c r="G529" s="1294" t="s">
        <v>2538</v>
      </c>
      <c r="H529" s="1294" t="s">
        <v>336</v>
      </c>
      <c r="I529" s="1294" t="s">
        <v>336</v>
      </c>
      <c r="J529" s="1294" t="s">
        <v>1396</v>
      </c>
      <c r="K529" s="1294" t="s">
        <v>330</v>
      </c>
      <c r="L529" s="1294" t="s">
        <v>1332</v>
      </c>
      <c r="M529" s="1294" t="s">
        <v>765</v>
      </c>
      <c r="N529" s="1296" t="s">
        <v>115</v>
      </c>
    </row>
    <row r="530" spans="1:14" hidden="1" x14ac:dyDescent="0.3">
      <c r="A530" s="1293">
        <v>2895</v>
      </c>
      <c r="B530" s="1294" t="s">
        <v>3036</v>
      </c>
      <c r="C530" s="1294" t="s">
        <v>3023</v>
      </c>
      <c r="D530" s="1295">
        <v>44697</v>
      </c>
      <c r="E530" s="1295">
        <v>44697</v>
      </c>
      <c r="F530" s="1294" t="s">
        <v>2418</v>
      </c>
      <c r="G530" s="1294" t="s">
        <v>2508</v>
      </c>
      <c r="H530" s="1294" t="s">
        <v>336</v>
      </c>
      <c r="I530" s="1294" t="s">
        <v>336</v>
      </c>
      <c r="J530" s="1294" t="s">
        <v>2437</v>
      </c>
      <c r="K530" s="1294" t="s">
        <v>2422</v>
      </c>
      <c r="L530" s="1294" t="s">
        <v>1353</v>
      </c>
      <c r="M530" s="1294" t="s">
        <v>3025</v>
      </c>
      <c r="N530" s="1296" t="s">
        <v>114</v>
      </c>
    </row>
    <row r="531" spans="1:14" hidden="1" x14ac:dyDescent="0.3">
      <c r="A531" s="1293">
        <v>2736</v>
      </c>
      <c r="B531" s="1294" t="s">
        <v>3037</v>
      </c>
      <c r="C531" s="1294" t="s">
        <v>3023</v>
      </c>
      <c r="D531" s="1295">
        <v>44545</v>
      </c>
      <c r="E531" s="1295">
        <v>44545</v>
      </c>
      <c r="F531" s="1294" t="s">
        <v>2418</v>
      </c>
      <c r="G531" s="1294" t="s">
        <v>2508</v>
      </c>
      <c r="H531" s="1294" t="s">
        <v>336</v>
      </c>
      <c r="I531" s="1294" t="s">
        <v>336</v>
      </c>
      <c r="J531" s="1294" t="s">
        <v>2425</v>
      </c>
      <c r="K531" s="1294" t="s">
        <v>2422</v>
      </c>
      <c r="L531" s="1294" t="s">
        <v>1350</v>
      </c>
      <c r="M531" s="1294" t="s">
        <v>3025</v>
      </c>
      <c r="N531" s="1296" t="s">
        <v>114</v>
      </c>
    </row>
    <row r="532" spans="1:14" hidden="1" x14ac:dyDescent="0.3">
      <c r="A532" s="1293">
        <v>2543</v>
      </c>
      <c r="B532" s="1294" t="s">
        <v>3038</v>
      </c>
      <c r="C532" s="1294" t="s">
        <v>3032</v>
      </c>
      <c r="D532" s="1295">
        <v>45356</v>
      </c>
      <c r="E532" s="1295">
        <v>44424</v>
      </c>
      <c r="F532" s="1294" t="s">
        <v>2418</v>
      </c>
      <c r="G532" s="1294" t="s">
        <v>2556</v>
      </c>
      <c r="H532" s="1294" t="s">
        <v>336</v>
      </c>
      <c r="I532" s="1294" t="s">
        <v>336</v>
      </c>
      <c r="J532" s="1294" t="s">
        <v>2553</v>
      </c>
      <c r="K532" s="1294" t="s">
        <v>2459</v>
      </c>
      <c r="L532" s="1294" t="s">
        <v>1329</v>
      </c>
      <c r="M532" s="1294" t="s">
        <v>765</v>
      </c>
      <c r="N532" s="1296" t="s">
        <v>115</v>
      </c>
    </row>
    <row r="533" spans="1:14" hidden="1" x14ac:dyDescent="0.3">
      <c r="A533" s="1293">
        <v>2899</v>
      </c>
      <c r="B533" s="1294" t="s">
        <v>3039</v>
      </c>
      <c r="C533" s="1294" t="s">
        <v>3023</v>
      </c>
      <c r="D533" s="1295">
        <v>44697</v>
      </c>
      <c r="E533" s="1295">
        <v>44697</v>
      </c>
      <c r="F533" s="1294" t="s">
        <v>2418</v>
      </c>
      <c r="G533" s="1294" t="s">
        <v>2419</v>
      </c>
      <c r="H533" s="1294" t="s">
        <v>336</v>
      </c>
      <c r="I533" s="1294" t="s">
        <v>336</v>
      </c>
      <c r="J533" s="1294" t="s">
        <v>2437</v>
      </c>
      <c r="K533" s="1294" t="s">
        <v>2422</v>
      </c>
      <c r="L533" s="1294" t="s">
        <v>1353</v>
      </c>
      <c r="M533" s="1294" t="s">
        <v>3025</v>
      </c>
      <c r="N533" s="1296" t="s">
        <v>114</v>
      </c>
    </row>
    <row r="534" spans="1:14" hidden="1" x14ac:dyDescent="0.3">
      <c r="A534" s="1293">
        <v>8300</v>
      </c>
      <c r="B534" s="1294" t="s">
        <v>3040</v>
      </c>
      <c r="C534" s="1294" t="s">
        <v>3032</v>
      </c>
      <c r="D534" s="1295">
        <v>43725</v>
      </c>
      <c r="E534" s="1295">
        <v>43725</v>
      </c>
      <c r="F534" s="1294" t="s">
        <v>2418</v>
      </c>
      <c r="G534" s="1294" t="s">
        <v>2538</v>
      </c>
      <c r="H534" s="1294" t="s">
        <v>336</v>
      </c>
      <c r="I534" s="1294" t="s">
        <v>336</v>
      </c>
      <c r="J534" s="1294" t="s">
        <v>2553</v>
      </c>
      <c r="K534" s="1294" t="s">
        <v>330</v>
      </c>
      <c r="L534" s="1294" t="s">
        <v>1329</v>
      </c>
      <c r="M534" s="1294" t="s">
        <v>765</v>
      </c>
      <c r="N534" s="1296" t="s">
        <v>115</v>
      </c>
    </row>
    <row r="535" spans="1:14" hidden="1" x14ac:dyDescent="0.3">
      <c r="A535" s="1293">
        <v>2893</v>
      </c>
      <c r="B535" s="1294" t="s">
        <v>3041</v>
      </c>
      <c r="C535" s="1294" t="s">
        <v>3023</v>
      </c>
      <c r="D535" s="1295">
        <v>44697</v>
      </c>
      <c r="E535" s="1295">
        <v>44697</v>
      </c>
      <c r="F535" s="1294" t="s">
        <v>2418</v>
      </c>
      <c r="G535" s="1294" t="s">
        <v>2419</v>
      </c>
      <c r="H535" s="1294" t="s">
        <v>336</v>
      </c>
      <c r="I535" s="1294" t="s">
        <v>336</v>
      </c>
      <c r="J535" s="1294" t="s">
        <v>2425</v>
      </c>
      <c r="K535" s="1294" t="s">
        <v>2422</v>
      </c>
      <c r="L535" s="1294" t="s">
        <v>1350</v>
      </c>
      <c r="M535" s="1294" t="s">
        <v>3025</v>
      </c>
      <c r="N535" s="1296" t="s">
        <v>114</v>
      </c>
    </row>
    <row r="536" spans="1:14" hidden="1" x14ac:dyDescent="0.3">
      <c r="A536" s="1293">
        <v>2171</v>
      </c>
      <c r="B536" s="1294" t="s">
        <v>3042</v>
      </c>
      <c r="C536" s="1294" t="s">
        <v>444</v>
      </c>
      <c r="D536" s="1295">
        <v>43997</v>
      </c>
      <c r="E536" s="1295">
        <v>43997</v>
      </c>
      <c r="F536" s="1294" t="s">
        <v>2418</v>
      </c>
      <c r="G536" s="1294" t="s">
        <v>2419</v>
      </c>
      <c r="H536" s="1294" t="s">
        <v>336</v>
      </c>
      <c r="I536" s="1294" t="s">
        <v>336</v>
      </c>
      <c r="J536" s="1294" t="s">
        <v>1396</v>
      </c>
      <c r="K536" s="1294" t="s">
        <v>2422</v>
      </c>
      <c r="L536" s="1294" t="s">
        <v>1332</v>
      </c>
      <c r="M536" s="1294" t="s">
        <v>3025</v>
      </c>
      <c r="N536" s="1296" t="s">
        <v>115</v>
      </c>
    </row>
    <row r="537" spans="1:14" hidden="1" x14ac:dyDescent="0.3">
      <c r="A537" s="1293">
        <v>2480</v>
      </c>
      <c r="B537" s="1294" t="s">
        <v>3043</v>
      </c>
      <c r="C537" s="1294" t="s">
        <v>3023</v>
      </c>
      <c r="D537" s="1295">
        <v>45323</v>
      </c>
      <c r="E537" s="1295">
        <v>44368</v>
      </c>
      <c r="F537" s="1294" t="s">
        <v>2418</v>
      </c>
      <c r="G537" s="1294" t="s">
        <v>2531</v>
      </c>
      <c r="H537" s="1294" t="s">
        <v>336</v>
      </c>
      <c r="I537" s="1294" t="s">
        <v>336</v>
      </c>
      <c r="J537" s="1294" t="s">
        <v>2425</v>
      </c>
      <c r="K537" s="1294" t="s">
        <v>2459</v>
      </c>
      <c r="L537" s="1294" t="s">
        <v>1350</v>
      </c>
      <c r="M537" s="1294" t="s">
        <v>765</v>
      </c>
      <c r="N537" s="1296" t="s">
        <v>114</v>
      </c>
    </row>
    <row r="538" spans="1:14" hidden="1" x14ac:dyDescent="0.3">
      <c r="A538" s="1293">
        <v>1188</v>
      </c>
      <c r="B538" s="1294" t="s">
        <v>3044</v>
      </c>
      <c r="C538" s="1294" t="s">
        <v>3032</v>
      </c>
      <c r="D538" s="1295">
        <v>45026</v>
      </c>
      <c r="E538" s="1295">
        <v>40961</v>
      </c>
      <c r="F538" s="1294" t="s">
        <v>2418</v>
      </c>
      <c r="G538" s="1294" t="s">
        <v>2564</v>
      </c>
      <c r="H538" s="1294" t="s">
        <v>336</v>
      </c>
      <c r="I538" s="1294" t="s">
        <v>336</v>
      </c>
      <c r="J538" s="1294" t="s">
        <v>2553</v>
      </c>
      <c r="K538" s="1294" t="s">
        <v>2459</v>
      </c>
      <c r="L538" s="1294" t="s">
        <v>1329</v>
      </c>
      <c r="M538" s="1294" t="s">
        <v>765</v>
      </c>
      <c r="N538" s="1296" t="s">
        <v>115</v>
      </c>
    </row>
    <row r="539" spans="1:14" hidden="1" x14ac:dyDescent="0.3">
      <c r="A539" s="1293">
        <v>1429</v>
      </c>
      <c r="B539" s="1294" t="s">
        <v>3045</v>
      </c>
      <c r="C539" s="1294" t="s">
        <v>3032</v>
      </c>
      <c r="D539" s="1295">
        <v>45076</v>
      </c>
      <c r="E539" s="1295">
        <v>42219</v>
      </c>
      <c r="F539" s="1294" t="s">
        <v>2418</v>
      </c>
      <c r="G539" s="1294" t="s">
        <v>2531</v>
      </c>
      <c r="H539" s="1294" t="s">
        <v>336</v>
      </c>
      <c r="I539" s="1294" t="s">
        <v>336</v>
      </c>
      <c r="J539" s="1294" t="s">
        <v>2553</v>
      </c>
      <c r="K539" s="1294" t="s">
        <v>2459</v>
      </c>
      <c r="L539" s="1294" t="s">
        <v>1329</v>
      </c>
      <c r="M539" s="1294" t="s">
        <v>765</v>
      </c>
      <c r="N539" s="1296" t="s">
        <v>115</v>
      </c>
    </row>
    <row r="540" spans="1:14" hidden="1" x14ac:dyDescent="0.3">
      <c r="A540" s="1293">
        <v>1124</v>
      </c>
      <c r="B540" s="1294" t="s">
        <v>3046</v>
      </c>
      <c r="C540" s="1294" t="s">
        <v>721</v>
      </c>
      <c r="D540" s="1295">
        <v>40652</v>
      </c>
      <c r="E540" s="1295">
        <v>40652</v>
      </c>
      <c r="F540" s="1294" t="s">
        <v>2418</v>
      </c>
      <c r="G540" s="1294" t="s">
        <v>2419</v>
      </c>
      <c r="H540" s="1294" t="s">
        <v>336</v>
      </c>
      <c r="I540" s="1294" t="s">
        <v>336</v>
      </c>
      <c r="J540" s="1294" t="s">
        <v>2496</v>
      </c>
      <c r="K540" s="1294" t="s">
        <v>2422</v>
      </c>
      <c r="L540" s="1294" t="s">
        <v>1372</v>
      </c>
      <c r="M540" s="1294" t="s">
        <v>3025</v>
      </c>
      <c r="N540" s="1296" t="s">
        <v>116</v>
      </c>
    </row>
    <row r="541" spans="1:14" hidden="1" x14ac:dyDescent="0.3">
      <c r="A541" s="1293">
        <v>8432</v>
      </c>
      <c r="B541" s="1294" t="s">
        <v>3047</v>
      </c>
      <c r="C541" s="1294" t="s">
        <v>3032</v>
      </c>
      <c r="D541" s="1295">
        <v>44655</v>
      </c>
      <c r="E541" s="1295">
        <v>44655</v>
      </c>
      <c r="F541" s="1294" t="s">
        <v>2418</v>
      </c>
      <c r="G541" s="1294" t="s">
        <v>2538</v>
      </c>
      <c r="H541" s="1294" t="s">
        <v>336</v>
      </c>
      <c r="I541" s="1294" t="s">
        <v>336</v>
      </c>
      <c r="J541" s="1294" t="s">
        <v>2553</v>
      </c>
      <c r="K541" s="1294" t="s">
        <v>330</v>
      </c>
      <c r="L541" s="1294" t="s">
        <v>1329</v>
      </c>
      <c r="M541" s="1294" t="s">
        <v>765</v>
      </c>
      <c r="N541" s="1296" t="s">
        <v>115</v>
      </c>
    </row>
    <row r="542" spans="1:14" hidden="1" x14ac:dyDescent="0.3">
      <c r="A542" s="1293">
        <v>3197</v>
      </c>
      <c r="B542" s="1294" t="s">
        <v>3048</v>
      </c>
      <c r="C542" s="1294" t="s">
        <v>3023</v>
      </c>
      <c r="D542" s="1295">
        <v>45078</v>
      </c>
      <c r="E542" s="1295">
        <v>45078</v>
      </c>
      <c r="F542" s="1294" t="s">
        <v>2418</v>
      </c>
      <c r="G542" s="1294" t="s">
        <v>2434</v>
      </c>
      <c r="H542" s="1294" t="s">
        <v>336</v>
      </c>
      <c r="I542" s="1294" t="s">
        <v>336</v>
      </c>
      <c r="J542" s="1294" t="s">
        <v>2425</v>
      </c>
      <c r="K542" s="1294" t="s">
        <v>2422</v>
      </c>
      <c r="L542" s="1294" t="s">
        <v>1350</v>
      </c>
      <c r="M542" s="1294" t="s">
        <v>3025</v>
      </c>
      <c r="N542" s="1296" t="s">
        <v>114</v>
      </c>
    </row>
    <row r="543" spans="1:14" hidden="1" x14ac:dyDescent="0.3">
      <c r="A543" s="1293">
        <v>8443</v>
      </c>
      <c r="B543" s="1294" t="s">
        <v>3049</v>
      </c>
      <c r="C543" s="1294" t="s">
        <v>1708</v>
      </c>
      <c r="D543" s="1295">
        <v>44725</v>
      </c>
      <c r="E543" s="1295">
        <v>44725</v>
      </c>
      <c r="F543" s="1294" t="s">
        <v>2418</v>
      </c>
      <c r="G543" s="1294" t="s">
        <v>2531</v>
      </c>
      <c r="H543" s="1294" t="s">
        <v>336</v>
      </c>
      <c r="I543" s="1294" t="s">
        <v>336</v>
      </c>
      <c r="J543" s="1294" t="s">
        <v>1336</v>
      </c>
      <c r="K543" s="1294" t="s">
        <v>2459</v>
      </c>
      <c r="L543" s="1294" t="s">
        <v>1387</v>
      </c>
      <c r="M543" s="1294" t="s">
        <v>765</v>
      </c>
      <c r="N543" s="1296" t="s">
        <v>117</v>
      </c>
    </row>
    <row r="544" spans="1:14" hidden="1" x14ac:dyDescent="0.3">
      <c r="A544" s="1293">
        <v>2178</v>
      </c>
      <c r="B544" s="1294" t="s">
        <v>3050</v>
      </c>
      <c r="C544" s="1294" t="s">
        <v>444</v>
      </c>
      <c r="D544" s="1295">
        <v>43997</v>
      </c>
      <c r="E544" s="1295">
        <v>43997</v>
      </c>
      <c r="F544" s="1294" t="s">
        <v>2418</v>
      </c>
      <c r="G544" s="1294" t="s">
        <v>2419</v>
      </c>
      <c r="H544" s="1294" t="s">
        <v>336</v>
      </c>
      <c r="I544" s="1294" t="s">
        <v>336</v>
      </c>
      <c r="J544" s="1294" t="s">
        <v>1396</v>
      </c>
      <c r="K544" s="1294" t="s">
        <v>2422</v>
      </c>
      <c r="L544" s="1294" t="s">
        <v>1332</v>
      </c>
      <c r="M544" s="1294" t="s">
        <v>3025</v>
      </c>
      <c r="N544" s="1296" t="s">
        <v>115</v>
      </c>
    </row>
    <row r="545" spans="1:14" hidden="1" x14ac:dyDescent="0.3">
      <c r="A545" s="1293">
        <v>1847</v>
      </c>
      <c r="B545" s="1294" t="s">
        <v>3051</v>
      </c>
      <c r="C545" s="1294" t="s">
        <v>3032</v>
      </c>
      <c r="D545" s="1295">
        <v>43353</v>
      </c>
      <c r="E545" s="1295">
        <v>43353</v>
      </c>
      <c r="F545" s="1294" t="s">
        <v>2418</v>
      </c>
      <c r="G545" s="1294" t="s">
        <v>2419</v>
      </c>
      <c r="H545" s="1294" t="s">
        <v>336</v>
      </c>
      <c r="I545" s="1294" t="s">
        <v>336</v>
      </c>
      <c r="J545" s="1294" t="s">
        <v>2553</v>
      </c>
      <c r="K545" s="1294" t="s">
        <v>2422</v>
      </c>
      <c r="L545" s="1294" t="s">
        <v>1329</v>
      </c>
      <c r="M545" s="1294" t="s">
        <v>3025</v>
      </c>
      <c r="N545" s="1296" t="s">
        <v>115</v>
      </c>
    </row>
    <row r="546" spans="1:14" hidden="1" x14ac:dyDescent="0.3">
      <c r="A546" s="1293">
        <v>2902</v>
      </c>
      <c r="B546" s="1294" t="s">
        <v>3052</v>
      </c>
      <c r="C546" s="1294" t="s">
        <v>3023</v>
      </c>
      <c r="D546" s="1295">
        <v>44697</v>
      </c>
      <c r="E546" s="1295">
        <v>44697</v>
      </c>
      <c r="F546" s="1294" t="s">
        <v>2418</v>
      </c>
      <c r="G546" s="1294" t="s">
        <v>2419</v>
      </c>
      <c r="H546" s="1294" t="s">
        <v>336</v>
      </c>
      <c r="I546" s="1294" t="s">
        <v>336</v>
      </c>
      <c r="J546" s="1294" t="s">
        <v>2437</v>
      </c>
      <c r="K546" s="1294" t="s">
        <v>2422</v>
      </c>
      <c r="L546" s="1294" t="s">
        <v>1353</v>
      </c>
      <c r="M546" s="1294" t="s">
        <v>3025</v>
      </c>
      <c r="N546" s="1296" t="s">
        <v>114</v>
      </c>
    </row>
    <row r="547" spans="1:14" hidden="1" x14ac:dyDescent="0.3">
      <c r="A547" s="1293">
        <v>3086</v>
      </c>
      <c r="B547" s="1294" t="s">
        <v>3053</v>
      </c>
      <c r="C547" s="1294" t="s">
        <v>3032</v>
      </c>
      <c r="D547" s="1295">
        <v>44977</v>
      </c>
      <c r="E547" s="1295">
        <v>44977</v>
      </c>
      <c r="F547" s="1294" t="s">
        <v>2418</v>
      </c>
      <c r="G547" s="1294" t="s">
        <v>2508</v>
      </c>
      <c r="H547" s="1294" t="s">
        <v>336</v>
      </c>
      <c r="I547" s="1294" t="s">
        <v>336</v>
      </c>
      <c r="J547" s="1294" t="s">
        <v>2553</v>
      </c>
      <c r="K547" s="1294" t="s">
        <v>2422</v>
      </c>
      <c r="L547" s="1294" t="s">
        <v>1329</v>
      </c>
      <c r="M547" s="1294" t="s">
        <v>3025</v>
      </c>
      <c r="N547" s="1296" t="s">
        <v>115</v>
      </c>
    </row>
    <row r="548" spans="1:14" hidden="1" x14ac:dyDescent="0.3">
      <c r="A548" s="1293">
        <v>2475</v>
      </c>
      <c r="B548" s="1294" t="s">
        <v>3054</v>
      </c>
      <c r="C548" s="1294" t="s">
        <v>444</v>
      </c>
      <c r="D548" s="1295">
        <v>44368</v>
      </c>
      <c r="E548" s="1295">
        <v>44368</v>
      </c>
      <c r="F548" s="1294" t="s">
        <v>2418</v>
      </c>
      <c r="G548" s="1294" t="s">
        <v>2419</v>
      </c>
      <c r="H548" s="1294" t="s">
        <v>336</v>
      </c>
      <c r="I548" s="1294" t="s">
        <v>336</v>
      </c>
      <c r="J548" s="1294" t="s">
        <v>1396</v>
      </c>
      <c r="K548" s="1294" t="s">
        <v>2422</v>
      </c>
      <c r="L548" s="1294" t="s">
        <v>1332</v>
      </c>
      <c r="M548" s="1294" t="s">
        <v>3025</v>
      </c>
      <c r="N548" s="1296" t="s">
        <v>115</v>
      </c>
    </row>
    <row r="549" spans="1:14" hidden="1" x14ac:dyDescent="0.3">
      <c r="A549" s="1293">
        <v>2175</v>
      </c>
      <c r="B549" s="1294" t="s">
        <v>3055</v>
      </c>
      <c r="C549" s="1294" t="s">
        <v>444</v>
      </c>
      <c r="D549" s="1295">
        <v>45341</v>
      </c>
      <c r="E549" s="1295">
        <v>43997</v>
      </c>
      <c r="F549" s="1294" t="s">
        <v>2418</v>
      </c>
      <c r="G549" s="1294" t="s">
        <v>2564</v>
      </c>
      <c r="H549" s="1294" t="s">
        <v>336</v>
      </c>
      <c r="I549" s="1294" t="s">
        <v>336</v>
      </c>
      <c r="J549" s="1294" t="s">
        <v>1396</v>
      </c>
      <c r="K549" s="1294" t="s">
        <v>2459</v>
      </c>
      <c r="L549" s="1294" t="s">
        <v>1332</v>
      </c>
      <c r="M549" s="1294" t="s">
        <v>765</v>
      </c>
      <c r="N549" s="1296" t="s">
        <v>115</v>
      </c>
    </row>
    <row r="550" spans="1:14" hidden="1" x14ac:dyDescent="0.3">
      <c r="A550" s="1293">
        <v>3243</v>
      </c>
      <c r="B550" s="1294" t="s">
        <v>3056</v>
      </c>
      <c r="C550" s="1294" t="s">
        <v>3023</v>
      </c>
      <c r="D550" s="1295">
        <v>45215</v>
      </c>
      <c r="E550" s="1295">
        <v>45215</v>
      </c>
      <c r="F550" s="1294" t="s">
        <v>2418</v>
      </c>
      <c r="G550" s="1294" t="s">
        <v>2531</v>
      </c>
      <c r="H550" s="1294" t="s">
        <v>336</v>
      </c>
      <c r="I550" s="1294" t="s">
        <v>336</v>
      </c>
      <c r="J550" s="1294" t="s">
        <v>2437</v>
      </c>
      <c r="K550" s="1294" t="s">
        <v>2459</v>
      </c>
      <c r="L550" s="1294" t="s">
        <v>1353</v>
      </c>
      <c r="M550" s="1294" t="s">
        <v>765</v>
      </c>
      <c r="N550" s="1296" t="s">
        <v>114</v>
      </c>
    </row>
    <row r="551" spans="1:14" hidden="1" x14ac:dyDescent="0.3">
      <c r="A551" s="1293">
        <v>2479</v>
      </c>
      <c r="B551" s="1294" t="s">
        <v>3057</v>
      </c>
      <c r="C551" s="1294" t="s">
        <v>3023</v>
      </c>
      <c r="D551" s="1295">
        <v>44368</v>
      </c>
      <c r="E551" s="1295">
        <v>44368</v>
      </c>
      <c r="F551" s="1294" t="s">
        <v>2418</v>
      </c>
      <c r="G551" s="1294" t="s">
        <v>2419</v>
      </c>
      <c r="H551" s="1294" t="s">
        <v>336</v>
      </c>
      <c r="I551" s="1294" t="s">
        <v>336</v>
      </c>
      <c r="J551" s="1294" t="s">
        <v>2425</v>
      </c>
      <c r="K551" s="1294" t="s">
        <v>2422</v>
      </c>
      <c r="L551" s="1294" t="s">
        <v>1350</v>
      </c>
      <c r="M551" s="1294" t="s">
        <v>3025</v>
      </c>
      <c r="N551" s="1296" t="s">
        <v>114</v>
      </c>
    </row>
    <row r="552" spans="1:14" hidden="1" x14ac:dyDescent="0.3">
      <c r="A552" s="1293">
        <v>2173</v>
      </c>
      <c r="B552" s="1294" t="s">
        <v>3058</v>
      </c>
      <c r="C552" s="1294" t="s">
        <v>444</v>
      </c>
      <c r="D552" s="1295">
        <v>43997</v>
      </c>
      <c r="E552" s="1295">
        <v>43997</v>
      </c>
      <c r="F552" s="1294" t="s">
        <v>2418</v>
      </c>
      <c r="G552" s="1294" t="s">
        <v>2434</v>
      </c>
      <c r="H552" s="1294" t="s">
        <v>336</v>
      </c>
      <c r="I552" s="1294" t="s">
        <v>336</v>
      </c>
      <c r="J552" s="1294" t="s">
        <v>1396</v>
      </c>
      <c r="K552" s="1294" t="s">
        <v>2422</v>
      </c>
      <c r="L552" s="1294" t="s">
        <v>1332</v>
      </c>
      <c r="M552" s="1294" t="s">
        <v>3025</v>
      </c>
      <c r="N552" s="1296" t="s">
        <v>115</v>
      </c>
    </row>
    <row r="553" spans="1:14" hidden="1" x14ac:dyDescent="0.3">
      <c r="A553" s="1293">
        <v>1386</v>
      </c>
      <c r="B553" s="1294" t="s">
        <v>3059</v>
      </c>
      <c r="C553" s="1294" t="s">
        <v>3023</v>
      </c>
      <c r="D553" s="1295">
        <v>44224</v>
      </c>
      <c r="E553" s="1295">
        <v>44224</v>
      </c>
      <c r="F553" s="1294" t="s">
        <v>2418</v>
      </c>
      <c r="G553" s="1294" t="s">
        <v>2922</v>
      </c>
      <c r="H553" s="1294" t="s">
        <v>336</v>
      </c>
      <c r="I553" s="1294" t="s">
        <v>336</v>
      </c>
      <c r="J553" s="1294" t="s">
        <v>2437</v>
      </c>
      <c r="K553" s="1294" t="s">
        <v>2459</v>
      </c>
      <c r="L553" s="1294" t="s">
        <v>1353</v>
      </c>
      <c r="M553" s="1294" t="s">
        <v>765</v>
      </c>
      <c r="N553" s="1296" t="s">
        <v>114</v>
      </c>
    </row>
    <row r="554" spans="1:14" hidden="1" x14ac:dyDescent="0.3">
      <c r="A554" s="1293">
        <v>2088</v>
      </c>
      <c r="B554" s="1294" t="s">
        <v>3060</v>
      </c>
      <c r="C554" s="1294" t="s">
        <v>721</v>
      </c>
      <c r="D554" s="1295">
        <v>43712</v>
      </c>
      <c r="E554" s="1295">
        <v>43712</v>
      </c>
      <c r="F554" s="1294" t="s">
        <v>2418</v>
      </c>
      <c r="G554" s="1294" t="s">
        <v>2419</v>
      </c>
      <c r="H554" s="1294" t="s">
        <v>336</v>
      </c>
      <c r="I554" s="1294" t="s">
        <v>336</v>
      </c>
      <c r="J554" s="1294" t="s">
        <v>1333</v>
      </c>
      <c r="K554" s="1294" t="s">
        <v>2422</v>
      </c>
      <c r="L554" s="1294" t="s">
        <v>1376</v>
      </c>
      <c r="M554" s="1294" t="s">
        <v>3025</v>
      </c>
      <c r="N554" s="1296" t="s">
        <v>116</v>
      </c>
    </row>
    <row r="555" spans="1:14" hidden="1" x14ac:dyDescent="0.3">
      <c r="A555" s="1293">
        <v>3218</v>
      </c>
      <c r="B555" s="1294" t="s">
        <v>3061</v>
      </c>
      <c r="C555" s="1294" t="s">
        <v>3023</v>
      </c>
      <c r="D555" s="1295">
        <v>45152</v>
      </c>
      <c r="E555" s="1295">
        <v>45152</v>
      </c>
      <c r="F555" s="1294" t="s">
        <v>2418</v>
      </c>
      <c r="G555" s="1294" t="s">
        <v>2434</v>
      </c>
      <c r="H555" s="1294" t="s">
        <v>336</v>
      </c>
      <c r="I555" s="1294" t="s">
        <v>336</v>
      </c>
      <c r="J555" s="1294" t="s">
        <v>2425</v>
      </c>
      <c r="K555" s="1294" t="s">
        <v>2422</v>
      </c>
      <c r="L555" s="1294" t="s">
        <v>1350</v>
      </c>
      <c r="M555" s="1294" t="s">
        <v>3025</v>
      </c>
      <c r="N555" s="1296" t="s">
        <v>114</v>
      </c>
    </row>
    <row r="556" spans="1:14" hidden="1" x14ac:dyDescent="0.3">
      <c r="A556" s="1293">
        <v>1562</v>
      </c>
      <c r="B556" s="1294" t="s">
        <v>3062</v>
      </c>
      <c r="C556" s="1294" t="s">
        <v>3023</v>
      </c>
      <c r="D556" s="1295">
        <v>42702</v>
      </c>
      <c r="E556" s="1295">
        <v>42702</v>
      </c>
      <c r="F556" s="1294" t="s">
        <v>2418</v>
      </c>
      <c r="G556" s="1294" t="s">
        <v>2508</v>
      </c>
      <c r="H556" s="1294" t="s">
        <v>336</v>
      </c>
      <c r="I556" s="1294" t="s">
        <v>336</v>
      </c>
      <c r="J556" s="1294" t="s">
        <v>2437</v>
      </c>
      <c r="K556" s="1294" t="s">
        <v>2422</v>
      </c>
      <c r="L556" s="1294" t="s">
        <v>1353</v>
      </c>
      <c r="M556" s="1294" t="s">
        <v>3025</v>
      </c>
      <c r="N556" s="1296" t="s">
        <v>114</v>
      </c>
    </row>
    <row r="557" spans="1:14" hidden="1" x14ac:dyDescent="0.3">
      <c r="A557" s="1293">
        <v>3052</v>
      </c>
      <c r="B557" s="1294" t="s">
        <v>3063</v>
      </c>
      <c r="C557" s="1294" t="s">
        <v>1708</v>
      </c>
      <c r="D557" s="1295">
        <v>44900</v>
      </c>
      <c r="E557" s="1295">
        <v>44900</v>
      </c>
      <c r="F557" s="1294" t="s">
        <v>2418</v>
      </c>
      <c r="G557" s="1294" t="s">
        <v>2960</v>
      </c>
      <c r="H557" s="1294" t="s">
        <v>336</v>
      </c>
      <c r="I557" s="1294" t="s">
        <v>336</v>
      </c>
      <c r="J557" s="1294" t="s">
        <v>1336</v>
      </c>
      <c r="K557" s="1294" t="s">
        <v>2459</v>
      </c>
      <c r="L557" s="1294" t="s">
        <v>1387</v>
      </c>
      <c r="M557" s="1294" t="s">
        <v>765</v>
      </c>
      <c r="N557" s="1296" t="s">
        <v>117</v>
      </c>
    </row>
    <row r="558" spans="1:14" hidden="1" x14ac:dyDescent="0.3">
      <c r="A558" s="1293">
        <v>3226</v>
      </c>
      <c r="B558" s="1294" t="s">
        <v>3064</v>
      </c>
      <c r="C558" s="1294" t="s">
        <v>444</v>
      </c>
      <c r="D558" s="1295">
        <v>45180</v>
      </c>
      <c r="E558" s="1295">
        <v>45180</v>
      </c>
      <c r="F558" s="1294" t="s">
        <v>2418</v>
      </c>
      <c r="G558" s="1294" t="s">
        <v>3065</v>
      </c>
      <c r="H558" s="1294" t="s">
        <v>336</v>
      </c>
      <c r="I558" s="1294" t="s">
        <v>336</v>
      </c>
      <c r="J558" s="1294" t="s">
        <v>2601</v>
      </c>
      <c r="K558" s="1294" t="s">
        <v>2459</v>
      </c>
      <c r="L558" s="1294" t="s">
        <v>1376</v>
      </c>
      <c r="M558" s="1294" t="s">
        <v>765</v>
      </c>
      <c r="N558" s="1296" t="s">
        <v>116</v>
      </c>
    </row>
    <row r="559" spans="1:14" hidden="1" x14ac:dyDescent="0.3">
      <c r="A559" s="1293">
        <v>1667</v>
      </c>
      <c r="B559" s="1294" t="s">
        <v>3066</v>
      </c>
      <c r="C559" s="1294" t="s">
        <v>3032</v>
      </c>
      <c r="D559" s="1295">
        <v>43009</v>
      </c>
      <c r="E559" s="1295">
        <v>43009</v>
      </c>
      <c r="F559" s="1294" t="s">
        <v>2418</v>
      </c>
      <c r="G559" s="1294" t="s">
        <v>2419</v>
      </c>
      <c r="H559" s="1294" t="s">
        <v>336</v>
      </c>
      <c r="I559" s="1294" t="s">
        <v>336</v>
      </c>
      <c r="J559" s="1294" t="s">
        <v>2553</v>
      </c>
      <c r="K559" s="1294" t="s">
        <v>2422</v>
      </c>
      <c r="L559" s="1294" t="s">
        <v>1329</v>
      </c>
      <c r="M559" s="1294" t="s">
        <v>3025</v>
      </c>
      <c r="N559" s="1296" t="s">
        <v>115</v>
      </c>
    </row>
    <row r="560" spans="1:14" hidden="1" x14ac:dyDescent="0.3">
      <c r="A560" s="1293">
        <v>2142</v>
      </c>
      <c r="B560" s="1294" t="s">
        <v>3067</v>
      </c>
      <c r="C560" s="1294" t="s">
        <v>721</v>
      </c>
      <c r="D560" s="1295">
        <v>43843</v>
      </c>
      <c r="E560" s="1295">
        <v>43951</v>
      </c>
      <c r="F560" s="1294" t="s">
        <v>2418</v>
      </c>
      <c r="G560" s="1294" t="s">
        <v>2419</v>
      </c>
      <c r="H560" s="1294" t="s">
        <v>336</v>
      </c>
      <c r="I560" s="1294" t="s">
        <v>336</v>
      </c>
      <c r="J560" s="1294" t="s">
        <v>1333</v>
      </c>
      <c r="K560" s="1294" t="s">
        <v>2422</v>
      </c>
      <c r="L560" s="1294" t="s">
        <v>1376</v>
      </c>
      <c r="M560" s="1294" t="s">
        <v>3025</v>
      </c>
      <c r="N560" s="1296" t="s">
        <v>116</v>
      </c>
    </row>
    <row r="561" spans="1:14" hidden="1" x14ac:dyDescent="0.3">
      <c r="A561" s="1293">
        <v>3215</v>
      </c>
      <c r="B561" s="1294" t="s">
        <v>3068</v>
      </c>
      <c r="C561" s="1294" t="s">
        <v>3032</v>
      </c>
      <c r="D561" s="1295">
        <v>45145</v>
      </c>
      <c r="E561" s="1295">
        <v>45145</v>
      </c>
      <c r="F561" s="1294" t="s">
        <v>2418</v>
      </c>
      <c r="G561" s="1294" t="s">
        <v>2419</v>
      </c>
      <c r="H561" s="1294" t="s">
        <v>336</v>
      </c>
      <c r="I561" s="1294" t="s">
        <v>336</v>
      </c>
      <c r="J561" s="1294" t="s">
        <v>2553</v>
      </c>
      <c r="K561" s="1294" t="s">
        <v>2422</v>
      </c>
      <c r="L561" s="1294" t="s">
        <v>1329</v>
      </c>
      <c r="M561" s="1294" t="s">
        <v>3025</v>
      </c>
      <c r="N561" s="1296" t="s">
        <v>115</v>
      </c>
    </row>
    <row r="562" spans="1:14" hidden="1" x14ac:dyDescent="0.3">
      <c r="A562" s="1293">
        <v>2062</v>
      </c>
      <c r="B562" s="1294" t="s">
        <v>3069</v>
      </c>
      <c r="C562" s="1294" t="s">
        <v>1688</v>
      </c>
      <c r="D562" s="1295">
        <v>43654</v>
      </c>
      <c r="E562" s="1295">
        <v>43654</v>
      </c>
      <c r="F562" s="1294" t="s">
        <v>2418</v>
      </c>
      <c r="G562" s="1294" t="s">
        <v>2419</v>
      </c>
      <c r="H562" s="1294" t="s">
        <v>325</v>
      </c>
      <c r="I562" s="1294" t="s">
        <v>1172</v>
      </c>
      <c r="J562" s="1294" t="s">
        <v>2421</v>
      </c>
      <c r="K562" s="1294" t="s">
        <v>2422</v>
      </c>
      <c r="L562" s="1294" t="s">
        <v>1353</v>
      </c>
      <c r="M562" s="1294" t="s">
        <v>712</v>
      </c>
      <c r="N562" s="1296" t="s">
        <v>114</v>
      </c>
    </row>
    <row r="563" spans="1:14" hidden="1" x14ac:dyDescent="0.3">
      <c r="A563" s="1293">
        <v>1604</v>
      </c>
      <c r="B563" s="1294" t="s">
        <v>3070</v>
      </c>
      <c r="C563" s="1294" t="s">
        <v>1688</v>
      </c>
      <c r="D563" s="1295">
        <v>42905</v>
      </c>
      <c r="E563" s="1295">
        <v>42905</v>
      </c>
      <c r="F563" s="1294" t="s">
        <v>2418</v>
      </c>
      <c r="G563" s="1294" t="s">
        <v>2419</v>
      </c>
      <c r="H563" s="1294" t="s">
        <v>325</v>
      </c>
      <c r="I563" s="1294" t="s">
        <v>1172</v>
      </c>
      <c r="J563" s="1294" t="s">
        <v>2421</v>
      </c>
      <c r="K563" s="1294" t="s">
        <v>2422</v>
      </c>
      <c r="L563" s="1294" t="s">
        <v>1353</v>
      </c>
      <c r="M563" s="1294" t="s">
        <v>712</v>
      </c>
      <c r="N563" s="1296" t="s">
        <v>114</v>
      </c>
    </row>
    <row r="564" spans="1:14" hidden="1" x14ac:dyDescent="0.3">
      <c r="A564" s="1293">
        <v>2058</v>
      </c>
      <c r="B564" s="1294" t="s">
        <v>3071</v>
      </c>
      <c r="C564" s="1294" t="s">
        <v>3072</v>
      </c>
      <c r="D564" s="1295">
        <v>43654</v>
      </c>
      <c r="E564" s="1295">
        <v>43654</v>
      </c>
      <c r="F564" s="1294" t="s">
        <v>2418</v>
      </c>
      <c r="G564" s="1294" t="s">
        <v>2419</v>
      </c>
      <c r="H564" s="1294" t="s">
        <v>325</v>
      </c>
      <c r="I564" s="1294" t="s">
        <v>1172</v>
      </c>
      <c r="J564" s="1294" t="s">
        <v>2446</v>
      </c>
      <c r="K564" s="1294" t="s">
        <v>2422</v>
      </c>
      <c r="L564" s="1294" t="s">
        <v>2447</v>
      </c>
      <c r="M564" s="1294" t="s">
        <v>712</v>
      </c>
      <c r="N564" s="1296" t="s">
        <v>113</v>
      </c>
    </row>
    <row r="565" spans="1:14" hidden="1" x14ac:dyDescent="0.3">
      <c r="A565" s="1293">
        <v>2732</v>
      </c>
      <c r="B565" s="1294" t="s">
        <v>3073</v>
      </c>
      <c r="C565" s="1294" t="s">
        <v>1691</v>
      </c>
      <c r="D565" s="1295">
        <v>44545</v>
      </c>
      <c r="E565" s="1295">
        <v>44545</v>
      </c>
      <c r="F565" s="1294" t="s">
        <v>2418</v>
      </c>
      <c r="G565" s="1294" t="s">
        <v>2419</v>
      </c>
      <c r="H565" s="1294" t="s">
        <v>325</v>
      </c>
      <c r="I565" s="1294" t="s">
        <v>1174</v>
      </c>
      <c r="J565" s="1294" t="s">
        <v>2421</v>
      </c>
      <c r="K565" s="1294" t="s">
        <v>2422</v>
      </c>
      <c r="L565" s="1294" t="s">
        <v>1353</v>
      </c>
      <c r="M565" s="1294" t="s">
        <v>714</v>
      </c>
      <c r="N565" s="1296" t="s">
        <v>114</v>
      </c>
    </row>
    <row r="566" spans="1:14" hidden="1" x14ac:dyDescent="0.3">
      <c r="A566" s="1293">
        <v>8404</v>
      </c>
      <c r="B566" s="1294" t="s">
        <v>3074</v>
      </c>
      <c r="C566" s="1294" t="s">
        <v>1688</v>
      </c>
      <c r="D566" s="1295">
        <v>44473</v>
      </c>
      <c r="E566" s="1295">
        <v>44473</v>
      </c>
      <c r="F566" s="1294" t="s">
        <v>2418</v>
      </c>
      <c r="G566" s="1294" t="s">
        <v>3075</v>
      </c>
      <c r="H566" s="1294" t="s">
        <v>325</v>
      </c>
      <c r="I566" s="1294" t="s">
        <v>1172</v>
      </c>
      <c r="J566" s="1294" t="s">
        <v>2427</v>
      </c>
      <c r="K566" s="1294" t="s">
        <v>2459</v>
      </c>
      <c r="L566" s="1294" t="s">
        <v>1350</v>
      </c>
      <c r="M566" s="1294" t="s">
        <v>3076</v>
      </c>
      <c r="N566" s="1296" t="s">
        <v>114</v>
      </c>
    </row>
    <row r="567" spans="1:14" hidden="1" x14ac:dyDescent="0.3">
      <c r="A567" s="1293">
        <v>2691</v>
      </c>
      <c r="B567" s="1294" t="s">
        <v>3077</v>
      </c>
      <c r="C567" s="1294" t="s">
        <v>3072</v>
      </c>
      <c r="D567" s="1295">
        <v>44515</v>
      </c>
      <c r="E567" s="1295">
        <v>44515</v>
      </c>
      <c r="F567" s="1294" t="s">
        <v>2418</v>
      </c>
      <c r="G567" s="1294" t="s">
        <v>2522</v>
      </c>
      <c r="H567" s="1294" t="s">
        <v>325</v>
      </c>
      <c r="I567" s="1294" t="s">
        <v>1172</v>
      </c>
      <c r="J567" s="1294" t="s">
        <v>2446</v>
      </c>
      <c r="K567" s="1294" t="s">
        <v>2422</v>
      </c>
      <c r="L567" s="1294" t="s">
        <v>2447</v>
      </c>
      <c r="M567" s="1294" t="s">
        <v>712</v>
      </c>
      <c r="N567" s="1296" t="s">
        <v>113</v>
      </c>
    </row>
    <row r="568" spans="1:14" hidden="1" x14ac:dyDescent="0.3">
      <c r="A568" s="1293">
        <v>8359</v>
      </c>
      <c r="B568" s="1294" t="s">
        <v>3078</v>
      </c>
      <c r="C568" s="1294" t="s">
        <v>1688</v>
      </c>
      <c r="D568" s="1295">
        <v>44228</v>
      </c>
      <c r="E568" s="1295">
        <v>44228</v>
      </c>
      <c r="F568" s="1294" t="s">
        <v>2418</v>
      </c>
      <c r="G568" s="1294" t="s">
        <v>2872</v>
      </c>
      <c r="H568" s="1294" t="s">
        <v>325</v>
      </c>
      <c r="I568" s="1294" t="s">
        <v>1172</v>
      </c>
      <c r="J568" s="1294" t="s">
        <v>1396</v>
      </c>
      <c r="K568" s="1294" t="s">
        <v>2459</v>
      </c>
      <c r="L568" s="1294" t="s">
        <v>1332</v>
      </c>
      <c r="M568" s="1294" t="s">
        <v>3076</v>
      </c>
      <c r="N568" s="1296" t="s">
        <v>115</v>
      </c>
    </row>
    <row r="569" spans="1:14" hidden="1" x14ac:dyDescent="0.3">
      <c r="A569" s="1293">
        <v>2664</v>
      </c>
      <c r="B569" s="1294" t="s">
        <v>3079</v>
      </c>
      <c r="C569" s="1294" t="s">
        <v>3072</v>
      </c>
      <c r="D569" s="1295">
        <v>44494</v>
      </c>
      <c r="E569" s="1295">
        <v>44494</v>
      </c>
      <c r="F569" s="1294" t="s">
        <v>2418</v>
      </c>
      <c r="G569" s="1294" t="s">
        <v>2434</v>
      </c>
      <c r="H569" s="1294" t="s">
        <v>325</v>
      </c>
      <c r="I569" s="1294" t="s">
        <v>1172</v>
      </c>
      <c r="J569" s="1294" t="s">
        <v>2446</v>
      </c>
      <c r="K569" s="1294" t="s">
        <v>2422</v>
      </c>
      <c r="L569" s="1294" t="s">
        <v>2447</v>
      </c>
      <c r="M569" s="1294" t="s">
        <v>712</v>
      </c>
      <c r="N569" s="1296" t="s">
        <v>113</v>
      </c>
    </row>
    <row r="570" spans="1:14" hidden="1" x14ac:dyDescent="0.3">
      <c r="A570" s="1293">
        <v>2702</v>
      </c>
      <c r="B570" s="1294" t="s">
        <v>3080</v>
      </c>
      <c r="C570" s="1294" t="s">
        <v>3072</v>
      </c>
      <c r="D570" s="1295">
        <v>44517</v>
      </c>
      <c r="E570" s="1295">
        <v>44517</v>
      </c>
      <c r="F570" s="1294" t="s">
        <v>2418</v>
      </c>
      <c r="G570" s="1294" t="s">
        <v>2508</v>
      </c>
      <c r="H570" s="1294" t="s">
        <v>325</v>
      </c>
      <c r="I570" s="1294" t="s">
        <v>1172</v>
      </c>
      <c r="J570" s="1294" t="s">
        <v>2446</v>
      </c>
      <c r="K570" s="1294" t="s">
        <v>2422</v>
      </c>
      <c r="L570" s="1294" t="s">
        <v>2447</v>
      </c>
      <c r="M570" s="1294" t="s">
        <v>712</v>
      </c>
      <c r="N570" s="1296" t="s">
        <v>113</v>
      </c>
    </row>
    <row r="571" spans="1:14" hidden="1" x14ac:dyDescent="0.3">
      <c r="A571" s="1293">
        <v>2121</v>
      </c>
      <c r="B571" s="1294" t="s">
        <v>3081</v>
      </c>
      <c r="C571" s="1294" t="s">
        <v>1691</v>
      </c>
      <c r="D571" s="1295">
        <v>43790</v>
      </c>
      <c r="E571" s="1295">
        <v>43790</v>
      </c>
      <c r="F571" s="1294" t="s">
        <v>2418</v>
      </c>
      <c r="G571" s="1294" t="s">
        <v>2419</v>
      </c>
      <c r="H571" s="1294" t="s">
        <v>325</v>
      </c>
      <c r="I571" s="1294" t="s">
        <v>1174</v>
      </c>
      <c r="J571" s="1294" t="s">
        <v>2421</v>
      </c>
      <c r="K571" s="1294" t="s">
        <v>2422</v>
      </c>
      <c r="L571" s="1294" t="s">
        <v>1353</v>
      </c>
      <c r="M571" s="1294" t="s">
        <v>714</v>
      </c>
      <c r="N571" s="1296" t="s">
        <v>114</v>
      </c>
    </row>
    <row r="572" spans="1:14" hidden="1" x14ac:dyDescent="0.3">
      <c r="A572" s="1293">
        <v>2105</v>
      </c>
      <c r="B572" s="1294" t="s">
        <v>3082</v>
      </c>
      <c r="C572" s="1294" t="s">
        <v>3083</v>
      </c>
      <c r="D572" s="1295">
        <v>43752</v>
      </c>
      <c r="E572" s="1295">
        <v>43752</v>
      </c>
      <c r="F572" s="1294" t="s">
        <v>2418</v>
      </c>
      <c r="G572" s="1294" t="s">
        <v>2419</v>
      </c>
      <c r="H572" s="1294" t="s">
        <v>325</v>
      </c>
      <c r="I572" s="1294" t="s">
        <v>1172</v>
      </c>
      <c r="J572" s="1294" t="s">
        <v>2431</v>
      </c>
      <c r="K572" s="1294" t="s">
        <v>2422</v>
      </c>
      <c r="L572" s="1294" t="s">
        <v>2432</v>
      </c>
      <c r="M572" s="1294" t="s">
        <v>712</v>
      </c>
      <c r="N572" s="1296" t="s">
        <v>113</v>
      </c>
    </row>
    <row r="573" spans="1:14" hidden="1" x14ac:dyDescent="0.3">
      <c r="A573" s="1293">
        <v>2078</v>
      </c>
      <c r="B573" s="1294" t="s">
        <v>3084</v>
      </c>
      <c r="C573" s="1294" t="s">
        <v>3083</v>
      </c>
      <c r="D573" s="1295">
        <v>43682</v>
      </c>
      <c r="E573" s="1295">
        <v>43682</v>
      </c>
      <c r="F573" s="1294" t="s">
        <v>2418</v>
      </c>
      <c r="G573" s="1294" t="s">
        <v>2419</v>
      </c>
      <c r="H573" s="1294" t="s">
        <v>325</v>
      </c>
      <c r="I573" s="1294" t="s">
        <v>1172</v>
      </c>
      <c r="J573" s="1294" t="s">
        <v>2431</v>
      </c>
      <c r="K573" s="1294" t="s">
        <v>2422</v>
      </c>
      <c r="L573" s="1294" t="s">
        <v>2432</v>
      </c>
      <c r="M573" s="1294" t="s">
        <v>712</v>
      </c>
      <c r="N573" s="1296" t="s">
        <v>113</v>
      </c>
    </row>
    <row r="574" spans="1:14" hidden="1" x14ac:dyDescent="0.3">
      <c r="A574" s="1293">
        <v>1472</v>
      </c>
      <c r="B574" s="1294" t="s">
        <v>3085</v>
      </c>
      <c r="C574" s="1294" t="s">
        <v>1691</v>
      </c>
      <c r="D574" s="1295">
        <v>42431</v>
      </c>
      <c r="E574" s="1295">
        <v>42431</v>
      </c>
      <c r="F574" s="1294" t="s">
        <v>2418</v>
      </c>
      <c r="G574" s="1294" t="s">
        <v>2419</v>
      </c>
      <c r="H574" s="1294" t="s">
        <v>325</v>
      </c>
      <c r="I574" s="1294" t="s">
        <v>1174</v>
      </c>
      <c r="J574" s="1294" t="s">
        <v>2421</v>
      </c>
      <c r="K574" s="1294" t="s">
        <v>2422</v>
      </c>
      <c r="L574" s="1294" t="s">
        <v>1353</v>
      </c>
      <c r="M574" s="1294" t="s">
        <v>714</v>
      </c>
      <c r="N574" s="1296" t="s">
        <v>114</v>
      </c>
    </row>
    <row r="575" spans="1:14" hidden="1" x14ac:dyDescent="0.3">
      <c r="A575" s="1293">
        <v>9315</v>
      </c>
      <c r="B575" s="1294" t="s">
        <v>3086</v>
      </c>
      <c r="C575" s="1294" t="s">
        <v>3083</v>
      </c>
      <c r="D575" s="1295">
        <v>44564</v>
      </c>
      <c r="E575" s="1295">
        <v>44564</v>
      </c>
      <c r="F575" s="1294" t="s">
        <v>2418</v>
      </c>
      <c r="G575" s="1294" t="s">
        <v>3075</v>
      </c>
      <c r="H575" s="1294" t="s">
        <v>325</v>
      </c>
      <c r="I575" s="1294" t="s">
        <v>1172</v>
      </c>
      <c r="J575" s="1294" t="s">
        <v>2431</v>
      </c>
      <c r="K575" s="1294" t="s">
        <v>2459</v>
      </c>
      <c r="L575" s="1294" t="s">
        <v>2432</v>
      </c>
      <c r="M575" s="1294" t="s">
        <v>3076</v>
      </c>
      <c r="N575" s="1296" t="s">
        <v>113</v>
      </c>
    </row>
    <row r="576" spans="1:14" hidden="1" x14ac:dyDescent="0.3">
      <c r="A576" s="1293">
        <v>3008</v>
      </c>
      <c r="B576" s="1294" t="s">
        <v>3087</v>
      </c>
      <c r="C576" s="1294" t="s">
        <v>756</v>
      </c>
      <c r="D576" s="1295">
        <v>44810</v>
      </c>
      <c r="E576" s="1295">
        <v>44810</v>
      </c>
      <c r="F576" s="1294" t="s">
        <v>2418</v>
      </c>
      <c r="G576" s="1294" t="s">
        <v>2947</v>
      </c>
      <c r="H576" s="1294" t="s">
        <v>325</v>
      </c>
      <c r="I576" s="1294" t="s">
        <v>1174</v>
      </c>
      <c r="J576" s="1294" t="s">
        <v>1333</v>
      </c>
      <c r="K576" s="1294" t="s">
        <v>2459</v>
      </c>
      <c r="L576" s="1294" t="s">
        <v>1376</v>
      </c>
      <c r="M576" s="1294" t="s">
        <v>747</v>
      </c>
      <c r="N576" s="1296" t="s">
        <v>116</v>
      </c>
    </row>
    <row r="577" spans="1:14" hidden="1" x14ac:dyDescent="0.3">
      <c r="A577" s="1293">
        <v>2673</v>
      </c>
      <c r="B577" s="1294" t="s">
        <v>3088</v>
      </c>
      <c r="C577" s="1294" t="s">
        <v>3089</v>
      </c>
      <c r="D577" s="1295">
        <v>44501</v>
      </c>
      <c r="E577" s="1295">
        <v>44501</v>
      </c>
      <c r="F577" s="1294" t="s">
        <v>2418</v>
      </c>
      <c r="G577" s="1294" t="s">
        <v>2419</v>
      </c>
      <c r="H577" s="1294" t="s">
        <v>325</v>
      </c>
      <c r="I577" s="1294" t="s">
        <v>1172</v>
      </c>
      <c r="J577" s="1294" t="s">
        <v>2449</v>
      </c>
      <c r="K577" s="1294" t="s">
        <v>2422</v>
      </c>
      <c r="L577" s="1294" t="s">
        <v>2450</v>
      </c>
      <c r="M577" s="1294" t="s">
        <v>712</v>
      </c>
      <c r="N577" s="1296" t="s">
        <v>2452</v>
      </c>
    </row>
    <row r="578" spans="1:14" hidden="1" x14ac:dyDescent="0.3">
      <c r="A578" s="1293">
        <v>2026</v>
      </c>
      <c r="B578" s="1294" t="s">
        <v>3090</v>
      </c>
      <c r="C578" s="1294" t="s">
        <v>1688</v>
      </c>
      <c r="D578" s="1295">
        <v>43626</v>
      </c>
      <c r="E578" s="1295">
        <v>43626</v>
      </c>
      <c r="F578" s="1294" t="s">
        <v>2418</v>
      </c>
      <c r="G578" s="1294" t="s">
        <v>2434</v>
      </c>
      <c r="H578" s="1294" t="s">
        <v>325</v>
      </c>
      <c r="I578" s="1294" t="s">
        <v>1172</v>
      </c>
      <c r="J578" s="1294" t="s">
        <v>2421</v>
      </c>
      <c r="K578" s="1294" t="s">
        <v>2422</v>
      </c>
      <c r="L578" s="1294" t="s">
        <v>1353</v>
      </c>
      <c r="M578" s="1294" t="s">
        <v>712</v>
      </c>
      <c r="N578" s="1296" t="s">
        <v>114</v>
      </c>
    </row>
    <row r="579" spans="1:14" hidden="1" x14ac:dyDescent="0.3">
      <c r="A579" s="1293">
        <v>2672</v>
      </c>
      <c r="B579" s="1294" t="s">
        <v>3091</v>
      </c>
      <c r="C579" s="1294" t="s">
        <v>3072</v>
      </c>
      <c r="D579" s="1295">
        <v>44501</v>
      </c>
      <c r="E579" s="1295">
        <v>44501</v>
      </c>
      <c r="F579" s="1294" t="s">
        <v>2418</v>
      </c>
      <c r="G579" s="1294" t="s">
        <v>2419</v>
      </c>
      <c r="H579" s="1294" t="s">
        <v>325</v>
      </c>
      <c r="I579" s="1294" t="s">
        <v>1172</v>
      </c>
      <c r="J579" s="1294" t="s">
        <v>2446</v>
      </c>
      <c r="K579" s="1294" t="s">
        <v>2422</v>
      </c>
      <c r="L579" s="1294" t="s">
        <v>2447</v>
      </c>
      <c r="M579" s="1294" t="s">
        <v>712</v>
      </c>
      <c r="N579" s="1296" t="s">
        <v>113</v>
      </c>
    </row>
    <row r="580" spans="1:14" hidden="1" x14ac:dyDescent="0.3">
      <c r="A580" s="1293">
        <v>2678</v>
      </c>
      <c r="B580" s="1294" t="s">
        <v>3092</v>
      </c>
      <c r="C580" s="1294" t="s">
        <v>1688</v>
      </c>
      <c r="D580" s="1295">
        <v>44508</v>
      </c>
      <c r="E580" s="1295">
        <v>44508</v>
      </c>
      <c r="F580" s="1294" t="s">
        <v>2418</v>
      </c>
      <c r="G580" s="1294" t="s">
        <v>2419</v>
      </c>
      <c r="H580" s="1294" t="s">
        <v>325</v>
      </c>
      <c r="I580" s="1294" t="s">
        <v>1172</v>
      </c>
      <c r="J580" s="1294" t="s">
        <v>2421</v>
      </c>
      <c r="K580" s="1294" t="s">
        <v>2422</v>
      </c>
      <c r="L580" s="1294" t="s">
        <v>1353</v>
      </c>
      <c r="M580" s="1294" t="s">
        <v>712</v>
      </c>
      <c r="N580" s="1296" t="s">
        <v>114</v>
      </c>
    </row>
    <row r="581" spans="1:14" hidden="1" x14ac:dyDescent="0.3">
      <c r="A581" s="1293">
        <v>2694</v>
      </c>
      <c r="B581" s="1294" t="s">
        <v>3093</v>
      </c>
      <c r="C581" s="1294" t="s">
        <v>3072</v>
      </c>
      <c r="D581" s="1295">
        <v>44515</v>
      </c>
      <c r="E581" s="1295">
        <v>44515</v>
      </c>
      <c r="F581" s="1294" t="s">
        <v>2418</v>
      </c>
      <c r="G581" s="1294" t="s">
        <v>2522</v>
      </c>
      <c r="H581" s="1294" t="s">
        <v>325</v>
      </c>
      <c r="I581" s="1294" t="s">
        <v>1172</v>
      </c>
      <c r="J581" s="1294" t="s">
        <v>2446</v>
      </c>
      <c r="K581" s="1294" t="s">
        <v>2422</v>
      </c>
      <c r="L581" s="1294" t="s">
        <v>2447</v>
      </c>
      <c r="M581" s="1294" t="s">
        <v>712</v>
      </c>
      <c r="N581" s="1296" t="s">
        <v>113</v>
      </c>
    </row>
    <row r="582" spans="1:14" hidden="1" x14ac:dyDescent="0.3">
      <c r="A582" s="1293">
        <v>2101</v>
      </c>
      <c r="B582" s="1294" t="s">
        <v>3094</v>
      </c>
      <c r="C582" s="1294" t="s">
        <v>1691</v>
      </c>
      <c r="D582" s="1295">
        <v>43752</v>
      </c>
      <c r="E582" s="1295">
        <v>43752</v>
      </c>
      <c r="F582" s="1294" t="s">
        <v>2418</v>
      </c>
      <c r="G582" s="1294" t="s">
        <v>2419</v>
      </c>
      <c r="H582" s="1294" t="s">
        <v>325</v>
      </c>
      <c r="I582" s="1294" t="s">
        <v>1174</v>
      </c>
      <c r="J582" s="1294" t="s">
        <v>2421</v>
      </c>
      <c r="K582" s="1294" t="s">
        <v>2422</v>
      </c>
      <c r="L582" s="1294" t="s">
        <v>1353</v>
      </c>
      <c r="M582" s="1294" t="s">
        <v>714</v>
      </c>
      <c r="N582" s="1296" t="s">
        <v>114</v>
      </c>
    </row>
    <row r="583" spans="1:14" hidden="1" x14ac:dyDescent="0.3">
      <c r="A583" s="1293">
        <v>2526</v>
      </c>
      <c r="B583" s="1294" t="s">
        <v>3095</v>
      </c>
      <c r="C583" s="1294" t="s">
        <v>1688</v>
      </c>
      <c r="D583" s="1295">
        <v>44410</v>
      </c>
      <c r="E583" s="1295">
        <v>44410</v>
      </c>
      <c r="F583" s="1294" t="s">
        <v>2418</v>
      </c>
      <c r="G583" s="1294" t="s">
        <v>2434</v>
      </c>
      <c r="H583" s="1294" t="s">
        <v>325</v>
      </c>
      <c r="I583" s="1294" t="s">
        <v>1172</v>
      </c>
      <c r="J583" s="1294" t="s">
        <v>2421</v>
      </c>
      <c r="K583" s="1294" t="s">
        <v>2422</v>
      </c>
      <c r="L583" s="1294" t="s">
        <v>1353</v>
      </c>
      <c r="M583" s="1294" t="s">
        <v>712</v>
      </c>
      <c r="N583" s="1296" t="s">
        <v>114</v>
      </c>
    </row>
    <row r="584" spans="1:14" hidden="1" x14ac:dyDescent="0.3">
      <c r="A584" s="1293">
        <v>2536</v>
      </c>
      <c r="B584" s="1294" t="s">
        <v>3096</v>
      </c>
      <c r="C584" s="1294" t="s">
        <v>3083</v>
      </c>
      <c r="D584" s="1295">
        <v>44417</v>
      </c>
      <c r="E584" s="1295">
        <v>44417</v>
      </c>
      <c r="F584" s="1294" t="s">
        <v>2418</v>
      </c>
      <c r="G584" s="1294" t="s">
        <v>2434</v>
      </c>
      <c r="H584" s="1294" t="s">
        <v>325</v>
      </c>
      <c r="I584" s="1294" t="s">
        <v>1172</v>
      </c>
      <c r="J584" s="1294" t="s">
        <v>2431</v>
      </c>
      <c r="K584" s="1294" t="s">
        <v>2422</v>
      </c>
      <c r="L584" s="1294" t="s">
        <v>2432</v>
      </c>
      <c r="M584" s="1294" t="s">
        <v>712</v>
      </c>
      <c r="N584" s="1296" t="s">
        <v>113</v>
      </c>
    </row>
    <row r="585" spans="1:14" hidden="1" x14ac:dyDescent="0.3">
      <c r="A585" s="1293">
        <v>2641</v>
      </c>
      <c r="B585" s="1294" t="s">
        <v>3097</v>
      </c>
      <c r="C585" s="1294" t="s">
        <v>3072</v>
      </c>
      <c r="D585" s="1295">
        <v>44466</v>
      </c>
      <c r="E585" s="1295">
        <v>44466</v>
      </c>
      <c r="F585" s="1294" t="s">
        <v>2418</v>
      </c>
      <c r="G585" s="1294" t="s">
        <v>2434</v>
      </c>
      <c r="H585" s="1294" t="s">
        <v>325</v>
      </c>
      <c r="I585" s="1294" t="s">
        <v>1172</v>
      </c>
      <c r="J585" s="1294" t="s">
        <v>2446</v>
      </c>
      <c r="K585" s="1294" t="s">
        <v>2422</v>
      </c>
      <c r="L585" s="1294" t="s">
        <v>2447</v>
      </c>
      <c r="M585" s="1294" t="s">
        <v>712</v>
      </c>
      <c r="N585" s="1296" t="s">
        <v>113</v>
      </c>
    </row>
    <row r="586" spans="1:14" hidden="1" x14ac:dyDescent="0.3">
      <c r="A586" s="1293">
        <v>2698</v>
      </c>
      <c r="B586" s="1294" t="s">
        <v>3098</v>
      </c>
      <c r="C586" s="1294" t="s">
        <v>3089</v>
      </c>
      <c r="D586" s="1295">
        <v>44517</v>
      </c>
      <c r="E586" s="1295">
        <v>44517</v>
      </c>
      <c r="F586" s="1294" t="s">
        <v>2418</v>
      </c>
      <c r="G586" s="1294" t="s">
        <v>2419</v>
      </c>
      <c r="H586" s="1294" t="s">
        <v>325</v>
      </c>
      <c r="I586" s="1294" t="s">
        <v>1172</v>
      </c>
      <c r="J586" s="1294" t="s">
        <v>2449</v>
      </c>
      <c r="K586" s="1294" t="s">
        <v>2422</v>
      </c>
      <c r="L586" s="1294" t="s">
        <v>2450</v>
      </c>
      <c r="M586" s="1294" t="s">
        <v>712</v>
      </c>
      <c r="N586" s="1296" t="s">
        <v>2452</v>
      </c>
    </row>
    <row r="587" spans="1:14" hidden="1" x14ac:dyDescent="0.3">
      <c r="A587" s="1293">
        <v>8360</v>
      </c>
      <c r="B587" s="1294" t="s">
        <v>3099</v>
      </c>
      <c r="C587" s="1294" t="s">
        <v>1688</v>
      </c>
      <c r="D587" s="1295">
        <v>44228</v>
      </c>
      <c r="E587" s="1295">
        <v>44228</v>
      </c>
      <c r="F587" s="1294" t="s">
        <v>2418</v>
      </c>
      <c r="G587" s="1294" t="s">
        <v>3100</v>
      </c>
      <c r="H587" s="1294" t="s">
        <v>325</v>
      </c>
      <c r="I587" s="1294" t="s">
        <v>1172</v>
      </c>
      <c r="J587" s="1294" t="s">
        <v>1396</v>
      </c>
      <c r="K587" s="1294" t="s">
        <v>2459</v>
      </c>
      <c r="L587" s="1294" t="s">
        <v>1332</v>
      </c>
      <c r="M587" s="1294" t="s">
        <v>3076</v>
      </c>
      <c r="N587" s="1296" t="s">
        <v>115</v>
      </c>
    </row>
    <row r="588" spans="1:14" hidden="1" x14ac:dyDescent="0.3">
      <c r="A588" s="1293">
        <v>2913</v>
      </c>
      <c r="B588" s="1294" t="s">
        <v>3101</v>
      </c>
      <c r="C588" s="1294" t="s">
        <v>3102</v>
      </c>
      <c r="D588" s="1295">
        <v>44706</v>
      </c>
      <c r="E588" s="1295">
        <v>44706</v>
      </c>
      <c r="F588" s="1294" t="s">
        <v>2418</v>
      </c>
      <c r="G588" s="1294" t="s">
        <v>2419</v>
      </c>
      <c r="H588" s="1294" t="s">
        <v>325</v>
      </c>
      <c r="I588" s="1294" t="s">
        <v>1174</v>
      </c>
      <c r="J588" s="1294" t="s">
        <v>2446</v>
      </c>
      <c r="K588" s="1294" t="s">
        <v>2422</v>
      </c>
      <c r="L588" s="1294" t="s">
        <v>2447</v>
      </c>
      <c r="M588" s="1294" t="s">
        <v>714</v>
      </c>
      <c r="N588" s="1296" t="s">
        <v>113</v>
      </c>
    </row>
    <row r="589" spans="1:14" hidden="1" x14ac:dyDescent="0.3">
      <c r="A589" s="1293">
        <v>3202</v>
      </c>
      <c r="B589" s="1294" t="s">
        <v>3103</v>
      </c>
      <c r="C589" s="1294" t="s">
        <v>1692</v>
      </c>
      <c r="D589" s="1295">
        <v>45103</v>
      </c>
      <c r="E589" s="1295">
        <v>45103</v>
      </c>
      <c r="F589" s="1294" t="s">
        <v>2418</v>
      </c>
      <c r="G589" s="1294" t="s">
        <v>2419</v>
      </c>
      <c r="H589" s="1294" t="s">
        <v>325</v>
      </c>
      <c r="I589" s="1294" t="s">
        <v>1174</v>
      </c>
      <c r="J589" s="1294" t="s">
        <v>1396</v>
      </c>
      <c r="K589" s="1294" t="s">
        <v>2422</v>
      </c>
      <c r="L589" s="1294" t="s">
        <v>1332</v>
      </c>
      <c r="M589" s="1294" t="s">
        <v>714</v>
      </c>
      <c r="N589" s="1296" t="s">
        <v>115</v>
      </c>
    </row>
    <row r="590" spans="1:14" hidden="1" x14ac:dyDescent="0.3">
      <c r="A590" s="1293">
        <v>1527</v>
      </c>
      <c r="B590" s="1294" t="s">
        <v>3104</v>
      </c>
      <c r="C590" s="1294" t="s">
        <v>3083</v>
      </c>
      <c r="D590" s="1295">
        <v>42598</v>
      </c>
      <c r="E590" s="1295">
        <v>42598</v>
      </c>
      <c r="F590" s="1294" t="s">
        <v>2418</v>
      </c>
      <c r="G590" s="1294" t="s">
        <v>2419</v>
      </c>
      <c r="H590" s="1294" t="s">
        <v>325</v>
      </c>
      <c r="I590" s="1294" t="s">
        <v>1172</v>
      </c>
      <c r="J590" s="1294" t="s">
        <v>2431</v>
      </c>
      <c r="K590" s="1294" t="s">
        <v>2422</v>
      </c>
      <c r="L590" s="1294" t="s">
        <v>2432</v>
      </c>
      <c r="M590" s="1294" t="s">
        <v>712</v>
      </c>
      <c r="N590" s="1296" t="s">
        <v>113</v>
      </c>
    </row>
    <row r="591" spans="1:14" hidden="1" x14ac:dyDescent="0.3">
      <c r="A591" s="1293">
        <v>3222</v>
      </c>
      <c r="B591" s="1294" t="s">
        <v>3105</v>
      </c>
      <c r="C591" s="1294" t="s">
        <v>1711</v>
      </c>
      <c r="D591" s="1295">
        <v>45166</v>
      </c>
      <c r="E591" s="1295">
        <v>45166</v>
      </c>
      <c r="F591" s="1294" t="s">
        <v>2418</v>
      </c>
      <c r="G591" s="1294" t="s">
        <v>2419</v>
      </c>
      <c r="H591" s="1294" t="s">
        <v>288</v>
      </c>
      <c r="I591" s="1294" t="s">
        <v>1226</v>
      </c>
      <c r="J591" s="1294" t="s">
        <v>1396</v>
      </c>
      <c r="K591" s="1294" t="s">
        <v>2422</v>
      </c>
      <c r="L591" s="1294" t="s">
        <v>1332</v>
      </c>
      <c r="M591" s="1294" t="s">
        <v>716</v>
      </c>
      <c r="N591" s="1296" t="s">
        <v>115</v>
      </c>
    </row>
    <row r="592" spans="1:14" hidden="1" x14ac:dyDescent="0.3">
      <c r="A592" s="1293">
        <v>2978</v>
      </c>
      <c r="B592" s="1294" t="s">
        <v>3106</v>
      </c>
      <c r="C592" s="1294" t="s">
        <v>2451</v>
      </c>
      <c r="D592" s="1295">
        <v>44791</v>
      </c>
      <c r="E592" s="1295">
        <v>44791</v>
      </c>
      <c r="F592" s="1294" t="s">
        <v>2418</v>
      </c>
      <c r="G592" s="1294" t="s">
        <v>2419</v>
      </c>
      <c r="H592" s="1294" t="s">
        <v>288</v>
      </c>
      <c r="I592" s="1294" t="s">
        <v>1229</v>
      </c>
      <c r="J592" s="1294" t="s">
        <v>2449</v>
      </c>
      <c r="K592" s="1294" t="s">
        <v>2422</v>
      </c>
      <c r="L592" s="1294" t="s">
        <v>2450</v>
      </c>
      <c r="M592" s="1294" t="s">
        <v>711</v>
      </c>
      <c r="N592" s="1296" t="s">
        <v>2452</v>
      </c>
    </row>
    <row r="593" spans="1:14" hidden="1" x14ac:dyDescent="0.3">
      <c r="A593" s="1293">
        <v>2495</v>
      </c>
      <c r="B593" s="1294" t="s">
        <v>3107</v>
      </c>
      <c r="C593" s="1294" t="s">
        <v>1680</v>
      </c>
      <c r="D593" s="1295">
        <v>44375</v>
      </c>
      <c r="E593" s="1295">
        <v>44375</v>
      </c>
      <c r="F593" s="1294" t="s">
        <v>2418</v>
      </c>
      <c r="G593" s="1294" t="s">
        <v>2419</v>
      </c>
      <c r="H593" s="1294" t="s">
        <v>288</v>
      </c>
      <c r="I593" s="1294" t="s">
        <v>1230</v>
      </c>
      <c r="J593" s="1294" t="s">
        <v>2431</v>
      </c>
      <c r="K593" s="1294" t="s">
        <v>2422</v>
      </c>
      <c r="L593" s="1294" t="s">
        <v>2432</v>
      </c>
      <c r="M593" s="1294" t="s">
        <v>711</v>
      </c>
      <c r="N593" s="1296" t="s">
        <v>113</v>
      </c>
    </row>
    <row r="594" spans="1:14" hidden="1" x14ac:dyDescent="0.3">
      <c r="A594" s="1293">
        <v>3239</v>
      </c>
      <c r="B594" s="1294" t="s">
        <v>3108</v>
      </c>
      <c r="C594" s="1294" t="s">
        <v>1681</v>
      </c>
      <c r="D594" s="1295">
        <v>45196</v>
      </c>
      <c r="E594" s="1295">
        <v>45196</v>
      </c>
      <c r="F594" s="1294" t="s">
        <v>2418</v>
      </c>
      <c r="G594" s="1294" t="s">
        <v>2419</v>
      </c>
      <c r="H594" s="1294" t="s">
        <v>288</v>
      </c>
      <c r="I594" s="1294" t="s">
        <v>1230</v>
      </c>
      <c r="J594" s="1294" t="s">
        <v>2421</v>
      </c>
      <c r="K594" s="1294" t="s">
        <v>2422</v>
      </c>
      <c r="L594" s="1294" t="s">
        <v>1353</v>
      </c>
      <c r="M594" s="1294" t="s">
        <v>711</v>
      </c>
      <c r="N594" s="1296" t="s">
        <v>114</v>
      </c>
    </row>
    <row r="595" spans="1:14" hidden="1" x14ac:dyDescent="0.3">
      <c r="A595" s="1293">
        <v>1761</v>
      </c>
      <c r="B595" s="1294" t="s">
        <v>3109</v>
      </c>
      <c r="C595" s="1294" t="s">
        <v>1683</v>
      </c>
      <c r="D595" s="1295">
        <v>43206</v>
      </c>
      <c r="E595" s="1295">
        <v>43206</v>
      </c>
      <c r="F595" s="1294" t="s">
        <v>2418</v>
      </c>
      <c r="G595" s="1294" t="s">
        <v>2434</v>
      </c>
      <c r="H595" s="1294" t="s">
        <v>288</v>
      </c>
      <c r="I595" s="1294" t="s">
        <v>1229</v>
      </c>
      <c r="J595" s="1294" t="s">
        <v>1354</v>
      </c>
      <c r="K595" s="1294" t="s">
        <v>2422</v>
      </c>
      <c r="L595" s="1294" t="s">
        <v>1332</v>
      </c>
      <c r="M595" s="1294" t="s">
        <v>711</v>
      </c>
      <c r="N595" s="1296" t="s">
        <v>115</v>
      </c>
    </row>
    <row r="596" spans="1:14" hidden="1" x14ac:dyDescent="0.3">
      <c r="A596" s="1293">
        <v>8399</v>
      </c>
      <c r="B596" s="1294" t="s">
        <v>3110</v>
      </c>
      <c r="C596" s="1294" t="s">
        <v>536</v>
      </c>
      <c r="D596" s="1295">
        <v>44440</v>
      </c>
      <c r="E596" s="1295">
        <v>44440</v>
      </c>
      <c r="F596" s="1294" t="s">
        <v>2418</v>
      </c>
      <c r="G596" s="1294" t="s">
        <v>2538</v>
      </c>
      <c r="H596" s="1294" t="s">
        <v>288</v>
      </c>
      <c r="I596" s="1294" t="s">
        <v>1230</v>
      </c>
      <c r="J596" s="1294" t="s">
        <v>2421</v>
      </c>
      <c r="K596" s="1294" t="s">
        <v>330</v>
      </c>
      <c r="L596" s="1294" t="s">
        <v>1353</v>
      </c>
      <c r="M596" s="1294" t="s">
        <v>765</v>
      </c>
      <c r="N596" s="1296" t="s">
        <v>114</v>
      </c>
    </row>
    <row r="597" spans="1:14" hidden="1" x14ac:dyDescent="0.3">
      <c r="A597" s="1293">
        <v>1812</v>
      </c>
      <c r="B597" s="1294" t="s">
        <v>3111</v>
      </c>
      <c r="C597" s="1294" t="s">
        <v>721</v>
      </c>
      <c r="D597" s="1295">
        <v>43318</v>
      </c>
      <c r="E597" s="1295">
        <v>43318</v>
      </c>
      <c r="F597" s="1294" t="s">
        <v>2418</v>
      </c>
      <c r="G597" s="1294" t="s">
        <v>2419</v>
      </c>
      <c r="H597" s="1294" t="s">
        <v>288</v>
      </c>
      <c r="I597" s="1294" t="s">
        <v>1229</v>
      </c>
      <c r="J597" s="1294" t="s">
        <v>1333</v>
      </c>
      <c r="K597" s="1294" t="s">
        <v>2422</v>
      </c>
      <c r="L597" s="1294" t="s">
        <v>1376</v>
      </c>
      <c r="M597" s="1294" t="s">
        <v>711</v>
      </c>
      <c r="N597" s="1296" t="s">
        <v>116</v>
      </c>
    </row>
    <row r="598" spans="1:14" hidden="1" x14ac:dyDescent="0.3">
      <c r="A598" s="1293">
        <v>3071</v>
      </c>
      <c r="B598" s="1294" t="s">
        <v>3112</v>
      </c>
      <c r="C598" s="1294" t="s">
        <v>1680</v>
      </c>
      <c r="D598" s="1295">
        <v>44956</v>
      </c>
      <c r="E598" s="1295">
        <v>44956</v>
      </c>
      <c r="F598" s="1294" t="s">
        <v>2418</v>
      </c>
      <c r="G598" s="1294" t="s">
        <v>2476</v>
      </c>
      <c r="H598" s="1294" t="s">
        <v>288</v>
      </c>
      <c r="I598" s="1294" t="s">
        <v>1227</v>
      </c>
      <c r="J598" s="1294" t="s">
        <v>2431</v>
      </c>
      <c r="K598" s="1294" t="s">
        <v>2422</v>
      </c>
      <c r="L598" s="1294" t="s">
        <v>2432</v>
      </c>
      <c r="M598" s="1294" t="s">
        <v>711</v>
      </c>
      <c r="N598" s="1296" t="s">
        <v>113</v>
      </c>
    </row>
    <row r="599" spans="1:14" hidden="1" x14ac:dyDescent="0.3">
      <c r="A599" s="1293">
        <v>3111</v>
      </c>
      <c r="B599" s="1294" t="s">
        <v>3113</v>
      </c>
      <c r="C599" s="1294" t="s">
        <v>2451</v>
      </c>
      <c r="D599" s="1295">
        <v>44984</v>
      </c>
      <c r="E599" s="1295">
        <v>44984</v>
      </c>
      <c r="F599" s="1294" t="s">
        <v>2418</v>
      </c>
      <c r="G599" s="1294" t="s">
        <v>2419</v>
      </c>
      <c r="H599" s="1294" t="s">
        <v>288</v>
      </c>
      <c r="I599" s="1294" t="s">
        <v>1230</v>
      </c>
      <c r="J599" s="1294" t="s">
        <v>2449</v>
      </c>
      <c r="K599" s="1294" t="s">
        <v>2422</v>
      </c>
      <c r="L599" s="1294" t="s">
        <v>2450</v>
      </c>
      <c r="M599" s="1294" t="s">
        <v>711</v>
      </c>
      <c r="N599" s="1296" t="s">
        <v>2452</v>
      </c>
    </row>
    <row r="600" spans="1:14" hidden="1" x14ac:dyDescent="0.3">
      <c r="A600" s="1293">
        <v>2975</v>
      </c>
      <c r="B600" s="1294" t="s">
        <v>3114</v>
      </c>
      <c r="C600" s="1294" t="s">
        <v>2451</v>
      </c>
      <c r="D600" s="1295">
        <v>44791</v>
      </c>
      <c r="E600" s="1295">
        <v>44791</v>
      </c>
      <c r="F600" s="1294" t="s">
        <v>2418</v>
      </c>
      <c r="G600" s="1294" t="s">
        <v>2419</v>
      </c>
      <c r="H600" s="1294" t="s">
        <v>288</v>
      </c>
      <c r="I600" s="1294" t="s">
        <v>1229</v>
      </c>
      <c r="J600" s="1294" t="s">
        <v>2449</v>
      </c>
      <c r="K600" s="1294" t="s">
        <v>2422</v>
      </c>
      <c r="L600" s="1294" t="s">
        <v>2450</v>
      </c>
      <c r="M600" s="1294" t="s">
        <v>711</v>
      </c>
      <c r="N600" s="1296" t="s">
        <v>2452</v>
      </c>
    </row>
    <row r="601" spans="1:14" hidden="1" x14ac:dyDescent="0.3">
      <c r="A601" s="1293">
        <v>2400</v>
      </c>
      <c r="B601" s="1294" t="s">
        <v>3115</v>
      </c>
      <c r="C601" s="1294" t="s">
        <v>1681</v>
      </c>
      <c r="D601" s="1295">
        <v>44302</v>
      </c>
      <c r="E601" s="1295">
        <v>44302</v>
      </c>
      <c r="F601" s="1294" t="s">
        <v>2418</v>
      </c>
      <c r="G601" s="1294" t="s">
        <v>2419</v>
      </c>
      <c r="H601" s="1294" t="s">
        <v>288</v>
      </c>
      <c r="I601" s="1294" t="s">
        <v>1230</v>
      </c>
      <c r="J601" s="1294" t="s">
        <v>2427</v>
      </c>
      <c r="K601" s="1294" t="s">
        <v>2422</v>
      </c>
      <c r="L601" s="1294" t="s">
        <v>1350</v>
      </c>
      <c r="M601" s="1294" t="s">
        <v>711</v>
      </c>
      <c r="N601" s="1296" t="s">
        <v>114</v>
      </c>
    </row>
    <row r="602" spans="1:14" hidden="1" x14ac:dyDescent="0.3">
      <c r="A602" s="1293">
        <v>2916</v>
      </c>
      <c r="B602" s="1294" t="s">
        <v>3116</v>
      </c>
      <c r="C602" s="1294" t="s">
        <v>1681</v>
      </c>
      <c r="D602" s="1295">
        <v>44711</v>
      </c>
      <c r="E602" s="1295">
        <v>44711</v>
      </c>
      <c r="F602" s="1294" t="s">
        <v>2418</v>
      </c>
      <c r="G602" s="1294" t="s">
        <v>2419</v>
      </c>
      <c r="H602" s="1294" t="s">
        <v>288</v>
      </c>
      <c r="I602" s="1294" t="s">
        <v>1229</v>
      </c>
      <c r="J602" s="1294" t="s">
        <v>2421</v>
      </c>
      <c r="K602" s="1294" t="s">
        <v>2422</v>
      </c>
      <c r="L602" s="1294" t="s">
        <v>1353</v>
      </c>
      <c r="M602" s="1294" t="s">
        <v>711</v>
      </c>
      <c r="N602" s="1296" t="s">
        <v>114</v>
      </c>
    </row>
    <row r="603" spans="1:14" hidden="1" x14ac:dyDescent="0.3">
      <c r="A603" s="1293">
        <v>3073</v>
      </c>
      <c r="B603" s="1294" t="s">
        <v>3117</v>
      </c>
      <c r="C603" s="1294" t="s">
        <v>1680</v>
      </c>
      <c r="D603" s="1295">
        <v>44960</v>
      </c>
      <c r="E603" s="1295">
        <v>44960</v>
      </c>
      <c r="F603" s="1294" t="s">
        <v>2418</v>
      </c>
      <c r="G603" s="1294" t="s">
        <v>2434</v>
      </c>
      <c r="H603" s="1294" t="s">
        <v>288</v>
      </c>
      <c r="I603" s="1294" t="s">
        <v>1227</v>
      </c>
      <c r="J603" s="1294" t="s">
        <v>2431</v>
      </c>
      <c r="K603" s="1294" t="s">
        <v>2422</v>
      </c>
      <c r="L603" s="1294" t="s">
        <v>2432</v>
      </c>
      <c r="M603" s="1294" t="s">
        <v>711</v>
      </c>
      <c r="N603" s="1296" t="s">
        <v>113</v>
      </c>
    </row>
    <row r="604" spans="1:14" hidden="1" x14ac:dyDescent="0.3">
      <c r="A604" s="1293">
        <v>2315</v>
      </c>
      <c r="B604" s="1294" t="s">
        <v>3118</v>
      </c>
      <c r="C604" s="1294" t="s">
        <v>1681</v>
      </c>
      <c r="D604" s="1295">
        <v>44242</v>
      </c>
      <c r="E604" s="1295">
        <v>44242</v>
      </c>
      <c r="F604" s="1294" t="s">
        <v>2418</v>
      </c>
      <c r="G604" s="1294" t="s">
        <v>2434</v>
      </c>
      <c r="H604" s="1294" t="s">
        <v>288</v>
      </c>
      <c r="I604" s="1294" t="s">
        <v>1229</v>
      </c>
      <c r="J604" s="1294" t="s">
        <v>2421</v>
      </c>
      <c r="K604" s="1294" t="s">
        <v>2422</v>
      </c>
      <c r="L604" s="1294" t="s">
        <v>1353</v>
      </c>
      <c r="M604" s="1294" t="s">
        <v>711</v>
      </c>
      <c r="N604" s="1296" t="s">
        <v>114</v>
      </c>
    </row>
    <row r="605" spans="1:14" hidden="1" x14ac:dyDescent="0.3">
      <c r="A605" s="1293">
        <v>2838</v>
      </c>
      <c r="B605" s="1294" t="s">
        <v>3119</v>
      </c>
      <c r="C605" s="1294" t="s">
        <v>1680</v>
      </c>
      <c r="D605" s="1295">
        <v>44634</v>
      </c>
      <c r="E605" s="1295">
        <v>44634</v>
      </c>
      <c r="F605" s="1294" t="s">
        <v>2418</v>
      </c>
      <c r="G605" s="1294" t="s">
        <v>2434</v>
      </c>
      <c r="H605" s="1294" t="s">
        <v>288</v>
      </c>
      <c r="I605" s="1294" t="s">
        <v>1230</v>
      </c>
      <c r="J605" s="1294" t="s">
        <v>2446</v>
      </c>
      <c r="K605" s="1294" t="s">
        <v>2422</v>
      </c>
      <c r="L605" s="1294" t="s">
        <v>2447</v>
      </c>
      <c r="M605" s="1294" t="s">
        <v>711</v>
      </c>
      <c r="N605" s="1296" t="s">
        <v>113</v>
      </c>
    </row>
    <row r="606" spans="1:14" hidden="1" x14ac:dyDescent="0.3">
      <c r="A606" s="1293">
        <v>3359</v>
      </c>
      <c r="B606" s="1294" t="s">
        <v>3120</v>
      </c>
      <c r="C606" s="1294" t="s">
        <v>1680</v>
      </c>
      <c r="D606" s="1295">
        <v>45446</v>
      </c>
      <c r="E606" s="1295">
        <v>45446</v>
      </c>
      <c r="F606" s="1294" t="s">
        <v>2418</v>
      </c>
      <c r="G606" s="1294" t="s">
        <v>2419</v>
      </c>
      <c r="H606" s="1294" t="s">
        <v>288</v>
      </c>
      <c r="I606" s="1294" t="s">
        <v>1230</v>
      </c>
      <c r="J606" s="1294" t="s">
        <v>2431</v>
      </c>
      <c r="K606" s="1294" t="s">
        <v>2422</v>
      </c>
      <c r="L606" s="1294" t="s">
        <v>2432</v>
      </c>
      <c r="M606" s="1294" t="s">
        <v>711</v>
      </c>
      <c r="N606" s="1296" t="s">
        <v>113</v>
      </c>
    </row>
    <row r="607" spans="1:14" hidden="1" x14ac:dyDescent="0.3">
      <c r="A607" s="1293">
        <v>3237</v>
      </c>
      <c r="B607" s="1294" t="s">
        <v>3121</v>
      </c>
      <c r="C607" s="1294" t="s">
        <v>1680</v>
      </c>
      <c r="D607" s="1295">
        <v>45194</v>
      </c>
      <c r="E607" s="1295">
        <v>45194</v>
      </c>
      <c r="F607" s="1294" t="s">
        <v>2418</v>
      </c>
      <c r="G607" s="1294" t="s">
        <v>2434</v>
      </c>
      <c r="H607" s="1294" t="s">
        <v>288</v>
      </c>
      <c r="I607" s="1294" t="s">
        <v>1230</v>
      </c>
      <c r="J607" s="1294" t="s">
        <v>2431</v>
      </c>
      <c r="K607" s="1294" t="s">
        <v>2422</v>
      </c>
      <c r="L607" s="1294" t="s">
        <v>2432</v>
      </c>
      <c r="M607" s="1294" t="s">
        <v>711</v>
      </c>
      <c r="N607" s="1296" t="s">
        <v>113</v>
      </c>
    </row>
    <row r="608" spans="1:14" hidden="1" x14ac:dyDescent="0.3">
      <c r="A608" s="1293">
        <v>1689</v>
      </c>
      <c r="B608" s="1294" t="s">
        <v>3122</v>
      </c>
      <c r="C608" s="1294" t="s">
        <v>1680</v>
      </c>
      <c r="D608" s="1295">
        <v>43059</v>
      </c>
      <c r="E608" s="1295">
        <v>43059</v>
      </c>
      <c r="F608" s="1294" t="s">
        <v>2418</v>
      </c>
      <c r="G608" s="1294" t="s">
        <v>2419</v>
      </c>
      <c r="H608" s="1294" t="s">
        <v>288</v>
      </c>
      <c r="I608" s="1294" t="s">
        <v>1229</v>
      </c>
      <c r="J608" s="1294" t="s">
        <v>2431</v>
      </c>
      <c r="K608" s="1294" t="s">
        <v>2422</v>
      </c>
      <c r="L608" s="1294" t="s">
        <v>2432</v>
      </c>
      <c r="M608" s="1294" t="s">
        <v>711</v>
      </c>
      <c r="N608" s="1296" t="s">
        <v>113</v>
      </c>
    </row>
    <row r="609" spans="1:14" hidden="1" x14ac:dyDescent="0.3">
      <c r="A609" s="1293">
        <v>3094</v>
      </c>
      <c r="B609" s="1294" t="s">
        <v>3123</v>
      </c>
      <c r="C609" s="1294" t="s">
        <v>2451</v>
      </c>
      <c r="D609" s="1295">
        <v>44984</v>
      </c>
      <c r="E609" s="1295">
        <v>44984</v>
      </c>
      <c r="F609" s="1294" t="s">
        <v>2418</v>
      </c>
      <c r="G609" s="1294" t="s">
        <v>2514</v>
      </c>
      <c r="H609" s="1294" t="s">
        <v>288</v>
      </c>
      <c r="I609" s="1294" t="s">
        <v>1227</v>
      </c>
      <c r="J609" s="1294" t="s">
        <v>2449</v>
      </c>
      <c r="K609" s="1294" t="s">
        <v>2422</v>
      </c>
      <c r="L609" s="1294" t="s">
        <v>2450</v>
      </c>
      <c r="M609" s="1294" t="s">
        <v>711</v>
      </c>
      <c r="N609" s="1296" t="s">
        <v>2452</v>
      </c>
    </row>
    <row r="610" spans="1:14" hidden="1" x14ac:dyDescent="0.3">
      <c r="A610" s="1293">
        <v>3323</v>
      </c>
      <c r="B610" s="1294" t="s">
        <v>3124</v>
      </c>
      <c r="C610" s="1294" t="s">
        <v>1681</v>
      </c>
      <c r="D610" s="1295">
        <v>45323</v>
      </c>
      <c r="E610" s="1295">
        <v>45323</v>
      </c>
      <c r="F610" s="1294" t="s">
        <v>2418</v>
      </c>
      <c r="G610" s="1294" t="s">
        <v>2419</v>
      </c>
      <c r="H610" s="1294" t="s">
        <v>288</v>
      </c>
      <c r="I610" s="1294" t="s">
        <v>1230</v>
      </c>
      <c r="J610" s="1294" t="s">
        <v>2421</v>
      </c>
      <c r="K610" s="1294" t="s">
        <v>2422</v>
      </c>
      <c r="L610" s="1294" t="s">
        <v>1353</v>
      </c>
      <c r="M610" s="1294" t="s">
        <v>711</v>
      </c>
      <c r="N610" s="1296" t="s">
        <v>114</v>
      </c>
    </row>
    <row r="611" spans="1:14" hidden="1" x14ac:dyDescent="0.3">
      <c r="A611" s="1293">
        <v>2999</v>
      </c>
      <c r="B611" s="1294" t="s">
        <v>3125</v>
      </c>
      <c r="C611" s="1294" t="s">
        <v>2451</v>
      </c>
      <c r="D611" s="1295">
        <v>44791</v>
      </c>
      <c r="E611" s="1295">
        <v>44791</v>
      </c>
      <c r="F611" s="1294" t="s">
        <v>2418</v>
      </c>
      <c r="G611" s="1294" t="s">
        <v>2419</v>
      </c>
      <c r="H611" s="1294" t="s">
        <v>288</v>
      </c>
      <c r="I611" s="1294" t="s">
        <v>1229</v>
      </c>
      <c r="J611" s="1294" t="s">
        <v>2449</v>
      </c>
      <c r="K611" s="1294" t="s">
        <v>2422</v>
      </c>
      <c r="L611" s="1294" t="s">
        <v>2450</v>
      </c>
      <c r="M611" s="1294" t="s">
        <v>711</v>
      </c>
      <c r="N611" s="1296" t="s">
        <v>2452</v>
      </c>
    </row>
    <row r="612" spans="1:14" hidden="1" x14ac:dyDescent="0.3">
      <c r="A612" s="1293">
        <v>2839</v>
      </c>
      <c r="B612" s="1294" t="s">
        <v>3126</v>
      </c>
      <c r="C612" s="1294" t="s">
        <v>1681</v>
      </c>
      <c r="D612" s="1295">
        <v>44636</v>
      </c>
      <c r="E612" s="1295">
        <v>44636</v>
      </c>
      <c r="F612" s="1294" t="s">
        <v>2418</v>
      </c>
      <c r="G612" s="1294" t="s">
        <v>2419</v>
      </c>
      <c r="H612" s="1294" t="s">
        <v>288</v>
      </c>
      <c r="I612" s="1294" t="s">
        <v>1230</v>
      </c>
      <c r="J612" s="1294" t="s">
        <v>2427</v>
      </c>
      <c r="K612" s="1294" t="s">
        <v>2422</v>
      </c>
      <c r="L612" s="1294" t="s">
        <v>1350</v>
      </c>
      <c r="M612" s="1294" t="s">
        <v>711</v>
      </c>
      <c r="N612" s="1296" t="s">
        <v>114</v>
      </c>
    </row>
    <row r="613" spans="1:14" hidden="1" x14ac:dyDescent="0.3">
      <c r="A613" s="1293">
        <v>2980</v>
      </c>
      <c r="B613" s="1294" t="s">
        <v>3127</v>
      </c>
      <c r="C613" s="1294" t="s">
        <v>2451</v>
      </c>
      <c r="D613" s="1295">
        <v>44791</v>
      </c>
      <c r="E613" s="1295">
        <v>44791</v>
      </c>
      <c r="F613" s="1294" t="s">
        <v>2418</v>
      </c>
      <c r="G613" s="1294" t="s">
        <v>2419</v>
      </c>
      <c r="H613" s="1294" t="s">
        <v>288</v>
      </c>
      <c r="I613" s="1294" t="s">
        <v>1229</v>
      </c>
      <c r="J613" s="1294" t="s">
        <v>2449</v>
      </c>
      <c r="K613" s="1294" t="s">
        <v>2422</v>
      </c>
      <c r="L613" s="1294" t="s">
        <v>2450</v>
      </c>
      <c r="M613" s="1294" t="s">
        <v>711</v>
      </c>
      <c r="N613" s="1296" t="s">
        <v>2452</v>
      </c>
    </row>
    <row r="614" spans="1:14" hidden="1" x14ac:dyDescent="0.3">
      <c r="A614" s="1293">
        <v>2434</v>
      </c>
      <c r="B614" s="1294" t="s">
        <v>3128</v>
      </c>
      <c r="C614" s="1294" t="s">
        <v>1680</v>
      </c>
      <c r="D614" s="1295">
        <v>44326</v>
      </c>
      <c r="E614" s="1295">
        <v>44326</v>
      </c>
      <c r="F614" s="1294" t="s">
        <v>2418</v>
      </c>
      <c r="G614" s="1294" t="s">
        <v>2419</v>
      </c>
      <c r="H614" s="1294" t="s">
        <v>288</v>
      </c>
      <c r="I614" s="1294" t="s">
        <v>1230</v>
      </c>
      <c r="J614" s="1294" t="s">
        <v>2431</v>
      </c>
      <c r="K614" s="1294" t="s">
        <v>2422</v>
      </c>
      <c r="L614" s="1294" t="s">
        <v>2432</v>
      </c>
      <c r="M614" s="1294" t="s">
        <v>711</v>
      </c>
      <c r="N614" s="1296" t="s">
        <v>113</v>
      </c>
    </row>
    <row r="615" spans="1:14" hidden="1" x14ac:dyDescent="0.3">
      <c r="A615" s="1293">
        <v>2744</v>
      </c>
      <c r="B615" s="1294" t="s">
        <v>3129</v>
      </c>
      <c r="C615" s="1294" t="s">
        <v>1681</v>
      </c>
      <c r="D615" s="1295">
        <v>44553</v>
      </c>
      <c r="E615" s="1295">
        <v>44553</v>
      </c>
      <c r="F615" s="1294" t="s">
        <v>2418</v>
      </c>
      <c r="G615" s="1294" t="s">
        <v>2434</v>
      </c>
      <c r="H615" s="1294" t="s">
        <v>288</v>
      </c>
      <c r="I615" s="1294" t="s">
        <v>1229</v>
      </c>
      <c r="J615" s="1294" t="s">
        <v>2427</v>
      </c>
      <c r="K615" s="1294" t="s">
        <v>2422</v>
      </c>
      <c r="L615" s="1294" t="s">
        <v>1350</v>
      </c>
      <c r="M615" s="1294" t="s">
        <v>711</v>
      </c>
      <c r="N615" s="1296" t="s">
        <v>114</v>
      </c>
    </row>
    <row r="616" spans="1:14" hidden="1" x14ac:dyDescent="0.3">
      <c r="A616" s="1293">
        <v>2887</v>
      </c>
      <c r="B616" s="1294" t="s">
        <v>3130</v>
      </c>
      <c r="C616" s="1294" t="s">
        <v>1683</v>
      </c>
      <c r="D616" s="1295">
        <v>44690</v>
      </c>
      <c r="E616" s="1295">
        <v>44690</v>
      </c>
      <c r="F616" s="1294" t="s">
        <v>2418</v>
      </c>
      <c r="G616" s="1294" t="s">
        <v>2419</v>
      </c>
      <c r="H616" s="1294" t="s">
        <v>288</v>
      </c>
      <c r="I616" s="1294" t="s">
        <v>1227</v>
      </c>
      <c r="J616" s="1294" t="s">
        <v>1354</v>
      </c>
      <c r="K616" s="1294" t="s">
        <v>2422</v>
      </c>
      <c r="L616" s="1294" t="s">
        <v>1332</v>
      </c>
      <c r="M616" s="1294" t="s">
        <v>711</v>
      </c>
      <c r="N616" s="1296" t="s">
        <v>115</v>
      </c>
    </row>
    <row r="617" spans="1:14" hidden="1" x14ac:dyDescent="0.3">
      <c r="A617" s="1293">
        <v>3136</v>
      </c>
      <c r="B617" s="1294" t="s">
        <v>3131</v>
      </c>
      <c r="C617" s="1294" t="s">
        <v>2451</v>
      </c>
      <c r="D617" s="1295">
        <v>44984</v>
      </c>
      <c r="E617" s="1295">
        <v>44984</v>
      </c>
      <c r="F617" s="1294" t="s">
        <v>2418</v>
      </c>
      <c r="G617" s="1294" t="s">
        <v>2419</v>
      </c>
      <c r="H617" s="1294" t="s">
        <v>288</v>
      </c>
      <c r="I617" s="1294" t="s">
        <v>1227</v>
      </c>
      <c r="J617" s="1294" t="s">
        <v>2449</v>
      </c>
      <c r="K617" s="1294" t="s">
        <v>2422</v>
      </c>
      <c r="L617" s="1294" t="s">
        <v>2450</v>
      </c>
      <c r="M617" s="1294" t="s">
        <v>711</v>
      </c>
      <c r="N617" s="1296" t="s">
        <v>2452</v>
      </c>
    </row>
    <row r="618" spans="1:14" hidden="1" x14ac:dyDescent="0.3">
      <c r="A618" s="1293">
        <v>2606</v>
      </c>
      <c r="B618" s="1294" t="s">
        <v>3132</v>
      </c>
      <c r="C618" s="1294" t="s">
        <v>1681</v>
      </c>
      <c r="D618" s="1295">
        <v>44431</v>
      </c>
      <c r="E618" s="1295">
        <v>44431</v>
      </c>
      <c r="F618" s="1294" t="s">
        <v>2418</v>
      </c>
      <c r="G618" s="1294" t="s">
        <v>2419</v>
      </c>
      <c r="H618" s="1294" t="s">
        <v>288</v>
      </c>
      <c r="I618" s="1294" t="s">
        <v>1230</v>
      </c>
      <c r="J618" s="1294" t="s">
        <v>2427</v>
      </c>
      <c r="K618" s="1294" t="s">
        <v>2422</v>
      </c>
      <c r="L618" s="1294" t="s">
        <v>1350</v>
      </c>
      <c r="M618" s="1294" t="s">
        <v>711</v>
      </c>
      <c r="N618" s="1296" t="s">
        <v>114</v>
      </c>
    </row>
    <row r="619" spans="1:14" hidden="1" x14ac:dyDescent="0.3">
      <c r="A619" s="1293">
        <v>2660</v>
      </c>
      <c r="B619" s="1294" t="s">
        <v>3133</v>
      </c>
      <c r="C619" s="1294" t="s">
        <v>1681</v>
      </c>
      <c r="D619" s="1295">
        <v>44488</v>
      </c>
      <c r="E619" s="1295">
        <v>44488</v>
      </c>
      <c r="F619" s="1294" t="s">
        <v>2418</v>
      </c>
      <c r="G619" s="1294" t="s">
        <v>2434</v>
      </c>
      <c r="H619" s="1294" t="s">
        <v>288</v>
      </c>
      <c r="I619" s="1294" t="s">
        <v>1229</v>
      </c>
      <c r="J619" s="1294" t="s">
        <v>2427</v>
      </c>
      <c r="K619" s="1294" t="s">
        <v>2422</v>
      </c>
      <c r="L619" s="1294" t="s">
        <v>1350</v>
      </c>
      <c r="M619" s="1294" t="s">
        <v>711</v>
      </c>
      <c r="N619" s="1296" t="s">
        <v>114</v>
      </c>
    </row>
    <row r="620" spans="1:14" hidden="1" x14ac:dyDescent="0.3">
      <c r="A620" s="1293">
        <v>2666</v>
      </c>
      <c r="B620" s="1294" t="s">
        <v>3134</v>
      </c>
      <c r="C620" s="1294" t="s">
        <v>1680</v>
      </c>
      <c r="D620" s="1295">
        <v>44496</v>
      </c>
      <c r="E620" s="1295">
        <v>44496</v>
      </c>
      <c r="F620" s="1294" t="s">
        <v>2418</v>
      </c>
      <c r="G620" s="1294" t="s">
        <v>2434</v>
      </c>
      <c r="H620" s="1294" t="s">
        <v>288</v>
      </c>
      <c r="I620" s="1294" t="s">
        <v>1229</v>
      </c>
      <c r="J620" s="1294" t="s">
        <v>2431</v>
      </c>
      <c r="K620" s="1294" t="s">
        <v>2422</v>
      </c>
      <c r="L620" s="1294" t="s">
        <v>2432</v>
      </c>
      <c r="M620" s="1294" t="s">
        <v>711</v>
      </c>
      <c r="N620" s="1296" t="s">
        <v>113</v>
      </c>
    </row>
    <row r="621" spans="1:14" hidden="1" x14ac:dyDescent="0.3">
      <c r="A621" s="1293">
        <v>3072</v>
      </c>
      <c r="B621" s="1294" t="s">
        <v>3135</v>
      </c>
      <c r="C621" s="1294" t="s">
        <v>1680</v>
      </c>
      <c r="D621" s="1295">
        <v>44956</v>
      </c>
      <c r="E621" s="1295">
        <v>44956</v>
      </c>
      <c r="F621" s="1294" t="s">
        <v>2418</v>
      </c>
      <c r="G621" s="1294" t="s">
        <v>2434</v>
      </c>
      <c r="H621" s="1294" t="s">
        <v>288</v>
      </c>
      <c r="I621" s="1294" t="s">
        <v>1227</v>
      </c>
      <c r="J621" s="1294" t="s">
        <v>2431</v>
      </c>
      <c r="K621" s="1294" t="s">
        <v>2422</v>
      </c>
      <c r="L621" s="1294" t="s">
        <v>2432</v>
      </c>
      <c r="M621" s="1294" t="s">
        <v>711</v>
      </c>
      <c r="N621" s="1296" t="s">
        <v>113</v>
      </c>
    </row>
    <row r="622" spans="1:14" hidden="1" x14ac:dyDescent="0.3">
      <c r="A622" s="1293">
        <v>3327</v>
      </c>
      <c r="B622" s="1294" t="s">
        <v>3136</v>
      </c>
      <c r="C622" s="1294" t="s">
        <v>1680</v>
      </c>
      <c r="D622" s="1295">
        <v>45334</v>
      </c>
      <c r="E622" s="1295">
        <v>45334</v>
      </c>
      <c r="F622" s="1294" t="s">
        <v>2418</v>
      </c>
      <c r="G622" s="1294" t="s">
        <v>2419</v>
      </c>
      <c r="H622" s="1294" t="s">
        <v>288</v>
      </c>
      <c r="I622" s="1294" t="s">
        <v>1230</v>
      </c>
      <c r="J622" s="1294" t="s">
        <v>2431</v>
      </c>
      <c r="K622" s="1294" t="s">
        <v>2422</v>
      </c>
      <c r="L622" s="1294" t="s">
        <v>2432</v>
      </c>
      <c r="M622" s="1294" t="s">
        <v>711</v>
      </c>
      <c r="N622" s="1296" t="s">
        <v>113</v>
      </c>
    </row>
    <row r="623" spans="1:14" hidden="1" x14ac:dyDescent="0.3">
      <c r="A623" s="1293">
        <v>2650</v>
      </c>
      <c r="B623" s="1294" t="s">
        <v>3137</v>
      </c>
      <c r="C623" s="1294" t="s">
        <v>1681</v>
      </c>
      <c r="D623" s="1295">
        <v>44477</v>
      </c>
      <c r="E623" s="1295">
        <v>44477</v>
      </c>
      <c r="F623" s="1294" t="s">
        <v>2418</v>
      </c>
      <c r="G623" s="1294" t="s">
        <v>2522</v>
      </c>
      <c r="H623" s="1294" t="s">
        <v>288</v>
      </c>
      <c r="I623" s="1294" t="s">
        <v>1229</v>
      </c>
      <c r="J623" s="1294" t="s">
        <v>2421</v>
      </c>
      <c r="K623" s="1294" t="s">
        <v>2422</v>
      </c>
      <c r="L623" s="1294" t="s">
        <v>1353</v>
      </c>
      <c r="M623" s="1294" t="s">
        <v>711</v>
      </c>
      <c r="N623" s="1296" t="s">
        <v>114</v>
      </c>
    </row>
    <row r="624" spans="1:14" hidden="1" x14ac:dyDescent="0.3">
      <c r="A624" s="1293">
        <v>3334</v>
      </c>
      <c r="B624" s="1294" t="s">
        <v>3138</v>
      </c>
      <c r="C624" s="1294" t="s">
        <v>1680</v>
      </c>
      <c r="D624" s="1295">
        <v>45357</v>
      </c>
      <c r="E624" s="1295">
        <v>45357</v>
      </c>
      <c r="F624" s="1294" t="s">
        <v>2418</v>
      </c>
      <c r="G624" s="1294" t="s">
        <v>2508</v>
      </c>
      <c r="H624" s="1294" t="s">
        <v>288</v>
      </c>
      <c r="I624" s="1294" t="s">
        <v>1230</v>
      </c>
      <c r="J624" s="1294" t="s">
        <v>2431</v>
      </c>
      <c r="K624" s="1294" t="s">
        <v>2422</v>
      </c>
      <c r="L624" s="1294" t="s">
        <v>2432</v>
      </c>
      <c r="M624" s="1294" t="s">
        <v>711</v>
      </c>
      <c r="N624" s="1296" t="s">
        <v>113</v>
      </c>
    </row>
    <row r="625" spans="1:14" hidden="1" x14ac:dyDescent="0.3">
      <c r="A625" s="1293">
        <v>3337</v>
      </c>
      <c r="B625" s="1294" t="s">
        <v>3139</v>
      </c>
      <c r="C625" s="1294" t="s">
        <v>1680</v>
      </c>
      <c r="D625" s="1295">
        <v>45366</v>
      </c>
      <c r="E625" s="1295">
        <v>45366</v>
      </c>
      <c r="F625" s="1294" t="s">
        <v>2418</v>
      </c>
      <c r="G625" s="1294" t="s">
        <v>2508</v>
      </c>
      <c r="H625" s="1294" t="s">
        <v>288</v>
      </c>
      <c r="I625" s="1294" t="s">
        <v>1230</v>
      </c>
      <c r="J625" s="1294" t="s">
        <v>2431</v>
      </c>
      <c r="K625" s="1294" t="s">
        <v>2422</v>
      </c>
      <c r="L625" s="1294" t="s">
        <v>2432</v>
      </c>
      <c r="M625" s="1294" t="s">
        <v>711</v>
      </c>
      <c r="N625" s="1296" t="s">
        <v>113</v>
      </c>
    </row>
    <row r="626" spans="1:14" hidden="1" x14ac:dyDescent="0.3">
      <c r="A626" s="1293">
        <v>2398</v>
      </c>
      <c r="B626" s="1294" t="s">
        <v>3140</v>
      </c>
      <c r="C626" s="1294" t="s">
        <v>1710</v>
      </c>
      <c r="D626" s="1295">
        <v>44298</v>
      </c>
      <c r="E626" s="1295">
        <v>44298</v>
      </c>
      <c r="F626" s="1294" t="s">
        <v>2418</v>
      </c>
      <c r="G626" s="1294" t="s">
        <v>2419</v>
      </c>
      <c r="H626" s="1294" t="s">
        <v>288</v>
      </c>
      <c r="I626" s="1294" t="s">
        <v>1226</v>
      </c>
      <c r="J626" s="1294" t="s">
        <v>2437</v>
      </c>
      <c r="K626" s="1294" t="s">
        <v>2422</v>
      </c>
      <c r="L626" s="1294" t="s">
        <v>1353</v>
      </c>
      <c r="M626" s="1294" t="s">
        <v>716</v>
      </c>
      <c r="N626" s="1296" t="s">
        <v>114</v>
      </c>
    </row>
    <row r="627" spans="1:14" hidden="1" x14ac:dyDescent="0.3">
      <c r="A627" s="1293">
        <v>3336</v>
      </c>
      <c r="B627" s="1294" t="s">
        <v>3141</v>
      </c>
      <c r="C627" s="1294" t="s">
        <v>1680</v>
      </c>
      <c r="D627" s="1295">
        <v>45362</v>
      </c>
      <c r="E627" s="1295">
        <v>45362</v>
      </c>
      <c r="F627" s="1294" t="s">
        <v>2418</v>
      </c>
      <c r="G627" s="1294" t="s">
        <v>2508</v>
      </c>
      <c r="H627" s="1294" t="s">
        <v>288</v>
      </c>
      <c r="I627" s="1294" t="s">
        <v>1230</v>
      </c>
      <c r="J627" s="1294" t="s">
        <v>2431</v>
      </c>
      <c r="K627" s="1294" t="s">
        <v>2422</v>
      </c>
      <c r="L627" s="1294" t="s">
        <v>2432</v>
      </c>
      <c r="M627" s="1294" t="s">
        <v>711</v>
      </c>
      <c r="N627" s="1296" t="s">
        <v>113</v>
      </c>
    </row>
    <row r="628" spans="1:14" hidden="1" x14ac:dyDescent="0.3">
      <c r="A628" s="1293">
        <v>2671</v>
      </c>
      <c r="B628" s="1294" t="s">
        <v>3142</v>
      </c>
      <c r="C628" s="1294" t="s">
        <v>1680</v>
      </c>
      <c r="D628" s="1295">
        <v>44501</v>
      </c>
      <c r="E628" s="1295">
        <v>44501</v>
      </c>
      <c r="F628" s="1294" t="s">
        <v>2418</v>
      </c>
      <c r="G628" s="1294" t="s">
        <v>2419</v>
      </c>
      <c r="H628" s="1294" t="s">
        <v>288</v>
      </c>
      <c r="I628" s="1294" t="s">
        <v>1230</v>
      </c>
      <c r="J628" s="1294" t="s">
        <v>2431</v>
      </c>
      <c r="K628" s="1294" t="s">
        <v>2422</v>
      </c>
      <c r="L628" s="1294" t="s">
        <v>2432</v>
      </c>
      <c r="M628" s="1294" t="s">
        <v>711</v>
      </c>
      <c r="N628" s="1296" t="s">
        <v>113</v>
      </c>
    </row>
    <row r="629" spans="1:14" hidden="1" x14ac:dyDescent="0.3">
      <c r="A629" s="1293">
        <v>8392</v>
      </c>
      <c r="B629" s="1294" t="s">
        <v>3143</v>
      </c>
      <c r="C629" s="1294" t="s">
        <v>1708</v>
      </c>
      <c r="D629" s="1295">
        <v>44748</v>
      </c>
      <c r="E629" s="1295">
        <v>44748</v>
      </c>
      <c r="F629" s="1294" t="s">
        <v>2418</v>
      </c>
      <c r="G629" s="1294" t="s">
        <v>2960</v>
      </c>
      <c r="H629" s="1294" t="s">
        <v>331</v>
      </c>
      <c r="I629" s="1294" t="s">
        <v>2728</v>
      </c>
      <c r="J629" s="1294" t="s">
        <v>1336</v>
      </c>
      <c r="K629" s="1294" t="s">
        <v>2459</v>
      </c>
      <c r="L629" s="1294" t="s">
        <v>1387</v>
      </c>
      <c r="M629" s="1294" t="s">
        <v>3144</v>
      </c>
      <c r="N629" s="1296" t="s">
        <v>117</v>
      </c>
    </row>
    <row r="630" spans="1:14" hidden="1" x14ac:dyDescent="0.3">
      <c r="A630" s="1293">
        <v>3235</v>
      </c>
      <c r="B630" s="1294" t="s">
        <v>3145</v>
      </c>
      <c r="C630" s="1294" t="s">
        <v>1708</v>
      </c>
      <c r="D630" s="1295">
        <v>45189</v>
      </c>
      <c r="E630" s="1295">
        <v>45189</v>
      </c>
      <c r="F630" s="1294" t="s">
        <v>2418</v>
      </c>
      <c r="G630" s="1294" t="s">
        <v>3146</v>
      </c>
      <c r="H630" s="1294" t="s">
        <v>331</v>
      </c>
      <c r="I630" s="1294" t="s">
        <v>1168</v>
      </c>
      <c r="J630" s="1294" t="s">
        <v>1333</v>
      </c>
      <c r="K630" s="1294" t="s">
        <v>2459</v>
      </c>
      <c r="L630" s="1294" t="s">
        <v>1376</v>
      </c>
      <c r="M630" s="1294" t="s">
        <v>3144</v>
      </c>
      <c r="N630" s="1296" t="s">
        <v>116</v>
      </c>
    </row>
    <row r="631" spans="1:14" hidden="1" x14ac:dyDescent="0.3">
      <c r="A631" s="1293">
        <v>2542</v>
      </c>
      <c r="B631" s="1294" t="s">
        <v>3147</v>
      </c>
      <c r="C631" s="1294" t="s">
        <v>1683</v>
      </c>
      <c r="D631" s="1295">
        <v>44420</v>
      </c>
      <c r="E631" s="1295">
        <v>44420</v>
      </c>
      <c r="F631" s="1294" t="s">
        <v>2418</v>
      </c>
      <c r="G631" s="1294" t="s">
        <v>2419</v>
      </c>
      <c r="H631" s="1294" t="s">
        <v>276</v>
      </c>
      <c r="I631" s="1294" t="s">
        <v>1239</v>
      </c>
      <c r="J631" s="1294" t="s">
        <v>1396</v>
      </c>
      <c r="K631" s="1294" t="s">
        <v>2422</v>
      </c>
      <c r="L631" s="1294" t="s">
        <v>1332</v>
      </c>
      <c r="M631" s="1294" t="s">
        <v>711</v>
      </c>
      <c r="N631" s="1296" t="s">
        <v>115</v>
      </c>
    </row>
    <row r="632" spans="1:14" hidden="1" x14ac:dyDescent="0.3">
      <c r="A632" s="1293">
        <v>3347</v>
      </c>
      <c r="B632" s="1294" t="s">
        <v>3148</v>
      </c>
      <c r="C632" s="1294" t="s">
        <v>1680</v>
      </c>
      <c r="D632" s="1295">
        <v>45404</v>
      </c>
      <c r="E632" s="1295">
        <v>45404</v>
      </c>
      <c r="F632" s="1294" t="s">
        <v>2418</v>
      </c>
      <c r="G632" s="1294" t="s">
        <v>2419</v>
      </c>
      <c r="H632" s="1294" t="s">
        <v>276</v>
      </c>
      <c r="I632" s="1294" t="s">
        <v>1239</v>
      </c>
      <c r="J632" s="1294" t="s">
        <v>2431</v>
      </c>
      <c r="K632" s="1294" t="s">
        <v>2422</v>
      </c>
      <c r="L632" s="1294" t="s">
        <v>2432</v>
      </c>
      <c r="M632" s="1294" t="s">
        <v>711</v>
      </c>
      <c r="N632" s="1296" t="s">
        <v>113</v>
      </c>
    </row>
    <row r="633" spans="1:14" hidden="1" x14ac:dyDescent="0.3">
      <c r="A633" s="1293">
        <v>2080</v>
      </c>
      <c r="B633" s="1294" t="s">
        <v>3149</v>
      </c>
      <c r="C633" s="1294" t="s">
        <v>1709</v>
      </c>
      <c r="D633" s="1295">
        <v>43682</v>
      </c>
      <c r="E633" s="1295">
        <v>43682</v>
      </c>
      <c r="F633" s="1294" t="s">
        <v>2418</v>
      </c>
      <c r="G633" s="1294" t="s">
        <v>2476</v>
      </c>
      <c r="H633" s="1294" t="s">
        <v>276</v>
      </c>
      <c r="I633" s="1294" t="s">
        <v>3150</v>
      </c>
      <c r="J633" s="1294" t="s">
        <v>2427</v>
      </c>
      <c r="K633" s="1294" t="s">
        <v>2422</v>
      </c>
      <c r="L633" s="1294" t="s">
        <v>1350</v>
      </c>
      <c r="M633" s="1294" t="s">
        <v>716</v>
      </c>
      <c r="N633" s="1296" t="s">
        <v>114</v>
      </c>
    </row>
    <row r="634" spans="1:14" hidden="1" x14ac:dyDescent="0.3">
      <c r="A634" s="1293">
        <v>3432</v>
      </c>
      <c r="B634" s="1294" t="s">
        <v>3151</v>
      </c>
      <c r="C634" s="1294" t="s">
        <v>1680</v>
      </c>
      <c r="D634" s="1295">
        <v>45701</v>
      </c>
      <c r="E634" s="1295">
        <v>45701</v>
      </c>
      <c r="F634" s="1294" t="s">
        <v>2418</v>
      </c>
      <c r="G634" s="1294" t="s">
        <v>2508</v>
      </c>
      <c r="H634" s="1294" t="s">
        <v>276</v>
      </c>
      <c r="I634" s="1294" t="s">
        <v>1239</v>
      </c>
      <c r="J634" s="1294" t="s">
        <v>2431</v>
      </c>
      <c r="K634" s="1294" t="s">
        <v>2422</v>
      </c>
      <c r="L634" s="1294" t="s">
        <v>2432</v>
      </c>
      <c r="M634" s="1294" t="s">
        <v>711</v>
      </c>
      <c r="N634" s="1296" t="s">
        <v>113</v>
      </c>
    </row>
    <row r="635" spans="1:14" hidden="1" x14ac:dyDescent="0.3">
      <c r="A635" s="1293">
        <v>3246</v>
      </c>
      <c r="B635" s="1294" t="s">
        <v>3152</v>
      </c>
      <c r="C635" s="1294" t="s">
        <v>721</v>
      </c>
      <c r="D635" s="1295">
        <v>45231</v>
      </c>
      <c r="E635" s="1295">
        <v>45231</v>
      </c>
      <c r="F635" s="1294" t="s">
        <v>2418</v>
      </c>
      <c r="G635" s="1294" t="s">
        <v>2531</v>
      </c>
      <c r="H635" s="1294" t="s">
        <v>276</v>
      </c>
      <c r="I635" s="1294" t="s">
        <v>1239</v>
      </c>
      <c r="J635" s="1294" t="s">
        <v>2496</v>
      </c>
      <c r="K635" s="1294" t="s">
        <v>2459</v>
      </c>
      <c r="L635" s="1294" t="s">
        <v>1372</v>
      </c>
      <c r="M635" s="1294" t="s">
        <v>765</v>
      </c>
      <c r="N635" s="1296" t="s">
        <v>116</v>
      </c>
    </row>
    <row r="636" spans="1:14" hidden="1" x14ac:dyDescent="0.3">
      <c r="A636" s="1293">
        <v>2986</v>
      </c>
      <c r="B636" s="1294" t="s">
        <v>3153</v>
      </c>
      <c r="C636" s="1294" t="s">
        <v>2451</v>
      </c>
      <c r="D636" s="1295">
        <v>44791</v>
      </c>
      <c r="E636" s="1295">
        <v>44791</v>
      </c>
      <c r="F636" s="1294" t="s">
        <v>2418</v>
      </c>
      <c r="G636" s="1294" t="s">
        <v>2419</v>
      </c>
      <c r="H636" s="1294" t="s">
        <v>276</v>
      </c>
      <c r="I636" s="1294" t="s">
        <v>1239</v>
      </c>
      <c r="J636" s="1294" t="s">
        <v>2449</v>
      </c>
      <c r="K636" s="1294" t="s">
        <v>2422</v>
      </c>
      <c r="L636" s="1294" t="s">
        <v>2450</v>
      </c>
      <c r="M636" s="1294" t="s">
        <v>711</v>
      </c>
      <c r="N636" s="1296" t="s">
        <v>2452</v>
      </c>
    </row>
    <row r="637" spans="1:14" hidden="1" x14ac:dyDescent="0.3">
      <c r="A637" s="1293">
        <v>8412</v>
      </c>
      <c r="B637" s="1294" t="s">
        <v>3154</v>
      </c>
      <c r="C637" s="1294" t="s">
        <v>540</v>
      </c>
      <c r="D637" s="1295">
        <v>44536</v>
      </c>
      <c r="E637" s="1295">
        <v>44536</v>
      </c>
      <c r="F637" s="1294" t="s">
        <v>2418</v>
      </c>
      <c r="G637" s="1294" t="s">
        <v>3155</v>
      </c>
      <c r="H637" s="1294" t="s">
        <v>276</v>
      </c>
      <c r="I637" s="1294" t="s">
        <v>1238</v>
      </c>
      <c r="J637" s="1294" t="s">
        <v>2553</v>
      </c>
      <c r="K637" s="1294" t="s">
        <v>2459</v>
      </c>
      <c r="L637" s="1294" t="s">
        <v>1329</v>
      </c>
      <c r="M637" s="1294" t="s">
        <v>765</v>
      </c>
      <c r="N637" s="1296" t="s">
        <v>115</v>
      </c>
    </row>
    <row r="638" spans="1:14" hidden="1" x14ac:dyDescent="0.3">
      <c r="A638" s="1293">
        <v>3441</v>
      </c>
      <c r="B638" s="1294" t="s">
        <v>3156</v>
      </c>
      <c r="C638" s="1294" t="s">
        <v>1681</v>
      </c>
      <c r="D638" s="1295">
        <v>45761</v>
      </c>
      <c r="E638" s="1295">
        <v>45761</v>
      </c>
      <c r="F638" s="1294" t="s">
        <v>2418</v>
      </c>
      <c r="G638" s="1294" t="s">
        <v>2419</v>
      </c>
      <c r="H638" s="1294" t="s">
        <v>276</v>
      </c>
      <c r="I638" s="1294" t="s">
        <v>1238</v>
      </c>
      <c r="J638" s="1294" t="s">
        <v>2421</v>
      </c>
      <c r="K638" s="1294" t="s">
        <v>2422</v>
      </c>
      <c r="L638" s="1294" t="s">
        <v>1353</v>
      </c>
      <c r="M638" s="1294" t="s">
        <v>711</v>
      </c>
      <c r="N638" s="1296" t="s">
        <v>114</v>
      </c>
    </row>
    <row r="639" spans="1:14" hidden="1" x14ac:dyDescent="0.3">
      <c r="A639" s="1293">
        <v>2349</v>
      </c>
      <c r="B639" s="1294" t="s">
        <v>3157</v>
      </c>
      <c r="C639" s="1294" t="s">
        <v>1683</v>
      </c>
      <c r="D639" s="1295">
        <v>44263</v>
      </c>
      <c r="E639" s="1295">
        <v>44263</v>
      </c>
      <c r="F639" s="1294" t="s">
        <v>2418</v>
      </c>
      <c r="G639" s="1294" t="s">
        <v>2508</v>
      </c>
      <c r="H639" s="1294" t="s">
        <v>276</v>
      </c>
      <c r="I639" s="1294" t="s">
        <v>1238</v>
      </c>
      <c r="J639" s="1294" t="s">
        <v>1354</v>
      </c>
      <c r="K639" s="1294" t="s">
        <v>2422</v>
      </c>
      <c r="L639" s="1294" t="s">
        <v>1332</v>
      </c>
      <c r="M639" s="1294" t="s">
        <v>711</v>
      </c>
      <c r="N639" s="1296" t="s">
        <v>115</v>
      </c>
    </row>
    <row r="640" spans="1:14" hidden="1" x14ac:dyDescent="0.3">
      <c r="A640" s="1293">
        <v>3350</v>
      </c>
      <c r="B640" s="1294" t="s">
        <v>3158</v>
      </c>
      <c r="C640" s="1294" t="s">
        <v>540</v>
      </c>
      <c r="D640" s="1295">
        <v>45411</v>
      </c>
      <c r="E640" s="1295">
        <v>45411</v>
      </c>
      <c r="F640" s="1294" t="s">
        <v>2418</v>
      </c>
      <c r="G640" s="1294" t="s">
        <v>2960</v>
      </c>
      <c r="H640" s="1294" t="s">
        <v>276</v>
      </c>
      <c r="I640" s="1294" t="s">
        <v>1239</v>
      </c>
      <c r="J640" s="1294" t="s">
        <v>1351</v>
      </c>
      <c r="K640" s="1294" t="s">
        <v>2459</v>
      </c>
      <c r="L640" s="1294" t="s">
        <v>1329</v>
      </c>
      <c r="M640" s="1294" t="s">
        <v>765</v>
      </c>
      <c r="N640" s="1296" t="s">
        <v>115</v>
      </c>
    </row>
    <row r="641" spans="1:14" hidden="1" x14ac:dyDescent="0.3">
      <c r="A641" s="1293">
        <v>3217</v>
      </c>
      <c r="B641" s="1294" t="s">
        <v>3159</v>
      </c>
      <c r="C641" s="1294" t="s">
        <v>1680</v>
      </c>
      <c r="D641" s="1295">
        <v>45152</v>
      </c>
      <c r="E641" s="1295">
        <v>45152</v>
      </c>
      <c r="F641" s="1294" t="s">
        <v>2418</v>
      </c>
      <c r="G641" s="1294" t="s">
        <v>2419</v>
      </c>
      <c r="H641" s="1294" t="s">
        <v>276</v>
      </c>
      <c r="I641" s="1294" t="s">
        <v>1238</v>
      </c>
      <c r="J641" s="1294" t="s">
        <v>2431</v>
      </c>
      <c r="K641" s="1294" t="s">
        <v>2422</v>
      </c>
      <c r="L641" s="1294" t="s">
        <v>2432</v>
      </c>
      <c r="M641" s="1294" t="s">
        <v>711</v>
      </c>
      <c r="N641" s="1296" t="s">
        <v>113</v>
      </c>
    </row>
    <row r="642" spans="1:14" hidden="1" x14ac:dyDescent="0.3">
      <c r="A642" s="1293">
        <v>1455</v>
      </c>
      <c r="B642" s="1294" t="s">
        <v>3160</v>
      </c>
      <c r="C642" s="1294" t="s">
        <v>1681</v>
      </c>
      <c r="D642" s="1295">
        <v>42359</v>
      </c>
      <c r="E642" s="1295">
        <v>42359</v>
      </c>
      <c r="F642" s="1294" t="s">
        <v>2418</v>
      </c>
      <c r="G642" s="1294" t="s">
        <v>2419</v>
      </c>
      <c r="H642" s="1294" t="s">
        <v>276</v>
      </c>
      <c r="I642" s="1294" t="s">
        <v>1237</v>
      </c>
      <c r="J642" s="1294" t="s">
        <v>2427</v>
      </c>
      <c r="K642" s="1294" t="s">
        <v>2422</v>
      </c>
      <c r="L642" s="1294" t="s">
        <v>1350</v>
      </c>
      <c r="M642" s="1294" t="s">
        <v>711</v>
      </c>
      <c r="N642" s="1296" t="s">
        <v>114</v>
      </c>
    </row>
    <row r="643" spans="1:14" hidden="1" x14ac:dyDescent="0.3">
      <c r="A643" s="1293">
        <v>2853</v>
      </c>
      <c r="B643" s="1294" t="s">
        <v>3161</v>
      </c>
      <c r="C643" s="1294" t="s">
        <v>1680</v>
      </c>
      <c r="D643" s="1295">
        <v>44648</v>
      </c>
      <c r="E643" s="1295">
        <v>44648</v>
      </c>
      <c r="F643" s="1294" t="s">
        <v>2418</v>
      </c>
      <c r="G643" s="1294" t="s">
        <v>2419</v>
      </c>
      <c r="H643" s="1294" t="s">
        <v>276</v>
      </c>
      <c r="I643" s="1294" t="s">
        <v>1238</v>
      </c>
      <c r="J643" s="1294" t="s">
        <v>2431</v>
      </c>
      <c r="K643" s="1294" t="s">
        <v>2422</v>
      </c>
      <c r="L643" s="1294" t="s">
        <v>2432</v>
      </c>
      <c r="M643" s="1294" t="s">
        <v>711</v>
      </c>
      <c r="N643" s="1296" t="s">
        <v>113</v>
      </c>
    </row>
    <row r="644" spans="1:14" hidden="1" x14ac:dyDescent="0.3">
      <c r="A644" s="1293">
        <v>3365</v>
      </c>
      <c r="B644" s="1294" t="s">
        <v>3162</v>
      </c>
      <c r="C644" s="1294" t="s">
        <v>1681</v>
      </c>
      <c r="D644" s="1295">
        <v>45474</v>
      </c>
      <c r="E644" s="1295">
        <v>45474</v>
      </c>
      <c r="F644" s="1294" t="s">
        <v>2418</v>
      </c>
      <c r="G644" s="1294" t="s">
        <v>2419</v>
      </c>
      <c r="H644" s="1294" t="s">
        <v>276</v>
      </c>
      <c r="I644" s="1294" t="s">
        <v>1239</v>
      </c>
      <c r="J644" s="1294" t="s">
        <v>2421</v>
      </c>
      <c r="K644" s="1294" t="s">
        <v>2422</v>
      </c>
      <c r="L644" s="1294" t="s">
        <v>1353</v>
      </c>
      <c r="M644" s="1294" t="s">
        <v>711</v>
      </c>
      <c r="N644" s="1296" t="s">
        <v>114</v>
      </c>
    </row>
    <row r="645" spans="1:14" hidden="1" x14ac:dyDescent="0.3">
      <c r="A645" s="1293">
        <v>2970</v>
      </c>
      <c r="B645" s="1294" t="s">
        <v>3163</v>
      </c>
      <c r="C645" s="1294" t="s">
        <v>2451</v>
      </c>
      <c r="D645" s="1295">
        <v>44791</v>
      </c>
      <c r="E645" s="1295">
        <v>44791</v>
      </c>
      <c r="F645" s="1294" t="s">
        <v>2418</v>
      </c>
      <c r="G645" s="1294" t="s">
        <v>2419</v>
      </c>
      <c r="H645" s="1294" t="s">
        <v>276</v>
      </c>
      <c r="I645" s="1294" t="s">
        <v>1239</v>
      </c>
      <c r="J645" s="1294" t="s">
        <v>2449</v>
      </c>
      <c r="K645" s="1294" t="s">
        <v>2422</v>
      </c>
      <c r="L645" s="1294" t="s">
        <v>2450</v>
      </c>
      <c r="M645" s="1294" t="s">
        <v>711</v>
      </c>
      <c r="N645" s="1296" t="s">
        <v>2452</v>
      </c>
    </row>
    <row r="646" spans="1:14" hidden="1" x14ac:dyDescent="0.3">
      <c r="A646" s="1293">
        <v>3424</v>
      </c>
      <c r="B646" s="1294" t="s">
        <v>3164</v>
      </c>
      <c r="C646" s="1294" t="s">
        <v>540</v>
      </c>
      <c r="D646" s="1295">
        <v>45688</v>
      </c>
      <c r="E646" s="1295">
        <v>45688</v>
      </c>
      <c r="F646" s="1294" t="s">
        <v>2418</v>
      </c>
      <c r="G646" s="1294" t="s">
        <v>2727</v>
      </c>
      <c r="H646" s="1294" t="s">
        <v>276</v>
      </c>
      <c r="I646" s="1294" t="s">
        <v>1239</v>
      </c>
      <c r="J646" s="1294" t="s">
        <v>1351</v>
      </c>
      <c r="K646" s="1294" t="s">
        <v>2459</v>
      </c>
      <c r="L646" s="1294" t="s">
        <v>1329</v>
      </c>
      <c r="M646" s="1294" t="s">
        <v>765</v>
      </c>
      <c r="N646" s="1296" t="s">
        <v>115</v>
      </c>
    </row>
    <row r="647" spans="1:14" hidden="1" x14ac:dyDescent="0.3">
      <c r="A647" s="1293">
        <v>2884</v>
      </c>
      <c r="B647" s="1294" t="s">
        <v>3165</v>
      </c>
      <c r="C647" s="1294" t="s">
        <v>2451</v>
      </c>
      <c r="D647" s="1295">
        <v>44685</v>
      </c>
      <c r="E647" s="1295">
        <v>44685</v>
      </c>
      <c r="F647" s="1294" t="s">
        <v>2418</v>
      </c>
      <c r="G647" s="1294" t="s">
        <v>2419</v>
      </c>
      <c r="H647" s="1294" t="s">
        <v>3167</v>
      </c>
      <c r="I647" s="1294" t="s">
        <v>3166</v>
      </c>
      <c r="J647" s="1294" t="s">
        <v>2449</v>
      </c>
      <c r="K647" s="1294" t="s">
        <v>2422</v>
      </c>
      <c r="L647" s="1294" t="s">
        <v>2450</v>
      </c>
      <c r="M647" s="1294" t="s">
        <v>713</v>
      </c>
      <c r="N647" s="1296" t="s">
        <v>2452</v>
      </c>
    </row>
  </sheetData>
  <conditionalFormatting sqref="A1:A64">
    <cfRule type="duplicateValues" dxfId="0" priority="1"/>
  </conditionalFormatting>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E0F1A-88EC-4B4C-89D2-61306DE57036}">
  <sheetPr codeName="Sheet10">
    <tabColor theme="1"/>
    <pageSetUpPr autoPageBreaks="0"/>
  </sheetPr>
  <dimension ref="A1:AH690"/>
  <sheetViews>
    <sheetView showGridLines="0" workbookViewId="0">
      <selection activeCell="A7" sqref="A7:E7"/>
    </sheetView>
  </sheetViews>
  <sheetFormatPr defaultColWidth="10.77734375" defaultRowHeight="13.8" x14ac:dyDescent="0.25"/>
  <cols>
    <col min="1" max="1" width="24.44140625" style="2" bestFit="1" customWidth="1"/>
    <col min="2" max="2" width="40.44140625" style="2" bestFit="1" customWidth="1"/>
    <col min="3" max="3" width="69.44140625" style="2" bestFit="1" customWidth="1"/>
    <col min="4" max="4" width="20.44140625" style="2" bestFit="1" customWidth="1"/>
    <col min="5" max="5" width="21.44140625" style="2" bestFit="1" customWidth="1"/>
    <col min="6" max="6" width="14.44140625" style="366" bestFit="1" customWidth="1"/>
    <col min="7" max="7" width="12.77734375" style="357" bestFit="1" customWidth="1"/>
    <col min="8" max="8" width="19.44140625" style="2" hidden="1" customWidth="1"/>
    <col min="9" max="9" width="23.44140625" style="2" hidden="1" customWidth="1"/>
    <col min="10" max="10" width="21.21875" style="2" hidden="1" customWidth="1"/>
    <col min="11" max="11" width="20" style="2" hidden="1" customWidth="1"/>
    <col min="12" max="12" width="10.77734375" style="2"/>
    <col min="13" max="14" width="0" style="2" hidden="1" customWidth="1"/>
    <col min="15" max="15" width="27.44140625" style="2" hidden="1" customWidth="1"/>
    <col min="16" max="21" width="0" style="2" hidden="1" customWidth="1"/>
    <col min="22" max="22" width="61.21875" style="2" hidden="1" customWidth="1"/>
    <col min="23" max="23" width="33.77734375" style="2" hidden="1" customWidth="1"/>
    <col min="24" max="33" width="0" style="2" hidden="1" customWidth="1"/>
    <col min="34" max="16384" width="10.77734375" style="2"/>
  </cols>
  <sheetData>
    <row r="1" spans="1:34" s="469" customFormat="1" x14ac:dyDescent="0.25">
      <c r="A1" s="1662" t="s">
        <v>1299</v>
      </c>
      <c r="B1" s="1662"/>
      <c r="C1" s="1662"/>
    </row>
    <row r="2" spans="1:34" s="469" customFormat="1" x14ac:dyDescent="0.25">
      <c r="A2" s="1662"/>
      <c r="B2" s="1662"/>
      <c r="C2" s="1662"/>
    </row>
    <row r="3" spans="1:34" x14ac:dyDescent="0.25">
      <c r="A3" s="2045" t="s">
        <v>232</v>
      </c>
      <c r="B3" s="2046"/>
      <c r="C3" s="2046"/>
      <c r="D3" s="2046"/>
      <c r="E3" s="2046"/>
      <c r="F3" s="2046"/>
      <c r="G3" s="2046"/>
      <c r="V3" s="31" t="s">
        <v>1300</v>
      </c>
    </row>
    <row r="4" spans="1:34" x14ac:dyDescent="0.25">
      <c r="B4" s="4"/>
      <c r="C4" s="4"/>
      <c r="D4" s="4"/>
      <c r="E4" s="4"/>
    </row>
    <row r="5" spans="1:34" x14ac:dyDescent="0.25">
      <c r="H5" s="31" t="s">
        <v>1301</v>
      </c>
      <c r="M5" s="31" t="s">
        <v>1302</v>
      </c>
      <c r="V5" s="31" t="s">
        <v>1303</v>
      </c>
    </row>
    <row r="6" spans="1:34" x14ac:dyDescent="0.25">
      <c r="C6" s="31"/>
    </row>
    <row r="7" spans="1:34" ht="15" x14ac:dyDescent="0.25">
      <c r="A7" s="31" t="s">
        <v>1304</v>
      </c>
      <c r="B7" s="31" t="s">
        <v>1305</v>
      </c>
      <c r="C7" s="31" t="s">
        <v>598</v>
      </c>
      <c r="D7" s="31" t="s">
        <v>599</v>
      </c>
      <c r="E7" s="31" t="s">
        <v>1306</v>
      </c>
      <c r="F7" s="367"/>
      <c r="G7" s="368"/>
      <c r="H7" s="103" t="s">
        <v>1307</v>
      </c>
      <c r="I7" s="103" t="s">
        <v>1308</v>
      </c>
      <c r="J7" s="103" t="s">
        <v>110</v>
      </c>
      <c r="K7" s="103" t="s">
        <v>109</v>
      </c>
      <c r="M7" s="369" t="s">
        <v>1309</v>
      </c>
      <c r="N7" s="369" t="s">
        <v>173</v>
      </c>
      <c r="O7" s="369" t="s">
        <v>1310</v>
      </c>
      <c r="P7" s="370" t="s">
        <v>1311</v>
      </c>
      <c r="Q7" s="370" t="s">
        <v>1312</v>
      </c>
      <c r="R7" s="370" t="s">
        <v>1313</v>
      </c>
      <c r="S7" s="370" t="s">
        <v>1314</v>
      </c>
      <c r="X7" s="2047" t="s">
        <v>1192</v>
      </c>
      <c r="Y7" s="2047"/>
      <c r="Z7" s="2044" t="s">
        <v>1315</v>
      </c>
      <c r="AA7" s="2044"/>
      <c r="AB7" s="2044" t="s">
        <v>1316</v>
      </c>
      <c r="AC7" s="2044"/>
      <c r="AD7" s="2044" t="s">
        <v>1317</v>
      </c>
      <c r="AE7" s="2044"/>
      <c r="AF7" s="2044" t="s">
        <v>1318</v>
      </c>
      <c r="AG7" s="2044"/>
      <c r="AH7" s="43"/>
    </row>
    <row r="8" spans="1:34" ht="15" x14ac:dyDescent="0.25">
      <c r="A8" s="2" t="s">
        <v>1319</v>
      </c>
      <c r="B8" s="2" t="s">
        <v>1320</v>
      </c>
      <c r="C8" s="2" t="s">
        <v>691</v>
      </c>
      <c r="D8" s="2" t="s">
        <v>647</v>
      </c>
      <c r="E8" s="2">
        <v>166</v>
      </c>
      <c r="M8" s="373" t="s">
        <v>206</v>
      </c>
      <c r="N8" s="373" t="s">
        <v>1321</v>
      </c>
      <c r="O8" s="373" t="s">
        <v>1322</v>
      </c>
      <c r="P8" s="374">
        <v>309.375</v>
      </c>
      <c r="Q8" s="374">
        <v>201.125</v>
      </c>
      <c r="R8" s="375">
        <v>405.16987499999999</v>
      </c>
      <c r="S8" s="375">
        <v>263.40134499999999</v>
      </c>
      <c r="U8" s="372" t="s">
        <v>173</v>
      </c>
      <c r="V8" s="372" t="s">
        <v>1323</v>
      </c>
      <c r="W8" s="376" t="s">
        <v>1324</v>
      </c>
      <c r="X8" s="371" t="s">
        <v>1306</v>
      </c>
      <c r="Y8" s="371" t="s">
        <v>110</v>
      </c>
      <c r="Z8" s="372" t="s">
        <v>1306</v>
      </c>
      <c r="AA8" s="372" t="s">
        <v>110</v>
      </c>
      <c r="AB8" s="372" t="s">
        <v>1306</v>
      </c>
      <c r="AC8" s="372" t="s">
        <v>110</v>
      </c>
      <c r="AD8" s="372" t="s">
        <v>1306</v>
      </c>
      <c r="AE8" s="372" t="s">
        <v>110</v>
      </c>
      <c r="AF8" s="372" t="s">
        <v>1306</v>
      </c>
      <c r="AG8" s="372" t="s">
        <v>110</v>
      </c>
      <c r="AH8" s="43"/>
    </row>
    <row r="9" spans="1:34" ht="15" x14ac:dyDescent="0.25">
      <c r="A9" s="2" t="s">
        <v>1319</v>
      </c>
      <c r="B9" s="2" t="s">
        <v>1320</v>
      </c>
      <c r="C9" s="2" t="s">
        <v>691</v>
      </c>
      <c r="D9" s="2" t="s">
        <v>648</v>
      </c>
      <c r="E9" s="2">
        <v>192</v>
      </c>
      <c r="G9" s="75"/>
      <c r="M9" s="373" t="s">
        <v>206</v>
      </c>
      <c r="N9" s="373" t="s">
        <v>1325</v>
      </c>
      <c r="O9" s="373" t="s">
        <v>1326</v>
      </c>
      <c r="P9" s="374">
        <v>281.25</v>
      </c>
      <c r="Q9" s="374">
        <v>174.75</v>
      </c>
      <c r="R9" s="375">
        <v>368.33624999999995</v>
      </c>
      <c r="S9" s="375">
        <v>228.85959</v>
      </c>
      <c r="U9" s="377" t="s">
        <v>114</v>
      </c>
      <c r="V9" s="378" t="s">
        <v>1327</v>
      </c>
      <c r="W9" s="379" t="s">
        <v>1328</v>
      </c>
      <c r="X9" s="380">
        <v>31.25</v>
      </c>
      <c r="Y9" s="380">
        <v>9.118493493493494</v>
      </c>
      <c r="Z9" s="380">
        <v>0</v>
      </c>
      <c r="AA9" s="380">
        <v>0</v>
      </c>
      <c r="AB9" s="380">
        <v>0</v>
      </c>
      <c r="AC9" s="381">
        <v>0</v>
      </c>
      <c r="AD9" s="381">
        <v>0</v>
      </c>
      <c r="AE9" s="380">
        <v>0</v>
      </c>
      <c r="AF9" s="381">
        <v>0</v>
      </c>
      <c r="AG9" s="380">
        <v>0</v>
      </c>
      <c r="AH9" s="43"/>
    </row>
    <row r="10" spans="1:34" ht="15" x14ac:dyDescent="0.25">
      <c r="A10" s="2" t="s">
        <v>1319</v>
      </c>
      <c r="B10" s="2" t="s">
        <v>1320</v>
      </c>
      <c r="C10" s="2" t="s">
        <v>691</v>
      </c>
      <c r="D10" s="2" t="s">
        <v>634</v>
      </c>
      <c r="E10" s="2">
        <v>240</v>
      </c>
      <c r="G10" s="75"/>
      <c r="M10" s="373" t="s">
        <v>206</v>
      </c>
      <c r="N10" s="373" t="s">
        <v>1329</v>
      </c>
      <c r="O10" s="373" t="s">
        <v>1326</v>
      </c>
      <c r="P10" s="374">
        <v>281.25</v>
      </c>
      <c r="Q10" s="374">
        <v>143.75</v>
      </c>
      <c r="R10" s="375">
        <v>368.33624999999995</v>
      </c>
      <c r="S10" s="375">
        <v>188.26075</v>
      </c>
      <c r="U10" s="377" t="s">
        <v>118</v>
      </c>
      <c r="V10" s="378" t="s">
        <v>1330</v>
      </c>
      <c r="W10" s="379" t="s">
        <v>1331</v>
      </c>
      <c r="X10" s="380">
        <v>28.14890625</v>
      </c>
      <c r="Y10" s="380">
        <v>4.1447697697697707</v>
      </c>
      <c r="Z10" s="380">
        <v>0</v>
      </c>
      <c r="AA10" s="380">
        <v>0</v>
      </c>
      <c r="AB10" s="380">
        <v>0</v>
      </c>
      <c r="AC10" s="381">
        <v>0</v>
      </c>
      <c r="AD10" s="381">
        <v>0</v>
      </c>
      <c r="AE10" s="380">
        <v>0</v>
      </c>
      <c r="AF10" s="381">
        <v>0</v>
      </c>
      <c r="AG10" s="380">
        <v>0</v>
      </c>
      <c r="AH10" s="43"/>
    </row>
    <row r="11" spans="1:34" ht="15" x14ac:dyDescent="0.25">
      <c r="A11" s="2" t="s">
        <v>1319</v>
      </c>
      <c r="B11" s="2" t="s">
        <v>1320</v>
      </c>
      <c r="C11" s="2" t="s">
        <v>691</v>
      </c>
      <c r="D11" s="2" t="s">
        <v>649</v>
      </c>
      <c r="E11" s="2">
        <v>240</v>
      </c>
      <c r="G11" s="75"/>
      <c r="M11" s="373" t="s">
        <v>206</v>
      </c>
      <c r="N11" s="373" t="s">
        <v>1332</v>
      </c>
      <c r="O11" s="373" t="s">
        <v>1333</v>
      </c>
      <c r="P11" s="374">
        <v>249.375</v>
      </c>
      <c r="Q11" s="374">
        <v>134.375</v>
      </c>
      <c r="R11" s="375">
        <v>326.591475</v>
      </c>
      <c r="S11" s="375">
        <v>175.98287499999998</v>
      </c>
      <c r="U11" s="377" t="s">
        <v>116</v>
      </c>
      <c r="V11" s="378" t="s">
        <v>1334</v>
      </c>
      <c r="W11" s="379" t="s">
        <v>1335</v>
      </c>
      <c r="X11" s="380">
        <v>43.75</v>
      </c>
      <c r="Y11" s="380">
        <v>25.075857107107108</v>
      </c>
      <c r="Z11" s="380">
        <v>131.25</v>
      </c>
      <c r="AA11" s="380">
        <v>87.801431217154658</v>
      </c>
      <c r="AB11" s="380">
        <v>155</v>
      </c>
      <c r="AC11" s="381">
        <v>80.102969665290303</v>
      </c>
      <c r="AD11" s="381">
        <v>134.375</v>
      </c>
      <c r="AE11" s="380">
        <v>87.702481619810655</v>
      </c>
      <c r="AF11" s="381">
        <v>150</v>
      </c>
      <c r="AG11" s="380">
        <v>74.18981481481481</v>
      </c>
      <c r="AH11" s="43"/>
    </row>
    <row r="12" spans="1:34" ht="15" x14ac:dyDescent="0.25">
      <c r="A12" s="2" t="s">
        <v>1319</v>
      </c>
      <c r="B12" s="2" t="s">
        <v>1320</v>
      </c>
      <c r="C12" s="2" t="s">
        <v>691</v>
      </c>
      <c r="D12" s="2" t="s">
        <v>635</v>
      </c>
      <c r="E12" s="2">
        <v>280</v>
      </c>
      <c r="G12" s="75"/>
      <c r="M12" s="373" t="s">
        <v>206</v>
      </c>
      <c r="N12" s="373" t="s">
        <v>1336</v>
      </c>
      <c r="O12" s="373" t="s">
        <v>1336</v>
      </c>
      <c r="P12" s="374">
        <v>231.25</v>
      </c>
      <c r="Q12" s="374">
        <v>100</v>
      </c>
      <c r="R12" s="375">
        <v>302.85424999999998</v>
      </c>
      <c r="S12" s="375">
        <v>130.964</v>
      </c>
      <c r="U12" s="377" t="s">
        <v>116</v>
      </c>
      <c r="V12" s="378" t="s">
        <v>1337</v>
      </c>
      <c r="W12" s="379" t="s">
        <v>1338</v>
      </c>
      <c r="X12" s="380">
        <v>53.75</v>
      </c>
      <c r="Y12" s="380">
        <v>25.697572572572575</v>
      </c>
      <c r="Z12" s="380">
        <v>188.125</v>
      </c>
      <c r="AA12" s="380">
        <v>115.77942735235237</v>
      </c>
      <c r="AB12" s="380">
        <v>180.625</v>
      </c>
      <c r="AC12" s="381">
        <v>116.12023421534268</v>
      </c>
      <c r="AD12" s="381">
        <v>192.5</v>
      </c>
      <c r="AE12" s="380">
        <v>115.65705483128183</v>
      </c>
      <c r="AF12" s="381">
        <v>197.5</v>
      </c>
      <c r="AG12" s="380">
        <v>104.86111111111111</v>
      </c>
      <c r="AH12" s="43"/>
    </row>
    <row r="13" spans="1:34" ht="15" x14ac:dyDescent="0.25">
      <c r="A13" s="2" t="s">
        <v>1319</v>
      </c>
      <c r="B13" s="2" t="s">
        <v>1320</v>
      </c>
      <c r="C13" s="2" t="s">
        <v>691</v>
      </c>
      <c r="D13" s="2" t="s">
        <v>650</v>
      </c>
      <c r="E13" s="2">
        <v>280</v>
      </c>
      <c r="G13" s="75"/>
      <c r="M13" s="373" t="s">
        <v>206</v>
      </c>
      <c r="N13" s="373" t="s">
        <v>1339</v>
      </c>
      <c r="O13" s="373" t="s">
        <v>1340</v>
      </c>
      <c r="P13" s="374">
        <v>215.625</v>
      </c>
      <c r="Q13" s="374">
        <v>81.25</v>
      </c>
      <c r="R13" s="375">
        <v>282.39112499999999</v>
      </c>
      <c r="S13" s="375">
        <v>106.40825</v>
      </c>
      <c r="U13" s="377" t="s">
        <v>116</v>
      </c>
      <c r="V13" s="378" t="s">
        <v>1341</v>
      </c>
      <c r="W13" s="379" t="s">
        <v>1342</v>
      </c>
      <c r="X13" s="380">
        <v>31.25</v>
      </c>
      <c r="Y13" s="380">
        <v>14.921171171171173</v>
      </c>
      <c r="Z13" s="380">
        <v>93.75</v>
      </c>
      <c r="AA13" s="380">
        <v>79.143454803240743</v>
      </c>
      <c r="AB13" s="380">
        <v>103.125</v>
      </c>
      <c r="AC13" s="381">
        <v>79.490770353101354</v>
      </c>
      <c r="AD13" s="381">
        <v>95.625</v>
      </c>
      <c r="AE13" s="380">
        <v>79.051753584951072</v>
      </c>
      <c r="AF13" s="381">
        <v>140</v>
      </c>
      <c r="AG13" s="380">
        <v>68.055555555555557</v>
      </c>
      <c r="AH13" s="43"/>
    </row>
    <row r="14" spans="1:34" ht="15" x14ac:dyDescent="0.25">
      <c r="A14" s="2" t="s">
        <v>1319</v>
      </c>
      <c r="B14" s="2" t="s">
        <v>1320</v>
      </c>
      <c r="C14" s="2" t="s">
        <v>691</v>
      </c>
      <c r="D14" s="2" t="s">
        <v>636</v>
      </c>
      <c r="E14" s="2">
        <v>300</v>
      </c>
      <c r="G14" s="75"/>
      <c r="M14" s="373" t="s">
        <v>206</v>
      </c>
      <c r="N14" s="373" t="s">
        <v>1343</v>
      </c>
      <c r="O14" s="373" t="s">
        <v>1344</v>
      </c>
      <c r="P14" s="374">
        <v>193.75</v>
      </c>
      <c r="Q14" s="374">
        <v>65.625</v>
      </c>
      <c r="R14" s="375">
        <v>253.74274999999997</v>
      </c>
      <c r="S14" s="375">
        <v>85.94512499999999</v>
      </c>
      <c r="U14" s="377" t="s">
        <v>117</v>
      </c>
      <c r="V14" s="378" t="s">
        <v>1345</v>
      </c>
      <c r="W14" s="379" t="s">
        <v>1346</v>
      </c>
      <c r="X14" s="380">
        <v>47.5</v>
      </c>
      <c r="Y14" s="380">
        <v>28.868321446446448</v>
      </c>
      <c r="Z14" s="380">
        <v>140.625</v>
      </c>
      <c r="AA14" s="380">
        <v>99.978365750594349</v>
      </c>
      <c r="AB14" s="380">
        <v>171.875</v>
      </c>
      <c r="AC14" s="381">
        <v>77.125601010072572</v>
      </c>
      <c r="AD14" s="381">
        <v>144.375</v>
      </c>
      <c r="AE14" s="380">
        <v>99.86922173448562</v>
      </c>
      <c r="AF14" s="381">
        <v>172.5</v>
      </c>
      <c r="AG14" s="380">
        <v>110.99537037037037</v>
      </c>
      <c r="AH14" s="43"/>
    </row>
    <row r="15" spans="1:34" ht="15" x14ac:dyDescent="0.25">
      <c r="A15" s="2" t="s">
        <v>1319</v>
      </c>
      <c r="B15" s="2" t="s">
        <v>1320</v>
      </c>
      <c r="C15" s="2" t="s">
        <v>691</v>
      </c>
      <c r="D15" s="2" t="s">
        <v>651</v>
      </c>
      <c r="E15" s="2">
        <v>300</v>
      </c>
      <c r="G15" s="75"/>
      <c r="M15" s="373" t="s">
        <v>206</v>
      </c>
      <c r="N15" s="373" t="s">
        <v>1347</v>
      </c>
      <c r="O15" s="373" t="s">
        <v>1348</v>
      </c>
      <c r="P15" s="374">
        <v>168.75</v>
      </c>
      <c r="Q15" s="374">
        <v>56.25</v>
      </c>
      <c r="R15" s="375">
        <v>221.00174999999999</v>
      </c>
      <c r="S15" s="375">
        <v>73.667249999999996</v>
      </c>
      <c r="U15" s="377" t="s">
        <v>118</v>
      </c>
      <c r="V15" s="378" t="s">
        <v>1337</v>
      </c>
      <c r="W15" s="379" t="s">
        <v>1349</v>
      </c>
      <c r="X15" s="380">
        <v>53.75</v>
      </c>
      <c r="Y15" s="380">
        <v>29.44237205955956</v>
      </c>
      <c r="Z15" s="380">
        <v>188.125</v>
      </c>
      <c r="AA15" s="380">
        <v>94.388623389952443</v>
      </c>
      <c r="AB15" s="380">
        <v>180.625</v>
      </c>
      <c r="AC15" s="381">
        <v>76.111963526026031</v>
      </c>
      <c r="AD15" s="381">
        <v>192.5</v>
      </c>
      <c r="AE15" s="380">
        <v>94.284159055273776</v>
      </c>
      <c r="AF15" s="381">
        <v>207.5</v>
      </c>
      <c r="AG15" s="380">
        <v>110.99537037037037</v>
      </c>
      <c r="AH15" s="43"/>
    </row>
    <row r="16" spans="1:34" ht="15" x14ac:dyDescent="0.25">
      <c r="A16" s="2" t="s">
        <v>1319</v>
      </c>
      <c r="B16" s="2" t="s">
        <v>1320</v>
      </c>
      <c r="C16" s="2" t="s">
        <v>694</v>
      </c>
      <c r="D16" s="2" t="s">
        <v>647</v>
      </c>
      <c r="E16" s="2">
        <v>166</v>
      </c>
      <c r="G16" s="75"/>
      <c r="M16" s="373" t="s">
        <v>206</v>
      </c>
      <c r="N16" s="373" t="s">
        <v>1350</v>
      </c>
      <c r="O16" s="373" t="s">
        <v>1351</v>
      </c>
      <c r="P16" s="374">
        <v>136.875</v>
      </c>
      <c r="Q16" s="374">
        <v>49.375</v>
      </c>
      <c r="R16" s="375">
        <v>179.25697499999998</v>
      </c>
      <c r="S16" s="375">
        <v>64.663474999999991</v>
      </c>
      <c r="U16" s="377" t="s">
        <v>118</v>
      </c>
      <c r="V16" s="378" t="s">
        <v>1352</v>
      </c>
      <c r="W16" s="379" t="s">
        <v>1352</v>
      </c>
      <c r="X16" s="380">
        <v>52.544625000000003</v>
      </c>
      <c r="Y16" s="380">
        <v>27.769957457457458</v>
      </c>
      <c r="Z16" s="380">
        <v>188.125</v>
      </c>
      <c r="AA16" s="380">
        <v>94.388623389952443</v>
      </c>
      <c r="AB16" s="380">
        <v>180.625</v>
      </c>
      <c r="AC16" s="381">
        <v>76.111963526026031</v>
      </c>
      <c r="AD16" s="381">
        <v>192.5</v>
      </c>
      <c r="AE16" s="380">
        <v>94.284159055273776</v>
      </c>
      <c r="AF16" s="381">
        <v>172.5</v>
      </c>
      <c r="AG16" s="380">
        <v>92.592592592592595</v>
      </c>
      <c r="AH16" s="43"/>
    </row>
    <row r="17" spans="1:34" ht="15" x14ac:dyDescent="0.25">
      <c r="A17" s="2" t="s">
        <v>1319</v>
      </c>
      <c r="B17" s="2" t="s">
        <v>1320</v>
      </c>
      <c r="C17" s="2" t="s">
        <v>694</v>
      </c>
      <c r="D17" s="2" t="s">
        <v>648</v>
      </c>
      <c r="E17" s="2">
        <v>192</v>
      </c>
      <c r="G17" s="75"/>
      <c r="M17" s="373" t="s">
        <v>206</v>
      </c>
      <c r="N17" s="373" t="s">
        <v>1353</v>
      </c>
      <c r="O17" s="373" t="s">
        <v>1354</v>
      </c>
      <c r="P17" s="374">
        <v>106.25</v>
      </c>
      <c r="Q17" s="374">
        <v>40.625</v>
      </c>
      <c r="R17" s="375">
        <v>139.14924999999999</v>
      </c>
      <c r="S17" s="375">
        <v>53.204124999999998</v>
      </c>
      <c r="U17" s="377" t="s">
        <v>118</v>
      </c>
      <c r="V17" s="378" t="s">
        <v>1355</v>
      </c>
      <c r="W17" s="379" t="s">
        <v>1356</v>
      </c>
      <c r="X17" s="380">
        <v>56.25</v>
      </c>
      <c r="Y17" s="380">
        <v>0</v>
      </c>
      <c r="Z17" s="380">
        <v>206.875</v>
      </c>
      <c r="AA17" s="380">
        <v>118.84536958833834</v>
      </c>
      <c r="AB17" s="380">
        <v>206.25</v>
      </c>
      <c r="AC17" s="381">
        <v>0</v>
      </c>
      <c r="AD17" s="381">
        <v>211.25</v>
      </c>
      <c r="AE17" s="380">
        <v>118.7204302883321</v>
      </c>
      <c r="AF17" s="381">
        <v>232.5</v>
      </c>
      <c r="AG17" s="380">
        <v>123.26388888888889</v>
      </c>
      <c r="AH17" s="43"/>
    </row>
    <row r="18" spans="1:34" ht="15" x14ac:dyDescent="0.25">
      <c r="A18" s="2" t="s">
        <v>1319</v>
      </c>
      <c r="B18" s="2" t="s">
        <v>1320</v>
      </c>
      <c r="C18" s="2" t="s">
        <v>694</v>
      </c>
      <c r="D18" s="2" t="s">
        <v>634</v>
      </c>
      <c r="E18" s="2">
        <v>240</v>
      </c>
      <c r="G18" s="75"/>
      <c r="M18" s="373" t="s">
        <v>206</v>
      </c>
      <c r="N18" s="373" t="s">
        <v>1357</v>
      </c>
      <c r="O18" s="373" t="s">
        <v>1358</v>
      </c>
      <c r="P18" s="374">
        <v>62.5</v>
      </c>
      <c r="Q18" s="374">
        <v>31.25</v>
      </c>
      <c r="R18" s="375">
        <v>81.852499999999992</v>
      </c>
      <c r="S18" s="375">
        <v>40.926249999999996</v>
      </c>
      <c r="U18" s="377" t="s">
        <v>118</v>
      </c>
      <c r="V18" s="378" t="s">
        <v>1359</v>
      </c>
      <c r="W18" s="379" t="s">
        <v>1360</v>
      </c>
      <c r="X18" s="380">
        <v>56.25</v>
      </c>
      <c r="Y18" s="380">
        <v>0</v>
      </c>
      <c r="Z18" s="380">
        <v>281.875</v>
      </c>
      <c r="AA18" s="380">
        <v>198.4223586868118</v>
      </c>
      <c r="AB18" s="380">
        <v>0</v>
      </c>
      <c r="AC18" s="381">
        <v>0</v>
      </c>
      <c r="AD18" s="381">
        <v>288.125</v>
      </c>
      <c r="AE18" s="380">
        <v>0</v>
      </c>
      <c r="AF18" s="381">
        <v>232.5</v>
      </c>
      <c r="AG18" s="380">
        <v>123.26388888888889</v>
      </c>
      <c r="AH18" s="43"/>
    </row>
    <row r="19" spans="1:34" ht="15" x14ac:dyDescent="0.25">
      <c r="A19" s="2" t="s">
        <v>1319</v>
      </c>
      <c r="B19" s="2" t="s">
        <v>1320</v>
      </c>
      <c r="C19" s="2" t="s">
        <v>694</v>
      </c>
      <c r="D19" s="2" t="s">
        <v>649</v>
      </c>
      <c r="E19" s="2">
        <v>240</v>
      </c>
      <c r="G19" s="75"/>
      <c r="M19" s="373" t="s">
        <v>206</v>
      </c>
      <c r="N19" s="373" t="s">
        <v>1361</v>
      </c>
      <c r="O19" s="373" t="s">
        <v>1362</v>
      </c>
      <c r="P19" s="374">
        <v>218.75</v>
      </c>
      <c r="Q19" s="374">
        <v>121.875</v>
      </c>
      <c r="R19" s="375">
        <v>286.48374999999999</v>
      </c>
      <c r="S19" s="375">
        <v>159.61237499999999</v>
      </c>
      <c r="U19" s="377" t="s">
        <v>117</v>
      </c>
      <c r="V19" s="378" t="s">
        <v>1363</v>
      </c>
      <c r="W19" s="379" t="s">
        <v>1364</v>
      </c>
      <c r="X19" s="380">
        <v>43.75</v>
      </c>
      <c r="Y19" s="380">
        <v>23.625187687687689</v>
      </c>
      <c r="Z19" s="380">
        <v>188.125</v>
      </c>
      <c r="AA19" s="380">
        <v>100.24599908033032</v>
      </c>
      <c r="AB19" s="380">
        <v>155</v>
      </c>
      <c r="AC19" s="381">
        <v>89.340474038726228</v>
      </c>
      <c r="AD19" s="381">
        <v>192.5</v>
      </c>
      <c r="AE19" s="380">
        <v>83.533573742492507</v>
      </c>
      <c r="AF19" s="381">
        <v>150</v>
      </c>
      <c r="AG19" s="380">
        <v>80.324074074074076</v>
      </c>
      <c r="AH19" s="43"/>
    </row>
    <row r="20" spans="1:34" ht="15" x14ac:dyDescent="0.25">
      <c r="A20" s="2" t="s">
        <v>1319</v>
      </c>
      <c r="B20" s="2" t="s">
        <v>1320</v>
      </c>
      <c r="C20" s="2" t="s">
        <v>694</v>
      </c>
      <c r="D20" s="2" t="s">
        <v>635</v>
      </c>
      <c r="E20" s="2">
        <v>280</v>
      </c>
      <c r="G20" s="75"/>
      <c r="M20" s="373" t="s">
        <v>206</v>
      </c>
      <c r="N20" s="373" t="s">
        <v>1365</v>
      </c>
      <c r="O20" s="373" t="s">
        <v>1366</v>
      </c>
      <c r="P20" s="374">
        <v>178.125</v>
      </c>
      <c r="Q20" s="374">
        <v>93.75</v>
      </c>
      <c r="R20" s="375">
        <v>233.27962499999998</v>
      </c>
      <c r="S20" s="375">
        <v>122.77874999999999</v>
      </c>
      <c r="U20" s="377" t="s">
        <v>118</v>
      </c>
      <c r="V20" s="378" t="s">
        <v>1367</v>
      </c>
      <c r="W20" s="379" t="s">
        <v>1368</v>
      </c>
      <c r="X20" s="380">
        <v>75</v>
      </c>
      <c r="Y20" s="380">
        <v>37.385823323323329</v>
      </c>
      <c r="Z20" s="380">
        <v>168.75</v>
      </c>
      <c r="AA20" s="380">
        <v>134.62223978541041</v>
      </c>
      <c r="AB20" s="380">
        <v>189.375</v>
      </c>
      <c r="AC20" s="381">
        <v>88.137184059059052</v>
      </c>
      <c r="AD20" s="381">
        <v>173.125</v>
      </c>
      <c r="AE20" s="380">
        <v>134.48409223326618</v>
      </c>
      <c r="AF20" s="381">
        <v>232.5</v>
      </c>
      <c r="AG20" s="380">
        <v>123.26388888888889</v>
      </c>
      <c r="AH20" s="43"/>
    </row>
    <row r="21" spans="1:34" ht="15" x14ac:dyDescent="0.25">
      <c r="A21" s="2" t="s">
        <v>1319</v>
      </c>
      <c r="B21" s="2" t="s">
        <v>1320</v>
      </c>
      <c r="C21" s="2" t="s">
        <v>694</v>
      </c>
      <c r="D21" s="2" t="s">
        <v>650</v>
      </c>
      <c r="E21" s="2">
        <v>280</v>
      </c>
      <c r="G21" s="75"/>
      <c r="M21" s="373" t="s">
        <v>206</v>
      </c>
      <c r="N21" s="373" t="s">
        <v>1369</v>
      </c>
      <c r="O21" s="373" t="s">
        <v>1370</v>
      </c>
      <c r="P21" s="374">
        <v>156.25</v>
      </c>
      <c r="Q21" s="374">
        <v>75</v>
      </c>
      <c r="R21" s="375">
        <v>204.63124999999999</v>
      </c>
      <c r="S21" s="375">
        <v>98.222999999999999</v>
      </c>
      <c r="U21" s="377" t="s">
        <v>118</v>
      </c>
      <c r="V21" s="378" t="s">
        <v>1355</v>
      </c>
      <c r="W21" s="379" t="s">
        <v>1371</v>
      </c>
      <c r="X21" s="380">
        <v>53.75</v>
      </c>
      <c r="Y21" s="380">
        <v>43.93455955955956</v>
      </c>
      <c r="Z21" s="380">
        <v>206.875</v>
      </c>
      <c r="AA21" s="380">
        <v>0</v>
      </c>
      <c r="AB21" s="380">
        <v>206.25</v>
      </c>
      <c r="AC21" s="381">
        <v>0</v>
      </c>
      <c r="AD21" s="381">
        <v>211.25</v>
      </c>
      <c r="AE21" s="380">
        <v>0</v>
      </c>
      <c r="AF21" s="381">
        <v>232.5</v>
      </c>
      <c r="AG21" s="380">
        <v>123.26388888888889</v>
      </c>
      <c r="AH21" s="43"/>
    </row>
    <row r="22" spans="1:34" ht="15" x14ac:dyDescent="0.25">
      <c r="A22" s="2" t="s">
        <v>1319</v>
      </c>
      <c r="B22" s="2" t="s">
        <v>1320</v>
      </c>
      <c r="C22" s="2" t="s">
        <v>694</v>
      </c>
      <c r="D22" s="2" t="s">
        <v>636</v>
      </c>
      <c r="E22" s="2">
        <v>300</v>
      </c>
      <c r="G22" s="75"/>
      <c r="M22" s="373" t="s">
        <v>206</v>
      </c>
      <c r="N22" s="373" t="s">
        <v>1372</v>
      </c>
      <c r="O22" s="373" t="s">
        <v>1373</v>
      </c>
      <c r="P22" s="374">
        <v>111.875</v>
      </c>
      <c r="Q22" s="374">
        <v>59.375</v>
      </c>
      <c r="R22" s="375">
        <v>146.515975</v>
      </c>
      <c r="S22" s="375">
        <v>77.759874999999994</v>
      </c>
      <c r="U22" s="377" t="s">
        <v>117</v>
      </c>
      <c r="V22" s="378" t="s">
        <v>1374</v>
      </c>
      <c r="W22" s="379" t="s">
        <v>1375</v>
      </c>
      <c r="X22" s="380">
        <v>23.125</v>
      </c>
      <c r="Y22" s="380">
        <v>3.7302927927927931</v>
      </c>
      <c r="Z22" s="380">
        <v>65.625</v>
      </c>
      <c r="AA22" s="380">
        <v>32.513338338338336</v>
      </c>
      <c r="AB22" s="380">
        <v>68.75</v>
      </c>
      <c r="AC22" s="381">
        <v>0</v>
      </c>
      <c r="AD22" s="381">
        <v>67.5</v>
      </c>
      <c r="AE22" s="380">
        <v>0</v>
      </c>
      <c r="AF22" s="381">
        <v>0</v>
      </c>
      <c r="AG22" s="380">
        <v>55.787037037037038</v>
      </c>
      <c r="AH22" s="43"/>
    </row>
    <row r="23" spans="1:34" ht="15" x14ac:dyDescent="0.25">
      <c r="A23" s="2" t="s">
        <v>1319</v>
      </c>
      <c r="B23" s="2" t="s">
        <v>1320</v>
      </c>
      <c r="C23" s="2" t="s">
        <v>694</v>
      </c>
      <c r="D23" s="2" t="s">
        <v>651</v>
      </c>
      <c r="E23" s="2">
        <v>300</v>
      </c>
      <c r="G23" s="75"/>
      <c r="M23" s="373" t="s">
        <v>206</v>
      </c>
      <c r="N23" s="373" t="s">
        <v>1376</v>
      </c>
      <c r="O23" s="373" t="s">
        <v>1377</v>
      </c>
      <c r="P23" s="374">
        <v>90.625</v>
      </c>
      <c r="Q23" s="374">
        <v>43.75</v>
      </c>
      <c r="R23" s="375">
        <v>118.68612499999999</v>
      </c>
      <c r="S23" s="375">
        <v>57.296749999999996</v>
      </c>
      <c r="U23" s="377" t="s">
        <v>115</v>
      </c>
      <c r="V23" s="378" t="s">
        <v>1378</v>
      </c>
      <c r="W23" s="379" t="s">
        <v>1379</v>
      </c>
      <c r="X23" s="380">
        <v>28.75</v>
      </c>
      <c r="Y23" s="380">
        <v>17.568186936936939</v>
      </c>
      <c r="Z23" s="380">
        <v>89.375</v>
      </c>
      <c r="AA23" s="380">
        <v>0</v>
      </c>
      <c r="AB23" s="380">
        <v>0</v>
      </c>
      <c r="AC23" s="381">
        <v>0</v>
      </c>
      <c r="AD23" s="381">
        <v>91.25</v>
      </c>
      <c r="AE23" s="380">
        <v>0</v>
      </c>
      <c r="AF23" s="381">
        <v>140</v>
      </c>
      <c r="AG23" s="380">
        <v>74.18981481481481</v>
      </c>
      <c r="AH23" s="43"/>
    </row>
    <row r="24" spans="1:34" ht="15" x14ac:dyDescent="0.25">
      <c r="A24" s="2" t="s">
        <v>1319</v>
      </c>
      <c r="B24" s="2" t="s">
        <v>1320</v>
      </c>
      <c r="C24" s="2" t="s">
        <v>695</v>
      </c>
      <c r="D24" s="2" t="s">
        <v>696</v>
      </c>
      <c r="E24" s="2">
        <v>375</v>
      </c>
      <c r="G24" s="75"/>
      <c r="M24" s="373" t="s">
        <v>206</v>
      </c>
      <c r="N24" s="373" t="s">
        <v>1380</v>
      </c>
      <c r="O24" s="373" t="s">
        <v>1381</v>
      </c>
      <c r="P24" s="374">
        <v>62.5</v>
      </c>
      <c r="Q24" s="374">
        <v>31.25</v>
      </c>
      <c r="R24" s="375">
        <v>81.852499999999992</v>
      </c>
      <c r="S24" s="375">
        <v>40.926249999999996</v>
      </c>
      <c r="U24" s="377" t="s">
        <v>115</v>
      </c>
      <c r="V24" s="378" t="s">
        <v>1382</v>
      </c>
      <c r="W24" s="379" t="s">
        <v>1383</v>
      </c>
      <c r="X24" s="380">
        <v>26.25</v>
      </c>
      <c r="Y24" s="380">
        <v>5.6783345845845847</v>
      </c>
      <c r="Z24" s="380">
        <v>84.375</v>
      </c>
      <c r="AA24" s="380">
        <v>41.241125880411666</v>
      </c>
      <c r="AB24" s="380">
        <v>86.25</v>
      </c>
      <c r="AC24" s="381">
        <v>41.595175095941521</v>
      </c>
      <c r="AD24" s="381">
        <v>86.875</v>
      </c>
      <c r="AE24" s="380">
        <v>41.181156146933368</v>
      </c>
      <c r="AF24" s="381">
        <v>115</v>
      </c>
      <c r="AG24" s="380">
        <v>61.921296296296298</v>
      </c>
      <c r="AH24" s="43"/>
    </row>
    <row r="25" spans="1:34" ht="15" x14ac:dyDescent="0.25">
      <c r="A25" s="2" t="s">
        <v>1319</v>
      </c>
      <c r="B25" s="2" t="s">
        <v>1320</v>
      </c>
      <c r="C25" s="2" t="s">
        <v>695</v>
      </c>
      <c r="D25" s="2" t="s">
        <v>697</v>
      </c>
      <c r="E25" s="2">
        <v>375</v>
      </c>
      <c r="G25" s="75"/>
      <c r="M25" s="373" t="s">
        <v>205</v>
      </c>
      <c r="N25" s="373" t="s">
        <v>1384</v>
      </c>
      <c r="O25" s="373" t="s">
        <v>252</v>
      </c>
      <c r="P25" s="380">
        <v>0</v>
      </c>
      <c r="Q25" s="377"/>
      <c r="R25" s="374">
        <v>0</v>
      </c>
      <c r="S25" s="377"/>
      <c r="U25" s="377" t="s">
        <v>115</v>
      </c>
      <c r="V25" s="378" t="s">
        <v>1385</v>
      </c>
      <c r="W25" s="379" t="s">
        <v>1386</v>
      </c>
      <c r="X25" s="380">
        <v>35</v>
      </c>
      <c r="Y25" s="380">
        <v>14.112941066066067</v>
      </c>
      <c r="Z25" s="380">
        <v>117.5</v>
      </c>
      <c r="AA25" s="380">
        <v>78.360162584146636</v>
      </c>
      <c r="AB25" s="380">
        <v>137.5</v>
      </c>
      <c r="AC25" s="381">
        <v>78.707617292419798</v>
      </c>
      <c r="AD25" s="381">
        <v>120</v>
      </c>
      <c r="AE25" s="380">
        <v>68.570273473473492</v>
      </c>
      <c r="AF25" s="381">
        <v>127.5</v>
      </c>
      <c r="AG25" s="380">
        <v>68.055555555555557</v>
      </c>
      <c r="AH25" s="43"/>
    </row>
    <row r="26" spans="1:34" ht="15" x14ac:dyDescent="0.25">
      <c r="A26" s="2" t="s">
        <v>1319</v>
      </c>
      <c r="B26" s="2" t="s">
        <v>1320</v>
      </c>
      <c r="C26" s="2" t="s">
        <v>695</v>
      </c>
      <c r="D26" s="2" t="s">
        <v>698</v>
      </c>
      <c r="E26" s="2">
        <v>375</v>
      </c>
      <c r="G26" s="75"/>
      <c r="M26" s="373" t="s">
        <v>205</v>
      </c>
      <c r="N26" s="373" t="s">
        <v>1387</v>
      </c>
      <c r="O26" s="373" t="s">
        <v>1354</v>
      </c>
      <c r="P26" s="375">
        <v>121.875</v>
      </c>
      <c r="Q26" s="377"/>
      <c r="R26" s="374">
        <v>159.61237499999999</v>
      </c>
      <c r="S26" s="377"/>
      <c r="U26" s="377" t="s">
        <v>115</v>
      </c>
      <c r="V26" s="378" t="s">
        <v>1388</v>
      </c>
      <c r="W26" s="379" t="s">
        <v>1388</v>
      </c>
      <c r="X26" s="380">
        <v>56.25</v>
      </c>
      <c r="Y26" s="380">
        <v>19.894894894894897</v>
      </c>
      <c r="Z26" s="380">
        <v>121.875</v>
      </c>
      <c r="AA26" s="380">
        <v>88.403415224286789</v>
      </c>
      <c r="AB26" s="380">
        <v>146.25</v>
      </c>
      <c r="AC26" s="381">
        <v>88.749085664747611</v>
      </c>
      <c r="AD26" s="381">
        <v>125</v>
      </c>
      <c r="AE26" s="380">
        <v>88.303961651410887</v>
      </c>
      <c r="AF26" s="381">
        <v>150</v>
      </c>
      <c r="AG26" s="380">
        <v>80.324074074074076</v>
      </c>
      <c r="AH26" s="43"/>
    </row>
    <row r="27" spans="1:34" ht="15" x14ac:dyDescent="0.25">
      <c r="A27" s="2" t="s">
        <v>1319</v>
      </c>
      <c r="B27" s="2" t="s">
        <v>1320</v>
      </c>
      <c r="C27" s="2" t="s">
        <v>695</v>
      </c>
      <c r="D27" s="2" t="s">
        <v>700</v>
      </c>
      <c r="E27" s="2">
        <v>375</v>
      </c>
      <c r="G27" s="75"/>
      <c r="M27" s="373" t="s">
        <v>205</v>
      </c>
      <c r="N27" s="373" t="s">
        <v>1389</v>
      </c>
      <c r="O27" s="373" t="s">
        <v>1390</v>
      </c>
      <c r="P27" s="375">
        <v>121.875</v>
      </c>
      <c r="Q27" s="377"/>
      <c r="R27" s="374">
        <v>159.61237499999999</v>
      </c>
      <c r="S27" s="377"/>
      <c r="U27" s="377" t="s">
        <v>115</v>
      </c>
      <c r="V27" s="378" t="s">
        <v>1391</v>
      </c>
      <c r="W27" s="379" t="s">
        <v>1392</v>
      </c>
      <c r="X27" s="380">
        <v>26.25</v>
      </c>
      <c r="Y27" s="380">
        <v>10.776401401401403</v>
      </c>
      <c r="Z27" s="380">
        <v>84.375</v>
      </c>
      <c r="AA27" s="380">
        <v>45.780961277683929</v>
      </c>
      <c r="AB27" s="380">
        <v>86.25</v>
      </c>
      <c r="AC27" s="381">
        <v>46.134203953493738</v>
      </c>
      <c r="AD27" s="381">
        <v>86.875</v>
      </c>
      <c r="AE27" s="380">
        <v>45.717190835329724</v>
      </c>
      <c r="AF27" s="381">
        <v>115</v>
      </c>
      <c r="AG27" s="380">
        <v>61.921296296296298</v>
      </c>
      <c r="AH27" s="43"/>
    </row>
    <row r="28" spans="1:34" ht="15" x14ac:dyDescent="0.25">
      <c r="A28" s="2" t="s">
        <v>1319</v>
      </c>
      <c r="B28" s="2" t="s">
        <v>1320</v>
      </c>
      <c r="C28" s="2" t="s">
        <v>695</v>
      </c>
      <c r="D28" s="2" t="s">
        <v>701</v>
      </c>
      <c r="E28" s="2">
        <v>375</v>
      </c>
      <c r="G28" s="75"/>
      <c r="M28" s="373" t="s">
        <v>205</v>
      </c>
      <c r="N28" s="373" t="s">
        <v>1393</v>
      </c>
      <c r="O28" s="373" t="s">
        <v>1390</v>
      </c>
      <c r="P28" s="375">
        <v>121.875</v>
      </c>
      <c r="Q28" s="377"/>
      <c r="R28" s="374">
        <v>159.61237499999999</v>
      </c>
      <c r="S28" s="377"/>
      <c r="U28" s="377" t="s">
        <v>115</v>
      </c>
      <c r="V28" s="378" t="s">
        <v>1390</v>
      </c>
      <c r="W28" s="379" t="s">
        <v>1394</v>
      </c>
      <c r="X28" s="380">
        <v>30</v>
      </c>
      <c r="Y28" s="380">
        <v>14.921171171171173</v>
      </c>
      <c r="Z28" s="380">
        <v>108.125</v>
      </c>
      <c r="AA28" s="380">
        <v>67.765600563532288</v>
      </c>
      <c r="AB28" s="380">
        <v>128.75</v>
      </c>
      <c r="AC28" s="381">
        <v>56.691949659034044</v>
      </c>
      <c r="AD28" s="381">
        <v>110.625</v>
      </c>
      <c r="AE28" s="380">
        <v>71.859554920858358</v>
      </c>
      <c r="AF28" s="381">
        <v>140</v>
      </c>
      <c r="AG28" s="380">
        <v>74.18981481481481</v>
      </c>
      <c r="AH28" s="43"/>
    </row>
    <row r="29" spans="1:34" ht="15" x14ac:dyDescent="0.25">
      <c r="A29" s="2" t="s">
        <v>1319</v>
      </c>
      <c r="B29" s="2" t="s">
        <v>1320</v>
      </c>
      <c r="C29" s="2" t="s">
        <v>695</v>
      </c>
      <c r="D29" s="2" t="s">
        <v>702</v>
      </c>
      <c r="E29" s="2">
        <v>375</v>
      </c>
      <c r="G29" s="75"/>
      <c r="M29" s="373" t="s">
        <v>205</v>
      </c>
      <c r="N29" s="373" t="s">
        <v>1395</v>
      </c>
      <c r="O29" s="373" t="s">
        <v>1396</v>
      </c>
      <c r="P29" s="375">
        <v>125</v>
      </c>
      <c r="Q29" s="377"/>
      <c r="R29" s="374">
        <v>163.70499999999998</v>
      </c>
      <c r="S29" s="377"/>
      <c r="U29" s="377" t="s">
        <v>117</v>
      </c>
      <c r="V29" s="378" t="s">
        <v>1397</v>
      </c>
      <c r="W29" s="379" t="s">
        <v>1398</v>
      </c>
      <c r="X29" s="380">
        <v>38.125</v>
      </c>
      <c r="Y29" s="380">
        <v>17.609336211211211</v>
      </c>
      <c r="Z29" s="380">
        <v>121.875</v>
      </c>
      <c r="AA29" s="380">
        <v>0</v>
      </c>
      <c r="AB29" s="380">
        <v>146.25</v>
      </c>
      <c r="AC29" s="381">
        <v>0</v>
      </c>
      <c r="AD29" s="381">
        <v>125</v>
      </c>
      <c r="AE29" s="380">
        <v>0</v>
      </c>
      <c r="AF29" s="381">
        <v>150</v>
      </c>
      <c r="AG29" s="380">
        <v>80.324074074074076</v>
      </c>
      <c r="AH29" s="43"/>
    </row>
    <row r="30" spans="1:34" ht="15" x14ac:dyDescent="0.25">
      <c r="A30" s="2" t="s">
        <v>1319</v>
      </c>
      <c r="B30" s="2" t="s">
        <v>1320</v>
      </c>
      <c r="C30" s="2" t="s">
        <v>695</v>
      </c>
      <c r="D30" s="2" t="s">
        <v>705</v>
      </c>
      <c r="E30" s="2">
        <v>375</v>
      </c>
      <c r="G30" s="75"/>
      <c r="M30" s="373" t="s">
        <v>205</v>
      </c>
      <c r="N30" s="373" t="s">
        <v>1399</v>
      </c>
      <c r="O30" s="373" t="s">
        <v>1400</v>
      </c>
      <c r="P30" s="375">
        <v>125</v>
      </c>
      <c r="Q30" s="377"/>
      <c r="R30" s="374">
        <v>163.70499999999998</v>
      </c>
      <c r="S30" s="377"/>
      <c r="U30" s="377" t="s">
        <v>116</v>
      </c>
      <c r="V30" s="378" t="s">
        <v>1401</v>
      </c>
      <c r="W30" s="379" t="s">
        <v>536</v>
      </c>
      <c r="X30" s="380">
        <v>42.5</v>
      </c>
      <c r="Y30" s="380">
        <v>22.852602602602605</v>
      </c>
      <c r="Z30" s="380">
        <v>103.125</v>
      </c>
      <c r="AA30" s="380">
        <v>76.135062645770773</v>
      </c>
      <c r="AB30" s="380">
        <v>137.5</v>
      </c>
      <c r="AC30" s="381">
        <v>67.251274712212208</v>
      </c>
      <c r="AD30" s="381">
        <v>119.375</v>
      </c>
      <c r="AE30" s="380">
        <v>79.198144563313321</v>
      </c>
      <c r="AF30" s="381">
        <v>162.5</v>
      </c>
      <c r="AG30" s="380">
        <v>86.458333333333329</v>
      </c>
      <c r="AH30" s="43"/>
    </row>
    <row r="31" spans="1:34" ht="15" x14ac:dyDescent="0.25">
      <c r="A31" s="2" t="s">
        <v>1402</v>
      </c>
      <c r="B31" s="2" t="s">
        <v>1403</v>
      </c>
      <c r="C31" s="2" t="s">
        <v>603</v>
      </c>
      <c r="D31" s="2" t="s">
        <v>604</v>
      </c>
      <c r="E31" s="2">
        <v>80</v>
      </c>
      <c r="G31" s="75"/>
      <c r="M31" s="373" t="s">
        <v>205</v>
      </c>
      <c r="N31" s="373" t="s">
        <v>1404</v>
      </c>
      <c r="O31" s="373" t="s">
        <v>1336</v>
      </c>
      <c r="P31" s="375">
        <v>156.25</v>
      </c>
      <c r="Q31" s="377"/>
      <c r="R31" s="374">
        <v>204.63124999999999</v>
      </c>
      <c r="S31" s="377"/>
      <c r="U31" s="377" t="s">
        <v>116</v>
      </c>
      <c r="V31" s="378" t="s">
        <v>1405</v>
      </c>
      <c r="W31" s="379" t="s">
        <v>1406</v>
      </c>
      <c r="X31" s="380">
        <v>72.5</v>
      </c>
      <c r="Y31" s="380">
        <v>23.625187687687689</v>
      </c>
      <c r="Z31" s="380">
        <v>131.25</v>
      </c>
      <c r="AA31" s="380">
        <v>0</v>
      </c>
      <c r="AB31" s="380">
        <v>155</v>
      </c>
      <c r="AC31" s="381">
        <v>56.618448135635632</v>
      </c>
      <c r="AD31" s="381">
        <v>134.375</v>
      </c>
      <c r="AE31" s="380">
        <v>0</v>
      </c>
      <c r="AF31" s="381">
        <v>172.5</v>
      </c>
      <c r="AG31" s="380">
        <v>92.592592592592595</v>
      </c>
      <c r="AH31" s="43"/>
    </row>
    <row r="32" spans="1:34" ht="15" x14ac:dyDescent="0.25">
      <c r="A32" s="2" t="s">
        <v>1402</v>
      </c>
      <c r="B32" s="2" t="s">
        <v>1403</v>
      </c>
      <c r="C32" s="2" t="s">
        <v>603</v>
      </c>
      <c r="D32" s="2" t="s">
        <v>605</v>
      </c>
      <c r="E32" s="2">
        <v>170</v>
      </c>
      <c r="G32" s="75"/>
      <c r="M32" s="373" t="s">
        <v>205</v>
      </c>
      <c r="N32" s="373" t="s">
        <v>1407</v>
      </c>
      <c r="O32" s="373" t="s">
        <v>1408</v>
      </c>
      <c r="P32" s="375">
        <v>168.75</v>
      </c>
      <c r="Q32" s="377"/>
      <c r="R32" s="374">
        <v>221.00174999999999</v>
      </c>
      <c r="S32" s="377"/>
      <c r="U32" s="377" t="s">
        <v>117</v>
      </c>
      <c r="V32" s="378" t="s">
        <v>1409</v>
      </c>
      <c r="W32" s="379" t="s">
        <v>1410</v>
      </c>
      <c r="X32" s="380">
        <v>37.5</v>
      </c>
      <c r="Y32" s="380">
        <v>14.921171171171173</v>
      </c>
      <c r="Z32" s="380">
        <v>112.5</v>
      </c>
      <c r="AA32" s="380">
        <v>80.97402571258759</v>
      </c>
      <c r="AB32" s="380">
        <v>137.5</v>
      </c>
      <c r="AC32" s="381">
        <v>80.958291237941552</v>
      </c>
      <c r="AD32" s="381">
        <v>115.625</v>
      </c>
      <c r="AE32" s="380">
        <v>60.108166030092612</v>
      </c>
      <c r="AF32" s="381">
        <v>140</v>
      </c>
      <c r="AG32" s="380">
        <v>86.458333333333329</v>
      </c>
      <c r="AH32" s="43"/>
    </row>
    <row r="33" spans="1:34" ht="15" x14ac:dyDescent="0.25">
      <c r="A33" s="2" t="s">
        <v>1402</v>
      </c>
      <c r="B33" s="2" t="s">
        <v>1403</v>
      </c>
      <c r="C33" s="2" t="s">
        <v>603</v>
      </c>
      <c r="D33" s="2" t="s">
        <v>606</v>
      </c>
      <c r="E33" s="2">
        <v>200</v>
      </c>
      <c r="G33" s="75"/>
      <c r="M33" s="373" t="s">
        <v>205</v>
      </c>
      <c r="N33" s="373" t="s">
        <v>1411</v>
      </c>
      <c r="O33" s="373" t="s">
        <v>1412</v>
      </c>
      <c r="P33" s="375">
        <v>168.75</v>
      </c>
      <c r="Q33" s="377"/>
      <c r="R33" s="374">
        <v>221.00174999999999</v>
      </c>
      <c r="S33" s="377"/>
      <c r="U33" s="377" t="s">
        <v>117</v>
      </c>
      <c r="V33" s="382" t="s">
        <v>1413</v>
      </c>
      <c r="W33" s="379" t="s">
        <v>1414</v>
      </c>
      <c r="X33" s="380">
        <v>37.5</v>
      </c>
      <c r="Y33" s="380">
        <v>14.921171171171173</v>
      </c>
      <c r="Z33" s="380">
        <v>0</v>
      </c>
      <c r="AA33" s="380">
        <v>0</v>
      </c>
      <c r="AB33" s="380">
        <v>0</v>
      </c>
      <c r="AC33" s="381">
        <v>0</v>
      </c>
      <c r="AD33" s="381">
        <v>0</v>
      </c>
      <c r="AE33" s="380">
        <v>0</v>
      </c>
      <c r="AF33" s="381">
        <v>0</v>
      </c>
      <c r="AG33" s="380">
        <v>0</v>
      </c>
      <c r="AH33" s="43"/>
    </row>
    <row r="34" spans="1:34" ht="15" x14ac:dyDescent="0.25">
      <c r="A34" s="2" t="s">
        <v>1402</v>
      </c>
      <c r="B34" s="2" t="s">
        <v>1403</v>
      </c>
      <c r="C34" s="2" t="s">
        <v>603</v>
      </c>
      <c r="D34" s="2" t="s">
        <v>607</v>
      </c>
      <c r="E34" s="2">
        <v>225</v>
      </c>
      <c r="G34" s="75"/>
      <c r="M34" s="373" t="s">
        <v>205</v>
      </c>
      <c r="N34" s="373" t="s">
        <v>1415</v>
      </c>
      <c r="O34" s="373" t="s">
        <v>1416</v>
      </c>
      <c r="P34" s="375">
        <v>168.75</v>
      </c>
      <c r="Q34" s="377"/>
      <c r="R34" s="374">
        <v>221.00174999999999</v>
      </c>
      <c r="S34" s="377"/>
      <c r="U34" s="377" t="s">
        <v>117</v>
      </c>
      <c r="V34" s="382" t="s">
        <v>1417</v>
      </c>
      <c r="W34" s="379" t="s">
        <v>1418</v>
      </c>
      <c r="X34" s="380">
        <v>32.5</v>
      </c>
      <c r="Y34" s="380">
        <v>10.361924424424425</v>
      </c>
      <c r="Z34" s="380">
        <v>0</v>
      </c>
      <c r="AA34" s="380">
        <v>0</v>
      </c>
      <c r="AB34" s="380">
        <v>0</v>
      </c>
      <c r="AC34" s="381">
        <v>0</v>
      </c>
      <c r="AD34" s="381">
        <v>0</v>
      </c>
      <c r="AE34" s="380">
        <v>0</v>
      </c>
      <c r="AF34" s="381">
        <v>0</v>
      </c>
      <c r="AG34" s="380">
        <v>0</v>
      </c>
      <c r="AH34" s="43"/>
    </row>
    <row r="35" spans="1:34" x14ac:dyDescent="0.25">
      <c r="A35" s="2" t="s">
        <v>1402</v>
      </c>
      <c r="B35" s="2" t="s">
        <v>1403</v>
      </c>
      <c r="C35" s="2" t="s">
        <v>603</v>
      </c>
      <c r="D35" s="2" t="s">
        <v>608</v>
      </c>
      <c r="E35" s="2">
        <v>240</v>
      </c>
      <c r="G35" s="75"/>
      <c r="M35" s="373" t="s">
        <v>314</v>
      </c>
      <c r="N35" s="377" t="s">
        <v>1419</v>
      </c>
      <c r="O35" s="383" t="s">
        <v>1420</v>
      </c>
      <c r="P35" s="375">
        <v>143.47585940625004</v>
      </c>
      <c r="Q35" s="377"/>
      <c r="R35" s="384">
        <v>600</v>
      </c>
      <c r="S35" s="377"/>
    </row>
    <row r="36" spans="1:34" x14ac:dyDescent="0.25">
      <c r="A36" s="2" t="s">
        <v>1402</v>
      </c>
      <c r="B36" s="2" t="s">
        <v>1403</v>
      </c>
      <c r="C36" s="2" t="s">
        <v>603</v>
      </c>
      <c r="D36" s="2" t="s">
        <v>609</v>
      </c>
      <c r="E36" s="2">
        <v>255</v>
      </c>
      <c r="G36" s="75"/>
      <c r="M36" s="373" t="s">
        <v>314</v>
      </c>
      <c r="N36" s="377" t="s">
        <v>1421</v>
      </c>
      <c r="O36" s="383" t="s">
        <v>1354</v>
      </c>
      <c r="P36" s="375">
        <v>207.93602812499998</v>
      </c>
      <c r="Q36" s="377"/>
      <c r="R36" s="384">
        <v>1000</v>
      </c>
      <c r="S36" s="377"/>
    </row>
    <row r="37" spans="1:34" x14ac:dyDescent="0.25">
      <c r="A37" s="2" t="s">
        <v>1402</v>
      </c>
      <c r="B37" s="2" t="s">
        <v>1403</v>
      </c>
      <c r="C37" s="2" t="s">
        <v>603</v>
      </c>
      <c r="D37" s="2" t="s">
        <v>610</v>
      </c>
      <c r="E37" s="2">
        <v>270</v>
      </c>
      <c r="G37" s="75"/>
      <c r="M37" s="373" t="s">
        <v>314</v>
      </c>
      <c r="N37" s="377" t="s">
        <v>118</v>
      </c>
      <c r="O37" s="383" t="s">
        <v>1351</v>
      </c>
      <c r="P37" s="375">
        <v>228.72963093749999</v>
      </c>
      <c r="Q37" s="377"/>
      <c r="R37" s="384">
        <v>1264</v>
      </c>
      <c r="S37" s="377"/>
    </row>
    <row r="38" spans="1:34" x14ac:dyDescent="0.25">
      <c r="A38" s="2" t="s">
        <v>1402</v>
      </c>
      <c r="B38" s="2" t="s">
        <v>1403</v>
      </c>
      <c r="C38" s="2" t="s">
        <v>603</v>
      </c>
      <c r="D38" s="2" t="s">
        <v>611</v>
      </c>
      <c r="E38" s="2">
        <v>280</v>
      </c>
      <c r="G38" s="75"/>
      <c r="M38" s="373" t="s">
        <v>314</v>
      </c>
      <c r="N38" s="377" t="s">
        <v>117</v>
      </c>
      <c r="O38" s="383" t="s">
        <v>1396</v>
      </c>
      <c r="P38" s="375">
        <v>259.92003515624998</v>
      </c>
      <c r="Q38" s="377"/>
      <c r="R38" s="384">
        <v>1250</v>
      </c>
      <c r="S38" s="377"/>
    </row>
    <row r="39" spans="1:34" x14ac:dyDescent="0.25">
      <c r="A39" s="2" t="s">
        <v>1402</v>
      </c>
      <c r="B39" s="2" t="s">
        <v>1403</v>
      </c>
      <c r="C39" s="2" t="s">
        <v>603</v>
      </c>
      <c r="D39" s="2" t="s">
        <v>612</v>
      </c>
      <c r="E39" s="2">
        <v>330</v>
      </c>
      <c r="G39" s="75"/>
      <c r="M39" s="373" t="s">
        <v>314</v>
      </c>
      <c r="N39" s="377" t="s">
        <v>116</v>
      </c>
      <c r="O39" s="383" t="s">
        <v>1422</v>
      </c>
      <c r="P39" s="375">
        <v>311.90404218750001</v>
      </c>
      <c r="Q39" s="377"/>
      <c r="R39" s="384">
        <v>1500</v>
      </c>
      <c r="S39" s="377"/>
    </row>
    <row r="40" spans="1:34" x14ac:dyDescent="0.25">
      <c r="A40" s="2" t="s">
        <v>1402</v>
      </c>
      <c r="B40" s="2" t="s">
        <v>1403</v>
      </c>
      <c r="C40" s="2" t="s">
        <v>603</v>
      </c>
      <c r="D40" s="2" t="s">
        <v>613</v>
      </c>
      <c r="E40" s="2">
        <v>350</v>
      </c>
      <c r="G40" s="75"/>
      <c r="M40" s="373" t="s">
        <v>314</v>
      </c>
      <c r="N40" s="377" t="s">
        <v>115</v>
      </c>
      <c r="O40" s="383" t="s">
        <v>1336</v>
      </c>
      <c r="P40" s="375">
        <v>353.49124781250003</v>
      </c>
      <c r="Q40" s="377"/>
      <c r="R40" s="384">
        <v>1700</v>
      </c>
      <c r="S40" s="377"/>
    </row>
    <row r="41" spans="1:34" x14ac:dyDescent="0.25">
      <c r="A41" s="2" t="s">
        <v>1402</v>
      </c>
      <c r="B41" s="2" t="s">
        <v>1423</v>
      </c>
      <c r="C41" s="2" t="s">
        <v>603</v>
      </c>
      <c r="D41" s="2" t="s">
        <v>604</v>
      </c>
      <c r="E41" s="2">
        <v>110</v>
      </c>
      <c r="G41" s="75"/>
      <c r="M41" s="373" t="s">
        <v>314</v>
      </c>
      <c r="N41" s="377" t="s">
        <v>114</v>
      </c>
      <c r="O41" s="383" t="s">
        <v>1424</v>
      </c>
      <c r="P41" s="375">
        <v>415.87205624999996</v>
      </c>
      <c r="Q41" s="377"/>
      <c r="R41" s="384">
        <v>2000</v>
      </c>
      <c r="S41" s="377"/>
    </row>
    <row r="42" spans="1:34" x14ac:dyDescent="0.25">
      <c r="A42" s="2" t="s">
        <v>1402</v>
      </c>
      <c r="B42" s="2" t="s">
        <v>1423</v>
      </c>
      <c r="C42" s="2" t="s">
        <v>603</v>
      </c>
      <c r="D42" s="2" t="s">
        <v>605</v>
      </c>
      <c r="E42" s="2">
        <v>200</v>
      </c>
      <c r="G42" s="75"/>
      <c r="O42" s="385"/>
    </row>
    <row r="43" spans="1:34" x14ac:dyDescent="0.25">
      <c r="A43" s="2" t="s">
        <v>1402</v>
      </c>
      <c r="B43" s="2" t="s">
        <v>1423</v>
      </c>
      <c r="C43" s="2" t="s">
        <v>603</v>
      </c>
      <c r="D43" s="2" t="s">
        <v>606</v>
      </c>
      <c r="E43" s="2">
        <v>280</v>
      </c>
      <c r="G43" s="75"/>
      <c r="O43" s="385"/>
    </row>
    <row r="44" spans="1:34" x14ac:dyDescent="0.25">
      <c r="A44" s="2" t="s">
        <v>1402</v>
      </c>
      <c r="B44" s="2" t="s">
        <v>1423</v>
      </c>
      <c r="C44" s="2" t="s">
        <v>603</v>
      </c>
      <c r="D44" s="2" t="s">
        <v>607</v>
      </c>
      <c r="E44" s="2">
        <v>350</v>
      </c>
      <c r="G44" s="75"/>
      <c r="O44" s="385"/>
    </row>
    <row r="45" spans="1:34" x14ac:dyDescent="0.25">
      <c r="A45" s="2" t="s">
        <v>1402</v>
      </c>
      <c r="B45" s="2" t="s">
        <v>1423</v>
      </c>
      <c r="C45" s="2" t="s">
        <v>603</v>
      </c>
      <c r="D45" s="2" t="s">
        <v>608</v>
      </c>
      <c r="E45" s="2">
        <v>495</v>
      </c>
      <c r="G45" s="75"/>
      <c r="O45" s="385"/>
    </row>
    <row r="46" spans="1:34" x14ac:dyDescent="0.25">
      <c r="A46" s="2" t="s">
        <v>1425</v>
      </c>
      <c r="B46" s="2" t="s">
        <v>1426</v>
      </c>
      <c r="C46" s="2" t="s">
        <v>603</v>
      </c>
      <c r="D46" s="2" t="s">
        <v>604</v>
      </c>
      <c r="E46" s="2">
        <v>78</v>
      </c>
      <c r="G46" s="75"/>
      <c r="O46" s="385"/>
    </row>
    <row r="47" spans="1:34" x14ac:dyDescent="0.25">
      <c r="A47" s="2" t="s">
        <v>1425</v>
      </c>
      <c r="B47" s="2" t="s">
        <v>1426</v>
      </c>
      <c r="C47" s="2" t="s">
        <v>603</v>
      </c>
      <c r="D47" s="2" t="s">
        <v>605</v>
      </c>
      <c r="E47" s="2">
        <v>115</v>
      </c>
      <c r="G47" s="75"/>
      <c r="O47" s="385"/>
    </row>
    <row r="48" spans="1:34" x14ac:dyDescent="0.25">
      <c r="A48" s="2" t="s">
        <v>1425</v>
      </c>
      <c r="B48" s="2" t="s">
        <v>1426</v>
      </c>
      <c r="C48" s="2" t="s">
        <v>603</v>
      </c>
      <c r="D48" s="2" t="s">
        <v>606</v>
      </c>
      <c r="E48" s="2">
        <v>149</v>
      </c>
      <c r="G48" s="75"/>
    </row>
    <row r="49" spans="1:7" x14ac:dyDescent="0.25">
      <c r="A49" s="2" t="s">
        <v>1425</v>
      </c>
      <c r="B49" s="2" t="s">
        <v>1426</v>
      </c>
      <c r="C49" s="2" t="s">
        <v>603</v>
      </c>
      <c r="D49" s="2" t="s">
        <v>607</v>
      </c>
      <c r="E49" s="2">
        <v>170</v>
      </c>
      <c r="G49" s="75"/>
    </row>
    <row r="50" spans="1:7" x14ac:dyDescent="0.25">
      <c r="A50" s="2" t="s">
        <v>1425</v>
      </c>
      <c r="B50" s="2" t="s">
        <v>1426</v>
      </c>
      <c r="C50" s="2" t="s">
        <v>603</v>
      </c>
      <c r="D50" s="2" t="s">
        <v>608</v>
      </c>
      <c r="E50" s="2">
        <v>213</v>
      </c>
      <c r="G50" s="75"/>
    </row>
    <row r="51" spans="1:7" x14ac:dyDescent="0.25">
      <c r="A51" s="2" t="s">
        <v>1425</v>
      </c>
      <c r="B51" s="2" t="s">
        <v>1426</v>
      </c>
      <c r="C51" s="2" t="s">
        <v>603</v>
      </c>
      <c r="D51" s="2" t="s">
        <v>609</v>
      </c>
      <c r="E51" s="2">
        <v>250</v>
      </c>
      <c r="G51" s="75"/>
    </row>
    <row r="52" spans="1:7" x14ac:dyDescent="0.25">
      <c r="A52" s="2" t="s">
        <v>1425</v>
      </c>
      <c r="B52" s="2" t="s">
        <v>1426</v>
      </c>
      <c r="C52" s="2" t="s">
        <v>603</v>
      </c>
      <c r="D52" s="2" t="s">
        <v>610</v>
      </c>
      <c r="E52" s="2">
        <v>268</v>
      </c>
      <c r="G52" s="75"/>
    </row>
    <row r="53" spans="1:7" x14ac:dyDescent="0.25">
      <c r="A53" s="2" t="s">
        <v>1425</v>
      </c>
      <c r="B53" s="2" t="s">
        <v>1426</v>
      </c>
      <c r="C53" s="2" t="s">
        <v>603</v>
      </c>
      <c r="D53" s="2" t="s">
        <v>611</v>
      </c>
      <c r="E53" s="2">
        <v>287</v>
      </c>
      <c r="G53" s="75"/>
    </row>
    <row r="54" spans="1:7" x14ac:dyDescent="0.25">
      <c r="A54" s="2" t="s">
        <v>1425</v>
      </c>
      <c r="B54" s="2" t="s">
        <v>1426</v>
      </c>
      <c r="C54" s="2" t="s">
        <v>603</v>
      </c>
      <c r="D54" s="2" t="s">
        <v>612</v>
      </c>
      <c r="E54" s="2">
        <v>313</v>
      </c>
      <c r="G54" s="75"/>
    </row>
    <row r="55" spans="1:7" x14ac:dyDescent="0.25">
      <c r="A55" s="2" t="s">
        <v>1425</v>
      </c>
      <c r="B55" s="2" t="s">
        <v>1426</v>
      </c>
      <c r="C55" s="2" t="s">
        <v>603</v>
      </c>
      <c r="D55" s="2" t="s">
        <v>613</v>
      </c>
      <c r="E55" s="2">
        <v>344</v>
      </c>
      <c r="G55" s="75"/>
    </row>
    <row r="56" spans="1:7" x14ac:dyDescent="0.25">
      <c r="A56" s="2" t="s">
        <v>1425</v>
      </c>
      <c r="B56" s="2" t="s">
        <v>1426</v>
      </c>
      <c r="C56" s="2" t="s">
        <v>603</v>
      </c>
      <c r="D56" s="2" t="s">
        <v>614</v>
      </c>
      <c r="E56" s="2">
        <v>370</v>
      </c>
      <c r="G56" s="75"/>
    </row>
    <row r="57" spans="1:7" x14ac:dyDescent="0.25">
      <c r="A57" s="2" t="s">
        <v>1427</v>
      </c>
      <c r="B57" s="2" t="s">
        <v>1428</v>
      </c>
      <c r="C57" s="2" t="s">
        <v>691</v>
      </c>
      <c r="D57" s="2" t="s">
        <v>692</v>
      </c>
      <c r="E57" s="2">
        <v>83</v>
      </c>
      <c r="G57" s="75"/>
    </row>
    <row r="58" spans="1:7" x14ac:dyDescent="0.25">
      <c r="A58" s="2" t="s">
        <v>1427</v>
      </c>
      <c r="B58" s="2" t="s">
        <v>1428</v>
      </c>
      <c r="C58" s="2" t="s">
        <v>691</v>
      </c>
      <c r="D58" s="2" t="s">
        <v>693</v>
      </c>
      <c r="E58" s="2">
        <v>50</v>
      </c>
      <c r="G58" s="75"/>
    </row>
    <row r="59" spans="1:7" x14ac:dyDescent="0.25">
      <c r="A59" s="2" t="s">
        <v>1427</v>
      </c>
      <c r="B59" s="2" t="s">
        <v>1428</v>
      </c>
      <c r="C59" s="2" t="s">
        <v>691</v>
      </c>
      <c r="D59" s="2" t="s">
        <v>647</v>
      </c>
      <c r="E59" s="2">
        <v>176</v>
      </c>
      <c r="G59" s="75"/>
    </row>
    <row r="60" spans="1:7" x14ac:dyDescent="0.25">
      <c r="A60" s="2" t="s">
        <v>1427</v>
      </c>
      <c r="B60" s="2" t="s">
        <v>1428</v>
      </c>
      <c r="C60" s="2" t="s">
        <v>691</v>
      </c>
      <c r="D60" s="2" t="s">
        <v>648</v>
      </c>
      <c r="E60" s="2">
        <v>209</v>
      </c>
      <c r="G60" s="75"/>
    </row>
    <row r="61" spans="1:7" x14ac:dyDescent="0.25">
      <c r="A61" s="2" t="s">
        <v>1427</v>
      </c>
      <c r="B61" s="2" t="s">
        <v>1428</v>
      </c>
      <c r="C61" s="2" t="s">
        <v>691</v>
      </c>
      <c r="D61" s="2" t="s">
        <v>634</v>
      </c>
      <c r="E61" s="2">
        <v>262</v>
      </c>
      <c r="G61" s="75"/>
    </row>
    <row r="62" spans="1:7" x14ac:dyDescent="0.25">
      <c r="A62" s="2" t="s">
        <v>1427</v>
      </c>
      <c r="B62" s="2" t="s">
        <v>1428</v>
      </c>
      <c r="C62" s="2" t="s">
        <v>691</v>
      </c>
      <c r="D62" s="2" t="s">
        <v>649</v>
      </c>
      <c r="E62" s="2">
        <v>262</v>
      </c>
      <c r="G62" s="75"/>
    </row>
    <row r="63" spans="1:7" x14ac:dyDescent="0.25">
      <c r="A63" s="2" t="s">
        <v>1427</v>
      </c>
      <c r="B63" s="2" t="s">
        <v>1428</v>
      </c>
      <c r="C63" s="2" t="s">
        <v>691</v>
      </c>
      <c r="D63" s="2" t="s">
        <v>635</v>
      </c>
      <c r="E63" s="2">
        <v>306</v>
      </c>
      <c r="G63" s="75"/>
    </row>
    <row r="64" spans="1:7" x14ac:dyDescent="0.25">
      <c r="A64" s="2" t="s">
        <v>1427</v>
      </c>
      <c r="B64" s="2" t="s">
        <v>1428</v>
      </c>
      <c r="C64" s="2" t="s">
        <v>691</v>
      </c>
      <c r="D64" s="2" t="s">
        <v>650</v>
      </c>
      <c r="E64" s="2">
        <v>306</v>
      </c>
      <c r="G64" s="75"/>
    </row>
    <row r="65" spans="1:7" x14ac:dyDescent="0.25">
      <c r="A65" s="2" t="s">
        <v>1427</v>
      </c>
      <c r="B65" s="2" t="s">
        <v>1428</v>
      </c>
      <c r="C65" s="2" t="s">
        <v>691</v>
      </c>
      <c r="D65" s="2" t="s">
        <v>636</v>
      </c>
      <c r="E65" s="2">
        <v>339</v>
      </c>
      <c r="G65" s="75"/>
    </row>
    <row r="66" spans="1:7" x14ac:dyDescent="0.25">
      <c r="A66" s="2" t="s">
        <v>1427</v>
      </c>
      <c r="B66" s="2" t="s">
        <v>1428</v>
      </c>
      <c r="C66" s="2" t="s">
        <v>691</v>
      </c>
      <c r="D66" s="2" t="s">
        <v>651</v>
      </c>
      <c r="E66" s="2">
        <v>339</v>
      </c>
      <c r="G66" s="75"/>
    </row>
    <row r="67" spans="1:7" x14ac:dyDescent="0.25">
      <c r="A67" s="2" t="s">
        <v>1427</v>
      </c>
      <c r="B67" s="2" t="s">
        <v>1428</v>
      </c>
      <c r="C67" s="2" t="s">
        <v>694</v>
      </c>
      <c r="D67" s="2" t="s">
        <v>692</v>
      </c>
      <c r="E67" s="2">
        <v>83</v>
      </c>
      <c r="G67" s="75"/>
    </row>
    <row r="68" spans="1:7" x14ac:dyDescent="0.25">
      <c r="A68" s="2" t="s">
        <v>1427</v>
      </c>
      <c r="B68" s="2" t="s">
        <v>1428</v>
      </c>
      <c r="C68" s="2" t="s">
        <v>694</v>
      </c>
      <c r="D68" s="2" t="s">
        <v>693</v>
      </c>
      <c r="E68" s="2">
        <v>50</v>
      </c>
      <c r="G68" s="75"/>
    </row>
    <row r="69" spans="1:7" x14ac:dyDescent="0.25">
      <c r="A69" s="2" t="s">
        <v>1427</v>
      </c>
      <c r="B69" s="2" t="s">
        <v>1428</v>
      </c>
      <c r="C69" s="2" t="s">
        <v>694</v>
      </c>
      <c r="D69" s="2" t="s">
        <v>647</v>
      </c>
      <c r="E69" s="2">
        <v>176</v>
      </c>
      <c r="G69" s="75"/>
    </row>
    <row r="70" spans="1:7" x14ac:dyDescent="0.25">
      <c r="A70" s="2" t="s">
        <v>1427</v>
      </c>
      <c r="B70" s="2" t="s">
        <v>1428</v>
      </c>
      <c r="C70" s="2" t="s">
        <v>694</v>
      </c>
      <c r="D70" s="2" t="s">
        <v>648</v>
      </c>
      <c r="E70" s="2">
        <v>209</v>
      </c>
      <c r="G70" s="75"/>
    </row>
    <row r="71" spans="1:7" x14ac:dyDescent="0.25">
      <c r="A71" s="2" t="s">
        <v>1427</v>
      </c>
      <c r="B71" s="2" t="s">
        <v>1428</v>
      </c>
      <c r="C71" s="2" t="s">
        <v>694</v>
      </c>
      <c r="D71" s="2" t="s">
        <v>634</v>
      </c>
      <c r="E71" s="2">
        <v>262</v>
      </c>
      <c r="G71" s="75"/>
    </row>
    <row r="72" spans="1:7" x14ac:dyDescent="0.25">
      <c r="A72" s="2" t="s">
        <v>1427</v>
      </c>
      <c r="B72" s="2" t="s">
        <v>1428</v>
      </c>
      <c r="C72" s="2" t="s">
        <v>694</v>
      </c>
      <c r="D72" s="2" t="s">
        <v>649</v>
      </c>
      <c r="E72" s="2">
        <v>262</v>
      </c>
      <c r="G72" s="75"/>
    </row>
    <row r="73" spans="1:7" x14ac:dyDescent="0.25">
      <c r="A73" s="2" t="s">
        <v>1427</v>
      </c>
      <c r="B73" s="2" t="s">
        <v>1428</v>
      </c>
      <c r="C73" s="2" t="s">
        <v>694</v>
      </c>
      <c r="D73" s="2" t="s">
        <v>635</v>
      </c>
      <c r="E73" s="2">
        <v>306</v>
      </c>
      <c r="G73" s="75"/>
    </row>
    <row r="74" spans="1:7" x14ac:dyDescent="0.25">
      <c r="A74" s="2" t="s">
        <v>1427</v>
      </c>
      <c r="B74" s="2" t="s">
        <v>1428</v>
      </c>
      <c r="C74" s="2" t="s">
        <v>694</v>
      </c>
      <c r="D74" s="2" t="s">
        <v>650</v>
      </c>
      <c r="E74" s="2">
        <v>306</v>
      </c>
      <c r="G74" s="75"/>
    </row>
    <row r="75" spans="1:7" x14ac:dyDescent="0.25">
      <c r="A75" s="2" t="s">
        <v>1427</v>
      </c>
      <c r="B75" s="2" t="s">
        <v>1428</v>
      </c>
      <c r="C75" s="2" t="s">
        <v>694</v>
      </c>
      <c r="D75" s="2" t="s">
        <v>636</v>
      </c>
      <c r="E75" s="2">
        <v>339</v>
      </c>
      <c r="G75" s="75"/>
    </row>
    <row r="76" spans="1:7" x14ac:dyDescent="0.25">
      <c r="A76" s="2" t="s">
        <v>1427</v>
      </c>
      <c r="B76" s="2" t="s">
        <v>1428</v>
      </c>
      <c r="C76" s="2" t="s">
        <v>694</v>
      </c>
      <c r="D76" s="2" t="s">
        <v>651</v>
      </c>
      <c r="E76" s="2">
        <v>339</v>
      </c>
      <c r="G76" s="75"/>
    </row>
    <row r="77" spans="1:7" x14ac:dyDescent="0.25">
      <c r="A77" s="2" t="s">
        <v>1427</v>
      </c>
      <c r="B77" s="2" t="s">
        <v>1428</v>
      </c>
      <c r="C77" s="2" t="s">
        <v>695</v>
      </c>
      <c r="D77" s="2" t="s">
        <v>696</v>
      </c>
      <c r="E77" s="2">
        <v>410</v>
      </c>
      <c r="G77" s="75"/>
    </row>
    <row r="78" spans="1:7" x14ac:dyDescent="0.25">
      <c r="A78" s="2" t="s">
        <v>1427</v>
      </c>
      <c r="B78" s="2" t="s">
        <v>1428</v>
      </c>
      <c r="C78" s="2" t="s">
        <v>695</v>
      </c>
      <c r="D78" s="2" t="s">
        <v>697</v>
      </c>
      <c r="E78" s="2">
        <v>410</v>
      </c>
      <c r="G78" s="75"/>
    </row>
    <row r="79" spans="1:7" x14ac:dyDescent="0.25">
      <c r="A79" s="2" t="s">
        <v>1427</v>
      </c>
      <c r="B79" s="2" t="s">
        <v>1428</v>
      </c>
      <c r="C79" s="2" t="s">
        <v>695</v>
      </c>
      <c r="D79" s="2" t="s">
        <v>698</v>
      </c>
      <c r="E79" s="2">
        <v>410</v>
      </c>
      <c r="G79" s="75"/>
    </row>
    <row r="80" spans="1:7" x14ac:dyDescent="0.25">
      <c r="A80" s="2" t="s">
        <v>1427</v>
      </c>
      <c r="B80" s="2" t="s">
        <v>1428</v>
      </c>
      <c r="C80" s="2" t="s">
        <v>695</v>
      </c>
      <c r="D80" s="2" t="s">
        <v>699</v>
      </c>
      <c r="E80" s="2">
        <v>410</v>
      </c>
      <c r="G80" s="75"/>
    </row>
    <row r="81" spans="1:7" x14ac:dyDescent="0.25">
      <c r="A81" s="2" t="s">
        <v>1427</v>
      </c>
      <c r="B81" s="2" t="s">
        <v>1428</v>
      </c>
      <c r="C81" s="2" t="s">
        <v>695</v>
      </c>
      <c r="D81" s="2" t="s">
        <v>700</v>
      </c>
      <c r="E81" s="2">
        <v>410</v>
      </c>
      <c r="G81" s="75"/>
    </row>
    <row r="82" spans="1:7" x14ac:dyDescent="0.25">
      <c r="A82" s="2" t="s">
        <v>1427</v>
      </c>
      <c r="B82" s="2" t="s">
        <v>1428</v>
      </c>
      <c r="C82" s="2" t="s">
        <v>695</v>
      </c>
      <c r="D82" s="2" t="s">
        <v>701</v>
      </c>
      <c r="E82" s="2">
        <v>410</v>
      </c>
      <c r="G82" s="75"/>
    </row>
    <row r="83" spans="1:7" x14ac:dyDescent="0.25">
      <c r="A83" s="2" t="s">
        <v>1427</v>
      </c>
      <c r="B83" s="2" t="s">
        <v>1428</v>
      </c>
      <c r="C83" s="2" t="s">
        <v>695</v>
      </c>
      <c r="D83" s="2" t="s">
        <v>702</v>
      </c>
      <c r="E83" s="2">
        <v>410</v>
      </c>
      <c r="G83" s="75"/>
    </row>
    <row r="84" spans="1:7" x14ac:dyDescent="0.25">
      <c r="A84" s="2" t="s">
        <v>1427</v>
      </c>
      <c r="B84" s="2" t="s">
        <v>1428</v>
      </c>
      <c r="C84" s="2" t="s">
        <v>695</v>
      </c>
      <c r="D84" s="2" t="s">
        <v>703</v>
      </c>
      <c r="E84" s="2">
        <v>410</v>
      </c>
      <c r="G84" s="75"/>
    </row>
    <row r="85" spans="1:7" x14ac:dyDescent="0.25">
      <c r="A85" s="2" t="s">
        <v>1427</v>
      </c>
      <c r="B85" s="2" t="s">
        <v>1428</v>
      </c>
      <c r="C85" s="2" t="s">
        <v>695</v>
      </c>
      <c r="D85" s="2" t="s">
        <v>704</v>
      </c>
      <c r="E85" s="2">
        <v>410</v>
      </c>
      <c r="G85" s="75"/>
    </row>
    <row r="86" spans="1:7" x14ac:dyDescent="0.25">
      <c r="A86" s="2" t="s">
        <v>1427</v>
      </c>
      <c r="B86" s="2" t="s">
        <v>1428</v>
      </c>
      <c r="C86" s="2" t="s">
        <v>695</v>
      </c>
      <c r="D86" s="2" t="s">
        <v>705</v>
      </c>
      <c r="E86" s="2">
        <v>410</v>
      </c>
      <c r="G86" s="75"/>
    </row>
    <row r="87" spans="1:7" x14ac:dyDescent="0.25">
      <c r="A87" s="2" t="s">
        <v>1427</v>
      </c>
      <c r="B87" s="2" t="s">
        <v>1428</v>
      </c>
      <c r="C87" s="2" t="s">
        <v>767</v>
      </c>
      <c r="D87" s="2" t="s">
        <v>773</v>
      </c>
      <c r="E87" s="2">
        <v>90</v>
      </c>
      <c r="G87" s="75"/>
    </row>
    <row r="88" spans="1:7" x14ac:dyDescent="0.25">
      <c r="A88" s="2" t="s">
        <v>1429</v>
      </c>
      <c r="B88" s="2" t="s">
        <v>1430</v>
      </c>
      <c r="C88" s="2" t="s">
        <v>603</v>
      </c>
      <c r="D88" s="2" t="s">
        <v>604</v>
      </c>
      <c r="E88" s="2">
        <v>100</v>
      </c>
      <c r="G88" s="75"/>
    </row>
    <row r="89" spans="1:7" x14ac:dyDescent="0.25">
      <c r="A89" s="2" t="s">
        <v>1429</v>
      </c>
      <c r="B89" s="2" t="s">
        <v>1430</v>
      </c>
      <c r="C89" s="2" t="s">
        <v>663</v>
      </c>
      <c r="D89" s="2" t="s">
        <v>630</v>
      </c>
      <c r="E89" s="2">
        <v>81</v>
      </c>
      <c r="G89" s="75"/>
    </row>
    <row r="90" spans="1:7" x14ac:dyDescent="0.25">
      <c r="A90" s="2" t="s">
        <v>1429</v>
      </c>
      <c r="B90" s="2" t="s">
        <v>1430</v>
      </c>
      <c r="C90" s="2" t="s">
        <v>663</v>
      </c>
      <c r="D90" s="2" t="s">
        <v>631</v>
      </c>
      <c r="E90" s="2">
        <v>100</v>
      </c>
      <c r="G90" s="75"/>
    </row>
    <row r="91" spans="1:7" x14ac:dyDescent="0.25">
      <c r="A91" s="2" t="s">
        <v>1429</v>
      </c>
      <c r="B91" s="2" t="s">
        <v>1430</v>
      </c>
      <c r="C91" s="2" t="s">
        <v>663</v>
      </c>
      <c r="D91" s="2" t="s">
        <v>632</v>
      </c>
      <c r="E91" s="2">
        <v>110</v>
      </c>
      <c r="G91" s="75"/>
    </row>
    <row r="92" spans="1:7" x14ac:dyDescent="0.25">
      <c r="A92" s="2" t="s">
        <v>1429</v>
      </c>
      <c r="B92" s="2" t="s">
        <v>1430</v>
      </c>
      <c r="C92" s="2" t="s">
        <v>663</v>
      </c>
      <c r="D92" s="2" t="s">
        <v>633</v>
      </c>
      <c r="E92" s="2">
        <v>110</v>
      </c>
      <c r="G92" s="75"/>
    </row>
    <row r="93" spans="1:7" x14ac:dyDescent="0.25">
      <c r="A93" s="2" t="s">
        <v>1429</v>
      </c>
      <c r="B93" s="2" t="s">
        <v>1430</v>
      </c>
      <c r="C93" s="2" t="s">
        <v>663</v>
      </c>
      <c r="D93" s="2" t="s">
        <v>634</v>
      </c>
      <c r="E93" s="2">
        <v>120</v>
      </c>
      <c r="G93" s="75"/>
    </row>
    <row r="94" spans="1:7" x14ac:dyDescent="0.25">
      <c r="A94" s="2" t="s">
        <v>1429</v>
      </c>
      <c r="B94" s="2" t="s">
        <v>1430</v>
      </c>
      <c r="C94" s="2" t="s">
        <v>663</v>
      </c>
      <c r="D94" s="2" t="s">
        <v>635</v>
      </c>
      <c r="E94" s="2">
        <v>135</v>
      </c>
      <c r="G94" s="75"/>
    </row>
    <row r="95" spans="1:7" x14ac:dyDescent="0.25">
      <c r="A95" s="2" t="s">
        <v>1429</v>
      </c>
      <c r="B95" s="2" t="s">
        <v>1430</v>
      </c>
      <c r="C95" s="2" t="s">
        <v>663</v>
      </c>
      <c r="D95" s="2" t="s">
        <v>636</v>
      </c>
      <c r="E95" s="2">
        <v>155</v>
      </c>
      <c r="G95" s="75"/>
    </row>
    <row r="96" spans="1:7" x14ac:dyDescent="0.25">
      <c r="A96" s="2" t="s">
        <v>1429</v>
      </c>
      <c r="B96" s="2" t="s">
        <v>1430</v>
      </c>
      <c r="C96" s="2" t="s">
        <v>664</v>
      </c>
      <c r="D96" s="2" t="s">
        <v>630</v>
      </c>
      <c r="E96" s="2">
        <v>81</v>
      </c>
      <c r="G96" s="75"/>
    </row>
    <row r="97" spans="1:7" x14ac:dyDescent="0.25">
      <c r="A97" s="2" t="s">
        <v>1429</v>
      </c>
      <c r="B97" s="2" t="s">
        <v>1430</v>
      </c>
      <c r="C97" s="2" t="s">
        <v>664</v>
      </c>
      <c r="D97" s="2" t="s">
        <v>631</v>
      </c>
      <c r="E97" s="2">
        <v>100</v>
      </c>
      <c r="G97" s="75"/>
    </row>
    <row r="98" spans="1:7" x14ac:dyDescent="0.25">
      <c r="A98" s="2" t="s">
        <v>1429</v>
      </c>
      <c r="B98" s="2" t="s">
        <v>1430</v>
      </c>
      <c r="C98" s="2" t="s">
        <v>664</v>
      </c>
      <c r="D98" s="2" t="s">
        <v>632</v>
      </c>
      <c r="E98" s="2">
        <v>110</v>
      </c>
      <c r="G98" s="75"/>
    </row>
    <row r="99" spans="1:7" x14ac:dyDescent="0.25">
      <c r="A99" s="2" t="s">
        <v>1429</v>
      </c>
      <c r="B99" s="2" t="s">
        <v>1430</v>
      </c>
      <c r="C99" s="2" t="s">
        <v>664</v>
      </c>
      <c r="D99" s="2" t="s">
        <v>633</v>
      </c>
      <c r="E99" s="2">
        <v>110</v>
      </c>
      <c r="G99" s="75"/>
    </row>
    <row r="100" spans="1:7" x14ac:dyDescent="0.25">
      <c r="A100" s="2" t="s">
        <v>1429</v>
      </c>
      <c r="B100" s="2" t="s">
        <v>1430</v>
      </c>
      <c r="C100" s="2" t="s">
        <v>664</v>
      </c>
      <c r="D100" s="2" t="s">
        <v>634</v>
      </c>
      <c r="E100" s="2">
        <v>120</v>
      </c>
      <c r="G100" s="75"/>
    </row>
    <row r="101" spans="1:7" x14ac:dyDescent="0.25">
      <c r="A101" s="2" t="s">
        <v>1429</v>
      </c>
      <c r="B101" s="2" t="s">
        <v>1430</v>
      </c>
      <c r="C101" s="2" t="s">
        <v>664</v>
      </c>
      <c r="D101" s="2" t="s">
        <v>635</v>
      </c>
      <c r="E101" s="2">
        <v>135</v>
      </c>
      <c r="G101" s="75"/>
    </row>
    <row r="102" spans="1:7" x14ac:dyDescent="0.25">
      <c r="A102" s="2" t="s">
        <v>1429</v>
      </c>
      <c r="B102" s="2" t="s">
        <v>1430</v>
      </c>
      <c r="C102" s="2" t="s">
        <v>664</v>
      </c>
      <c r="D102" s="2" t="s">
        <v>636</v>
      </c>
      <c r="E102" s="2">
        <v>155</v>
      </c>
      <c r="G102" s="75"/>
    </row>
    <row r="103" spans="1:7" x14ac:dyDescent="0.25">
      <c r="A103" s="2" t="s">
        <v>1429</v>
      </c>
      <c r="B103" s="2" t="s">
        <v>1430</v>
      </c>
      <c r="C103" s="2" t="s">
        <v>665</v>
      </c>
      <c r="D103" s="2" t="s">
        <v>666</v>
      </c>
      <c r="E103" s="2">
        <v>110</v>
      </c>
      <c r="G103" s="75"/>
    </row>
    <row r="104" spans="1:7" x14ac:dyDescent="0.25">
      <c r="A104" s="2" t="s">
        <v>1429</v>
      </c>
      <c r="B104" s="2" t="s">
        <v>1430</v>
      </c>
      <c r="C104" s="2" t="s">
        <v>665</v>
      </c>
      <c r="D104" s="2" t="s">
        <v>667</v>
      </c>
      <c r="E104" s="2">
        <v>120</v>
      </c>
      <c r="G104" s="75"/>
    </row>
    <row r="105" spans="1:7" x14ac:dyDescent="0.25">
      <c r="A105" s="2" t="s">
        <v>1429</v>
      </c>
      <c r="B105" s="2" t="s">
        <v>1430</v>
      </c>
      <c r="C105" s="2" t="s">
        <v>665</v>
      </c>
      <c r="D105" s="2" t="s">
        <v>646</v>
      </c>
      <c r="E105" s="2">
        <v>120</v>
      </c>
      <c r="G105" s="75"/>
    </row>
    <row r="106" spans="1:7" x14ac:dyDescent="0.25">
      <c r="A106" s="2" t="s">
        <v>1429</v>
      </c>
      <c r="B106" s="2" t="s">
        <v>1430</v>
      </c>
      <c r="C106" s="2" t="s">
        <v>665</v>
      </c>
      <c r="D106" s="2" t="s">
        <v>668</v>
      </c>
      <c r="E106" s="2">
        <v>135</v>
      </c>
      <c r="G106" s="75"/>
    </row>
    <row r="107" spans="1:7" x14ac:dyDescent="0.25">
      <c r="A107" s="2" t="s">
        <v>1429</v>
      </c>
      <c r="B107" s="2" t="s">
        <v>1430</v>
      </c>
      <c r="C107" s="2" t="s">
        <v>665</v>
      </c>
      <c r="D107" s="2" t="s">
        <v>669</v>
      </c>
      <c r="E107" s="2">
        <v>110</v>
      </c>
      <c r="G107" s="75"/>
    </row>
    <row r="108" spans="1:7" x14ac:dyDescent="0.25">
      <c r="A108" s="2" t="s">
        <v>1429</v>
      </c>
      <c r="B108" s="2" t="s">
        <v>1430</v>
      </c>
      <c r="C108" s="2" t="s">
        <v>665</v>
      </c>
      <c r="D108" s="2" t="s">
        <v>670</v>
      </c>
      <c r="E108" s="2">
        <v>120</v>
      </c>
      <c r="G108" s="75"/>
    </row>
    <row r="109" spans="1:7" x14ac:dyDescent="0.25">
      <c r="A109" s="2" t="s">
        <v>1429</v>
      </c>
      <c r="B109" s="2" t="s">
        <v>1430</v>
      </c>
      <c r="C109" s="2" t="s">
        <v>671</v>
      </c>
      <c r="D109" s="2" t="s">
        <v>653</v>
      </c>
      <c r="E109" s="2">
        <v>81</v>
      </c>
      <c r="G109" s="75"/>
    </row>
    <row r="110" spans="1:7" x14ac:dyDescent="0.25">
      <c r="A110" s="2" t="s">
        <v>1429</v>
      </c>
      <c r="B110" s="2" t="s">
        <v>1430</v>
      </c>
      <c r="C110" s="2" t="s">
        <v>671</v>
      </c>
      <c r="D110" s="2" t="s">
        <v>654</v>
      </c>
      <c r="E110" s="2">
        <v>100</v>
      </c>
      <c r="G110" s="75"/>
    </row>
    <row r="111" spans="1:7" x14ac:dyDescent="0.25">
      <c r="A111" s="2" t="s">
        <v>1429</v>
      </c>
      <c r="B111" s="2" t="s">
        <v>1430</v>
      </c>
      <c r="C111" s="2" t="s">
        <v>671</v>
      </c>
      <c r="D111" s="2" t="s">
        <v>655</v>
      </c>
      <c r="E111" s="2">
        <v>110</v>
      </c>
      <c r="G111" s="75"/>
    </row>
    <row r="112" spans="1:7" x14ac:dyDescent="0.25">
      <c r="A112" s="2" t="s">
        <v>1429</v>
      </c>
      <c r="B112" s="2" t="s">
        <v>1430</v>
      </c>
      <c r="C112" s="2" t="s">
        <v>671</v>
      </c>
      <c r="D112" s="2" t="s">
        <v>656</v>
      </c>
      <c r="E112" s="2">
        <v>110</v>
      </c>
      <c r="G112" s="75"/>
    </row>
    <row r="113" spans="1:7" x14ac:dyDescent="0.25">
      <c r="A113" s="2" t="s">
        <v>1429</v>
      </c>
      <c r="B113" s="2" t="s">
        <v>1430</v>
      </c>
      <c r="C113" s="2" t="s">
        <v>671</v>
      </c>
      <c r="D113" s="2" t="s">
        <v>657</v>
      </c>
      <c r="E113" s="2">
        <v>120</v>
      </c>
      <c r="G113" s="75"/>
    </row>
    <row r="114" spans="1:7" x14ac:dyDescent="0.25">
      <c r="A114" s="2" t="s">
        <v>1429</v>
      </c>
      <c r="B114" s="2" t="s">
        <v>1430</v>
      </c>
      <c r="C114" s="2" t="s">
        <v>671</v>
      </c>
      <c r="D114" s="2" t="s">
        <v>658</v>
      </c>
      <c r="E114" s="2">
        <v>135</v>
      </c>
      <c r="G114" s="75"/>
    </row>
    <row r="115" spans="1:7" x14ac:dyDescent="0.25">
      <c r="A115" s="2" t="s">
        <v>1429</v>
      </c>
      <c r="B115" s="2" t="s">
        <v>1430</v>
      </c>
      <c r="C115" s="2" t="s">
        <v>671</v>
      </c>
      <c r="D115" s="2" t="s">
        <v>659</v>
      </c>
      <c r="E115" s="2">
        <v>155</v>
      </c>
      <c r="G115" s="75"/>
    </row>
    <row r="116" spans="1:7" x14ac:dyDescent="0.25">
      <c r="A116" s="2" t="s">
        <v>1429</v>
      </c>
      <c r="B116" s="2" t="s">
        <v>1430</v>
      </c>
      <c r="C116" s="2" t="s">
        <v>691</v>
      </c>
      <c r="D116" s="2" t="s">
        <v>647</v>
      </c>
      <c r="E116" s="2">
        <v>167</v>
      </c>
      <c r="G116" s="75"/>
    </row>
    <row r="117" spans="1:7" x14ac:dyDescent="0.25">
      <c r="A117" s="2" t="s">
        <v>1429</v>
      </c>
      <c r="B117" s="2" t="s">
        <v>1430</v>
      </c>
      <c r="C117" s="2" t="s">
        <v>691</v>
      </c>
      <c r="D117" s="2" t="s">
        <v>648</v>
      </c>
      <c r="E117" s="2">
        <v>194</v>
      </c>
      <c r="G117" s="75"/>
    </row>
    <row r="118" spans="1:7" x14ac:dyDescent="0.25">
      <c r="A118" s="2" t="s">
        <v>1429</v>
      </c>
      <c r="B118" s="2" t="s">
        <v>1430</v>
      </c>
      <c r="C118" s="2" t="s">
        <v>691</v>
      </c>
      <c r="D118" s="2" t="s">
        <v>634</v>
      </c>
      <c r="E118" s="2">
        <v>242</v>
      </c>
      <c r="G118" s="75"/>
    </row>
    <row r="119" spans="1:7" x14ac:dyDescent="0.25">
      <c r="A119" s="2" t="s">
        <v>1429</v>
      </c>
      <c r="B119" s="2" t="s">
        <v>1430</v>
      </c>
      <c r="C119" s="2" t="s">
        <v>691</v>
      </c>
      <c r="D119" s="2" t="s">
        <v>649</v>
      </c>
      <c r="E119" s="2">
        <v>242</v>
      </c>
      <c r="G119" s="75"/>
    </row>
    <row r="120" spans="1:7" x14ac:dyDescent="0.25">
      <c r="A120" s="2" t="s">
        <v>1429</v>
      </c>
      <c r="B120" s="2" t="s">
        <v>1430</v>
      </c>
      <c r="C120" s="2" t="s">
        <v>691</v>
      </c>
      <c r="D120" s="2" t="s">
        <v>635</v>
      </c>
      <c r="E120" s="2">
        <v>282</v>
      </c>
      <c r="G120" s="75"/>
    </row>
    <row r="121" spans="1:7" x14ac:dyDescent="0.25">
      <c r="A121" s="2" t="s">
        <v>1429</v>
      </c>
      <c r="B121" s="2" t="s">
        <v>1430</v>
      </c>
      <c r="C121" s="2" t="s">
        <v>691</v>
      </c>
      <c r="D121" s="2" t="s">
        <v>650</v>
      </c>
      <c r="E121" s="2">
        <v>282</v>
      </c>
      <c r="G121" s="75"/>
    </row>
    <row r="122" spans="1:7" x14ac:dyDescent="0.25">
      <c r="A122" s="2" t="s">
        <v>1429</v>
      </c>
      <c r="B122" s="2" t="s">
        <v>1430</v>
      </c>
      <c r="C122" s="2" t="s">
        <v>691</v>
      </c>
      <c r="D122" s="2" t="s">
        <v>636</v>
      </c>
      <c r="E122" s="2">
        <v>304</v>
      </c>
      <c r="G122" s="75"/>
    </row>
    <row r="123" spans="1:7" x14ac:dyDescent="0.25">
      <c r="A123" s="2" t="s">
        <v>1429</v>
      </c>
      <c r="B123" s="2" t="s">
        <v>1430</v>
      </c>
      <c r="C123" s="2" t="s">
        <v>691</v>
      </c>
      <c r="D123" s="2" t="s">
        <v>651</v>
      </c>
      <c r="E123" s="2">
        <v>304</v>
      </c>
      <c r="G123" s="75"/>
    </row>
    <row r="124" spans="1:7" x14ac:dyDescent="0.25">
      <c r="A124" s="2" t="s">
        <v>1429</v>
      </c>
      <c r="B124" s="2" t="s">
        <v>1430</v>
      </c>
      <c r="C124" s="2" t="s">
        <v>694</v>
      </c>
      <c r="D124" s="2" t="s">
        <v>647</v>
      </c>
      <c r="E124" s="2">
        <v>167</v>
      </c>
      <c r="G124" s="75"/>
    </row>
    <row r="125" spans="1:7" x14ac:dyDescent="0.25">
      <c r="A125" s="2" t="s">
        <v>1429</v>
      </c>
      <c r="B125" s="2" t="s">
        <v>1430</v>
      </c>
      <c r="C125" s="2" t="s">
        <v>694</v>
      </c>
      <c r="D125" s="2" t="s">
        <v>648</v>
      </c>
      <c r="E125" s="2">
        <v>194</v>
      </c>
      <c r="G125" s="75"/>
    </row>
    <row r="126" spans="1:7" x14ac:dyDescent="0.25">
      <c r="A126" s="2" t="s">
        <v>1429</v>
      </c>
      <c r="B126" s="2" t="s">
        <v>1430</v>
      </c>
      <c r="C126" s="2" t="s">
        <v>694</v>
      </c>
      <c r="D126" s="2" t="s">
        <v>634</v>
      </c>
      <c r="E126" s="2">
        <v>242</v>
      </c>
      <c r="G126" s="75"/>
    </row>
    <row r="127" spans="1:7" x14ac:dyDescent="0.25">
      <c r="A127" s="2" t="s">
        <v>1429</v>
      </c>
      <c r="B127" s="2" t="s">
        <v>1430</v>
      </c>
      <c r="C127" s="2" t="s">
        <v>694</v>
      </c>
      <c r="D127" s="2" t="s">
        <v>649</v>
      </c>
      <c r="E127" s="2">
        <v>242</v>
      </c>
      <c r="G127" s="75"/>
    </row>
    <row r="128" spans="1:7" x14ac:dyDescent="0.25">
      <c r="A128" s="2" t="s">
        <v>1429</v>
      </c>
      <c r="B128" s="2" t="s">
        <v>1430</v>
      </c>
      <c r="C128" s="2" t="s">
        <v>694</v>
      </c>
      <c r="D128" s="2" t="s">
        <v>635</v>
      </c>
      <c r="E128" s="2">
        <v>282</v>
      </c>
      <c r="G128" s="75"/>
    </row>
    <row r="129" spans="1:7" x14ac:dyDescent="0.25">
      <c r="A129" s="2" t="s">
        <v>1429</v>
      </c>
      <c r="B129" s="2" t="s">
        <v>1430</v>
      </c>
      <c r="C129" s="2" t="s">
        <v>694</v>
      </c>
      <c r="D129" s="2" t="s">
        <v>650</v>
      </c>
      <c r="E129" s="2">
        <v>282</v>
      </c>
      <c r="G129" s="75"/>
    </row>
    <row r="130" spans="1:7" x14ac:dyDescent="0.25">
      <c r="A130" s="2" t="s">
        <v>1429</v>
      </c>
      <c r="B130" s="2" t="s">
        <v>1430</v>
      </c>
      <c r="C130" s="2" t="s">
        <v>694</v>
      </c>
      <c r="D130" s="2" t="s">
        <v>636</v>
      </c>
      <c r="E130" s="2">
        <v>304</v>
      </c>
      <c r="G130" s="75"/>
    </row>
    <row r="131" spans="1:7" x14ac:dyDescent="0.25">
      <c r="A131" s="2" t="s">
        <v>1429</v>
      </c>
      <c r="B131" s="2" t="s">
        <v>1430</v>
      </c>
      <c r="C131" s="2" t="s">
        <v>694</v>
      </c>
      <c r="D131" s="2" t="s">
        <v>651</v>
      </c>
      <c r="E131" s="2">
        <v>304</v>
      </c>
      <c r="G131" s="75"/>
    </row>
    <row r="132" spans="1:7" x14ac:dyDescent="0.25">
      <c r="A132" s="2" t="s">
        <v>1429</v>
      </c>
      <c r="B132" s="2" t="s">
        <v>1430</v>
      </c>
      <c r="C132" s="2" t="s">
        <v>695</v>
      </c>
      <c r="D132" s="2" t="s">
        <v>696</v>
      </c>
      <c r="E132" s="2">
        <v>374</v>
      </c>
      <c r="G132" s="75"/>
    </row>
    <row r="133" spans="1:7" x14ac:dyDescent="0.25">
      <c r="A133" s="2" t="s">
        <v>1429</v>
      </c>
      <c r="B133" s="2" t="s">
        <v>1430</v>
      </c>
      <c r="C133" s="2" t="s">
        <v>695</v>
      </c>
      <c r="D133" s="2" t="s">
        <v>697</v>
      </c>
      <c r="E133" s="2">
        <v>374</v>
      </c>
      <c r="G133" s="75"/>
    </row>
    <row r="134" spans="1:7" x14ac:dyDescent="0.25">
      <c r="A134" s="2" t="s">
        <v>1429</v>
      </c>
      <c r="B134" s="2" t="s">
        <v>1430</v>
      </c>
      <c r="C134" s="2" t="s">
        <v>695</v>
      </c>
      <c r="D134" s="2" t="s">
        <v>698</v>
      </c>
      <c r="E134" s="2">
        <v>374</v>
      </c>
      <c r="G134" s="75"/>
    </row>
    <row r="135" spans="1:7" x14ac:dyDescent="0.25">
      <c r="A135" s="2" t="s">
        <v>1429</v>
      </c>
      <c r="B135" s="2" t="s">
        <v>1430</v>
      </c>
      <c r="C135" s="2" t="s">
        <v>695</v>
      </c>
      <c r="D135" s="2" t="s">
        <v>699</v>
      </c>
      <c r="E135" s="2">
        <v>374</v>
      </c>
      <c r="G135" s="75"/>
    </row>
    <row r="136" spans="1:7" x14ac:dyDescent="0.25">
      <c r="A136" s="2" t="s">
        <v>1429</v>
      </c>
      <c r="B136" s="2" t="s">
        <v>1430</v>
      </c>
      <c r="C136" s="2" t="s">
        <v>695</v>
      </c>
      <c r="D136" s="2" t="s">
        <v>700</v>
      </c>
      <c r="E136" s="2">
        <v>374</v>
      </c>
      <c r="G136" s="75"/>
    </row>
    <row r="137" spans="1:7" x14ac:dyDescent="0.25">
      <c r="A137" s="2" t="s">
        <v>1429</v>
      </c>
      <c r="B137" s="2" t="s">
        <v>1430</v>
      </c>
      <c r="C137" s="2" t="s">
        <v>695</v>
      </c>
      <c r="D137" s="2" t="s">
        <v>701</v>
      </c>
      <c r="E137" s="2">
        <v>374</v>
      </c>
      <c r="G137" s="75"/>
    </row>
    <row r="138" spans="1:7" x14ac:dyDescent="0.25">
      <c r="A138" s="2" t="s">
        <v>1429</v>
      </c>
      <c r="B138" s="2" t="s">
        <v>1430</v>
      </c>
      <c r="C138" s="2" t="s">
        <v>695</v>
      </c>
      <c r="D138" s="2" t="s">
        <v>702</v>
      </c>
      <c r="E138" s="2">
        <v>374</v>
      </c>
      <c r="G138" s="75"/>
    </row>
    <row r="139" spans="1:7" x14ac:dyDescent="0.25">
      <c r="A139" s="2" t="s">
        <v>1429</v>
      </c>
      <c r="B139" s="2" t="s">
        <v>1430</v>
      </c>
      <c r="C139" s="2" t="s">
        <v>695</v>
      </c>
      <c r="D139" s="2" t="s">
        <v>703</v>
      </c>
      <c r="E139" s="2">
        <v>374</v>
      </c>
      <c r="G139" s="75"/>
    </row>
    <row r="140" spans="1:7" x14ac:dyDescent="0.25">
      <c r="A140" s="2" t="s">
        <v>1429</v>
      </c>
      <c r="B140" s="2" t="s">
        <v>1430</v>
      </c>
      <c r="C140" s="2" t="s">
        <v>695</v>
      </c>
      <c r="D140" s="2" t="s">
        <v>704</v>
      </c>
      <c r="E140" s="2">
        <v>374</v>
      </c>
      <c r="G140" s="75"/>
    </row>
    <row r="141" spans="1:7" x14ac:dyDescent="0.25">
      <c r="A141" s="2" t="s">
        <v>1429</v>
      </c>
      <c r="B141" s="2" t="s">
        <v>1430</v>
      </c>
      <c r="C141" s="2" t="s">
        <v>695</v>
      </c>
      <c r="D141" s="2" t="s">
        <v>705</v>
      </c>
      <c r="E141" s="2">
        <v>374</v>
      </c>
      <c r="G141" s="75"/>
    </row>
    <row r="142" spans="1:7" x14ac:dyDescent="0.25">
      <c r="A142" s="2" t="s">
        <v>1431</v>
      </c>
      <c r="B142" s="2" t="s">
        <v>1432</v>
      </c>
      <c r="C142" s="2" t="s">
        <v>603</v>
      </c>
      <c r="D142" s="2" t="s">
        <v>604</v>
      </c>
      <c r="E142" s="2">
        <v>60</v>
      </c>
      <c r="G142" s="75"/>
    </row>
    <row r="143" spans="1:7" x14ac:dyDescent="0.25">
      <c r="A143" s="2" t="s">
        <v>1431</v>
      </c>
      <c r="B143" s="2" t="s">
        <v>1432</v>
      </c>
      <c r="C143" s="2" t="s">
        <v>603</v>
      </c>
      <c r="D143" s="2" t="s">
        <v>605</v>
      </c>
      <c r="E143" s="2">
        <v>72</v>
      </c>
      <c r="G143" s="75"/>
    </row>
    <row r="144" spans="1:7" x14ac:dyDescent="0.25">
      <c r="A144" s="2" t="s">
        <v>1431</v>
      </c>
      <c r="B144" s="2" t="s">
        <v>1432</v>
      </c>
      <c r="C144" s="2" t="s">
        <v>603</v>
      </c>
      <c r="D144" s="2" t="s">
        <v>606</v>
      </c>
      <c r="E144" s="2">
        <v>152</v>
      </c>
      <c r="G144" s="75"/>
    </row>
    <row r="145" spans="1:7" x14ac:dyDescent="0.25">
      <c r="A145" s="2" t="s">
        <v>1431</v>
      </c>
      <c r="B145" s="2" t="s">
        <v>1432</v>
      </c>
      <c r="C145" s="2" t="s">
        <v>603</v>
      </c>
      <c r="D145" s="2" t="s">
        <v>607</v>
      </c>
      <c r="E145" s="2">
        <v>172</v>
      </c>
      <c r="G145" s="75"/>
    </row>
    <row r="146" spans="1:7" x14ac:dyDescent="0.25">
      <c r="A146" s="2" t="s">
        <v>1431</v>
      </c>
      <c r="B146" s="2" t="s">
        <v>1432</v>
      </c>
      <c r="C146" s="2" t="s">
        <v>603</v>
      </c>
      <c r="D146" s="2" t="s">
        <v>608</v>
      </c>
      <c r="E146" s="2">
        <v>196</v>
      </c>
      <c r="G146" s="75"/>
    </row>
    <row r="147" spans="1:7" x14ac:dyDescent="0.25">
      <c r="A147" s="2" t="s">
        <v>1431</v>
      </c>
      <c r="B147" s="2" t="s">
        <v>1432</v>
      </c>
      <c r="C147" s="2" t="s">
        <v>603</v>
      </c>
      <c r="D147" s="2" t="s">
        <v>609</v>
      </c>
      <c r="E147" s="2">
        <v>224</v>
      </c>
      <c r="G147" s="75"/>
    </row>
    <row r="148" spans="1:7" x14ac:dyDescent="0.25">
      <c r="A148" s="2" t="s">
        <v>1431</v>
      </c>
      <c r="B148" s="2" t="s">
        <v>1432</v>
      </c>
      <c r="C148" s="2" t="s">
        <v>603</v>
      </c>
      <c r="D148" s="2" t="s">
        <v>610</v>
      </c>
      <c r="E148" s="2">
        <v>248</v>
      </c>
      <c r="G148" s="75"/>
    </row>
    <row r="149" spans="1:7" x14ac:dyDescent="0.25">
      <c r="A149" s="2" t="s">
        <v>1431</v>
      </c>
      <c r="B149" s="2" t="s">
        <v>1432</v>
      </c>
      <c r="C149" s="2" t="s">
        <v>603</v>
      </c>
      <c r="D149" s="2" t="s">
        <v>611</v>
      </c>
      <c r="E149" s="2">
        <v>276</v>
      </c>
      <c r="G149" s="75"/>
    </row>
    <row r="150" spans="1:7" x14ac:dyDescent="0.25">
      <c r="A150" s="2" t="s">
        <v>1431</v>
      </c>
      <c r="B150" s="2" t="s">
        <v>1432</v>
      </c>
      <c r="C150" s="2" t="s">
        <v>603</v>
      </c>
      <c r="D150" s="2" t="s">
        <v>612</v>
      </c>
      <c r="E150" s="2">
        <v>300</v>
      </c>
      <c r="G150" s="75"/>
    </row>
    <row r="151" spans="1:7" x14ac:dyDescent="0.25">
      <c r="A151" s="2" t="s">
        <v>1431</v>
      </c>
      <c r="B151" s="2" t="s">
        <v>1432</v>
      </c>
      <c r="C151" s="2" t="s">
        <v>603</v>
      </c>
      <c r="D151" s="2" t="s">
        <v>613</v>
      </c>
      <c r="E151" s="2">
        <v>316</v>
      </c>
      <c r="G151" s="75"/>
    </row>
    <row r="152" spans="1:7" x14ac:dyDescent="0.25">
      <c r="A152" s="2" t="s">
        <v>1431</v>
      </c>
      <c r="B152" s="2" t="s">
        <v>1432</v>
      </c>
      <c r="C152" s="2" t="s">
        <v>603</v>
      </c>
      <c r="D152" s="2" t="s">
        <v>614</v>
      </c>
      <c r="E152" s="2">
        <v>356</v>
      </c>
      <c r="G152" s="75"/>
    </row>
    <row r="153" spans="1:7" x14ac:dyDescent="0.25">
      <c r="A153" s="2" t="s">
        <v>1433</v>
      </c>
      <c r="B153" s="2" t="s">
        <v>1434</v>
      </c>
      <c r="C153" s="2" t="s">
        <v>603</v>
      </c>
      <c r="D153" s="2" t="s">
        <v>604</v>
      </c>
      <c r="E153" s="2">
        <v>85</v>
      </c>
      <c r="G153" s="75"/>
    </row>
    <row r="154" spans="1:7" x14ac:dyDescent="0.25">
      <c r="A154" s="2" t="s">
        <v>1433</v>
      </c>
      <c r="B154" s="2" t="s">
        <v>1434</v>
      </c>
      <c r="C154" s="2" t="s">
        <v>603</v>
      </c>
      <c r="D154" s="2" t="s">
        <v>605</v>
      </c>
      <c r="E154" s="2">
        <v>132</v>
      </c>
      <c r="G154" s="75"/>
    </row>
    <row r="155" spans="1:7" x14ac:dyDescent="0.25">
      <c r="A155" s="2" t="s">
        <v>1433</v>
      </c>
      <c r="B155" s="2" t="s">
        <v>1434</v>
      </c>
      <c r="C155" s="2" t="s">
        <v>603</v>
      </c>
      <c r="D155" s="2" t="s">
        <v>606</v>
      </c>
      <c r="E155" s="2">
        <v>157</v>
      </c>
      <c r="G155" s="75"/>
    </row>
    <row r="156" spans="1:7" x14ac:dyDescent="0.25">
      <c r="A156" s="2" t="s">
        <v>1433</v>
      </c>
      <c r="B156" s="2" t="s">
        <v>1434</v>
      </c>
      <c r="C156" s="2" t="s">
        <v>603</v>
      </c>
      <c r="D156" s="2" t="s">
        <v>607</v>
      </c>
      <c r="E156" s="2">
        <v>179</v>
      </c>
      <c r="G156" s="75"/>
    </row>
    <row r="157" spans="1:7" x14ac:dyDescent="0.25">
      <c r="A157" s="2" t="s">
        <v>1433</v>
      </c>
      <c r="B157" s="2" t="s">
        <v>1434</v>
      </c>
      <c r="C157" s="2" t="s">
        <v>603</v>
      </c>
      <c r="D157" s="2" t="s">
        <v>608</v>
      </c>
      <c r="E157" s="2">
        <v>212</v>
      </c>
      <c r="G157" s="75"/>
    </row>
    <row r="158" spans="1:7" x14ac:dyDescent="0.25">
      <c r="A158" s="2" t="s">
        <v>1433</v>
      </c>
      <c r="B158" s="2" t="s">
        <v>1434</v>
      </c>
      <c r="C158" s="2" t="s">
        <v>603</v>
      </c>
      <c r="D158" s="2" t="s">
        <v>609</v>
      </c>
      <c r="E158" s="2">
        <v>233</v>
      </c>
      <c r="G158" s="75"/>
    </row>
    <row r="159" spans="1:7" x14ac:dyDescent="0.25">
      <c r="A159" s="2" t="s">
        <v>1433</v>
      </c>
      <c r="B159" s="2" t="s">
        <v>1434</v>
      </c>
      <c r="C159" s="2" t="s">
        <v>603</v>
      </c>
      <c r="D159" s="2" t="s">
        <v>610</v>
      </c>
      <c r="E159" s="2">
        <v>240</v>
      </c>
      <c r="G159" s="75"/>
    </row>
    <row r="160" spans="1:7" x14ac:dyDescent="0.25">
      <c r="A160" s="2" t="s">
        <v>1433</v>
      </c>
      <c r="B160" s="2" t="s">
        <v>1434</v>
      </c>
      <c r="C160" s="2" t="s">
        <v>603</v>
      </c>
      <c r="D160" s="2" t="s">
        <v>611</v>
      </c>
      <c r="E160" s="2">
        <v>260</v>
      </c>
      <c r="G160" s="75"/>
    </row>
    <row r="161" spans="1:7" x14ac:dyDescent="0.25">
      <c r="A161" s="2" t="s">
        <v>1433</v>
      </c>
      <c r="B161" s="2" t="s">
        <v>1434</v>
      </c>
      <c r="C161" s="2" t="s">
        <v>603</v>
      </c>
      <c r="D161" s="2" t="s">
        <v>612</v>
      </c>
      <c r="E161" s="2">
        <v>276</v>
      </c>
      <c r="G161" s="75"/>
    </row>
    <row r="162" spans="1:7" x14ac:dyDescent="0.25">
      <c r="A162" s="2" t="s">
        <v>1433</v>
      </c>
      <c r="B162" s="2" t="s">
        <v>1434</v>
      </c>
      <c r="C162" s="2" t="s">
        <v>627</v>
      </c>
      <c r="D162" s="2" t="s">
        <v>628</v>
      </c>
      <c r="E162" s="2">
        <v>85</v>
      </c>
      <c r="G162" s="75"/>
    </row>
    <row r="163" spans="1:7" x14ac:dyDescent="0.25">
      <c r="A163" s="2" t="s">
        <v>1433</v>
      </c>
      <c r="B163" s="2" t="s">
        <v>1434</v>
      </c>
      <c r="C163" s="2" t="s">
        <v>691</v>
      </c>
      <c r="D163" s="2" t="s">
        <v>693</v>
      </c>
      <c r="E163" s="2">
        <v>50</v>
      </c>
      <c r="G163" s="75"/>
    </row>
    <row r="164" spans="1:7" x14ac:dyDescent="0.25">
      <c r="A164" s="2" t="s">
        <v>1433</v>
      </c>
      <c r="B164" s="2" t="s">
        <v>1434</v>
      </c>
      <c r="C164" s="2" t="s">
        <v>691</v>
      </c>
      <c r="D164" s="2" t="s">
        <v>647</v>
      </c>
      <c r="E164" s="2">
        <v>157</v>
      </c>
      <c r="G164" s="75"/>
    </row>
    <row r="165" spans="1:7" x14ac:dyDescent="0.25">
      <c r="A165" s="2" t="s">
        <v>1433</v>
      </c>
      <c r="B165" s="2" t="s">
        <v>1434</v>
      </c>
      <c r="C165" s="2" t="s">
        <v>691</v>
      </c>
      <c r="D165" s="2" t="s">
        <v>648</v>
      </c>
      <c r="E165" s="2">
        <v>179</v>
      </c>
      <c r="G165" s="75"/>
    </row>
    <row r="166" spans="1:7" x14ac:dyDescent="0.25">
      <c r="A166" s="2" t="s">
        <v>1433</v>
      </c>
      <c r="B166" s="2" t="s">
        <v>1434</v>
      </c>
      <c r="C166" s="2" t="s">
        <v>691</v>
      </c>
      <c r="D166" s="2" t="s">
        <v>634</v>
      </c>
      <c r="E166" s="2">
        <v>212</v>
      </c>
      <c r="G166" s="75"/>
    </row>
    <row r="167" spans="1:7" x14ac:dyDescent="0.25">
      <c r="A167" s="2" t="s">
        <v>1433</v>
      </c>
      <c r="B167" s="2" t="s">
        <v>1434</v>
      </c>
      <c r="C167" s="2" t="s">
        <v>691</v>
      </c>
      <c r="D167" s="2" t="s">
        <v>649</v>
      </c>
      <c r="E167" s="2">
        <v>212</v>
      </c>
      <c r="G167" s="75"/>
    </row>
    <row r="168" spans="1:7" x14ac:dyDescent="0.25">
      <c r="A168" s="2" t="s">
        <v>1433</v>
      </c>
      <c r="B168" s="2" t="s">
        <v>1434</v>
      </c>
      <c r="C168" s="2" t="s">
        <v>691</v>
      </c>
      <c r="D168" s="2" t="s">
        <v>635</v>
      </c>
      <c r="E168" s="2">
        <v>233</v>
      </c>
      <c r="G168" s="75"/>
    </row>
    <row r="169" spans="1:7" x14ac:dyDescent="0.25">
      <c r="A169" s="2" t="s">
        <v>1433</v>
      </c>
      <c r="B169" s="2" t="s">
        <v>1434</v>
      </c>
      <c r="C169" s="2" t="s">
        <v>691</v>
      </c>
      <c r="D169" s="2" t="s">
        <v>650</v>
      </c>
      <c r="E169" s="2">
        <v>233</v>
      </c>
      <c r="G169" s="75"/>
    </row>
    <row r="170" spans="1:7" x14ac:dyDescent="0.25">
      <c r="A170" s="2" t="s">
        <v>1433</v>
      </c>
      <c r="B170" s="2" t="s">
        <v>1434</v>
      </c>
      <c r="C170" s="2" t="s">
        <v>691</v>
      </c>
      <c r="D170" s="2" t="s">
        <v>636</v>
      </c>
      <c r="E170" s="2">
        <v>240</v>
      </c>
      <c r="G170" s="75"/>
    </row>
    <row r="171" spans="1:7" x14ac:dyDescent="0.25">
      <c r="A171" s="2" t="s">
        <v>1433</v>
      </c>
      <c r="B171" s="2" t="s">
        <v>1434</v>
      </c>
      <c r="C171" s="2" t="s">
        <v>691</v>
      </c>
      <c r="D171" s="2" t="s">
        <v>651</v>
      </c>
      <c r="E171" s="2">
        <v>240</v>
      </c>
      <c r="G171" s="75"/>
    </row>
    <row r="172" spans="1:7" x14ac:dyDescent="0.25">
      <c r="A172" s="2" t="s">
        <v>1433</v>
      </c>
      <c r="B172" s="2" t="s">
        <v>1434</v>
      </c>
      <c r="C172" s="2" t="s">
        <v>694</v>
      </c>
      <c r="D172" s="2" t="s">
        <v>693</v>
      </c>
      <c r="E172" s="2">
        <v>50</v>
      </c>
      <c r="G172" s="75"/>
    </row>
    <row r="173" spans="1:7" x14ac:dyDescent="0.25">
      <c r="A173" s="2" t="s">
        <v>1433</v>
      </c>
      <c r="B173" s="2" t="s">
        <v>1434</v>
      </c>
      <c r="C173" s="2" t="s">
        <v>694</v>
      </c>
      <c r="D173" s="2" t="s">
        <v>647</v>
      </c>
      <c r="E173" s="2">
        <v>157</v>
      </c>
      <c r="G173" s="75"/>
    </row>
    <row r="174" spans="1:7" x14ac:dyDescent="0.25">
      <c r="A174" s="2" t="s">
        <v>1433</v>
      </c>
      <c r="B174" s="2" t="s">
        <v>1434</v>
      </c>
      <c r="C174" s="2" t="s">
        <v>694</v>
      </c>
      <c r="D174" s="2" t="s">
        <v>648</v>
      </c>
      <c r="E174" s="2">
        <v>179</v>
      </c>
    </row>
    <row r="175" spans="1:7" x14ac:dyDescent="0.25">
      <c r="A175" s="2" t="s">
        <v>1433</v>
      </c>
      <c r="B175" s="2" t="s">
        <v>1434</v>
      </c>
      <c r="C175" s="2" t="s">
        <v>694</v>
      </c>
      <c r="D175" s="2" t="s">
        <v>634</v>
      </c>
      <c r="E175" s="2">
        <v>212</v>
      </c>
    </row>
    <row r="176" spans="1:7" x14ac:dyDescent="0.25">
      <c r="A176" s="2" t="s">
        <v>1433</v>
      </c>
      <c r="B176" s="2" t="s">
        <v>1434</v>
      </c>
      <c r="C176" s="2" t="s">
        <v>694</v>
      </c>
      <c r="D176" s="2" t="s">
        <v>649</v>
      </c>
      <c r="E176" s="2">
        <v>212</v>
      </c>
    </row>
    <row r="177" spans="1:5" x14ac:dyDescent="0.25">
      <c r="A177" s="2" t="s">
        <v>1433</v>
      </c>
      <c r="B177" s="2" t="s">
        <v>1434</v>
      </c>
      <c r="C177" s="2" t="s">
        <v>694</v>
      </c>
      <c r="D177" s="2" t="s">
        <v>635</v>
      </c>
      <c r="E177" s="2">
        <v>233</v>
      </c>
    </row>
    <row r="178" spans="1:5" x14ac:dyDescent="0.25">
      <c r="A178" s="2" t="s">
        <v>1433</v>
      </c>
      <c r="B178" s="2" t="s">
        <v>1434</v>
      </c>
      <c r="C178" s="2" t="s">
        <v>694</v>
      </c>
      <c r="D178" s="2" t="s">
        <v>650</v>
      </c>
      <c r="E178" s="2">
        <v>233</v>
      </c>
    </row>
    <row r="179" spans="1:5" x14ac:dyDescent="0.25">
      <c r="A179" s="2" t="s">
        <v>1433</v>
      </c>
      <c r="B179" s="2" t="s">
        <v>1434</v>
      </c>
      <c r="C179" s="2" t="s">
        <v>694</v>
      </c>
      <c r="D179" s="2" t="s">
        <v>636</v>
      </c>
      <c r="E179" s="2">
        <v>240</v>
      </c>
    </row>
    <row r="180" spans="1:5" x14ac:dyDescent="0.25">
      <c r="A180" s="2" t="s">
        <v>1433</v>
      </c>
      <c r="B180" s="2" t="s">
        <v>1434</v>
      </c>
      <c r="C180" s="2" t="s">
        <v>694</v>
      </c>
      <c r="D180" s="2" t="s">
        <v>651</v>
      </c>
      <c r="E180" s="2">
        <v>240</v>
      </c>
    </row>
    <row r="181" spans="1:5" x14ac:dyDescent="0.25">
      <c r="A181" s="2" t="s">
        <v>1433</v>
      </c>
      <c r="B181" s="2" t="s">
        <v>1434</v>
      </c>
      <c r="C181" s="2" t="s">
        <v>695</v>
      </c>
      <c r="D181" s="2" t="s">
        <v>696</v>
      </c>
      <c r="E181" s="2">
        <v>260</v>
      </c>
    </row>
    <row r="182" spans="1:5" x14ac:dyDescent="0.25">
      <c r="A182" s="2" t="s">
        <v>1433</v>
      </c>
      <c r="B182" s="2" t="s">
        <v>1434</v>
      </c>
      <c r="C182" s="2" t="s">
        <v>695</v>
      </c>
      <c r="D182" s="2" t="s">
        <v>697</v>
      </c>
      <c r="E182" s="2">
        <v>276</v>
      </c>
    </row>
    <row r="183" spans="1:5" x14ac:dyDescent="0.25">
      <c r="A183" s="2" t="s">
        <v>1433</v>
      </c>
      <c r="B183" s="2" t="s">
        <v>1434</v>
      </c>
      <c r="C183" s="2" t="s">
        <v>695</v>
      </c>
      <c r="D183" s="2" t="s">
        <v>698</v>
      </c>
      <c r="E183" s="2">
        <v>276</v>
      </c>
    </row>
    <row r="184" spans="1:5" x14ac:dyDescent="0.25">
      <c r="A184" s="2" t="s">
        <v>1433</v>
      </c>
      <c r="B184" s="2" t="s">
        <v>1434</v>
      </c>
      <c r="C184" s="2" t="s">
        <v>695</v>
      </c>
      <c r="D184" s="2" t="s">
        <v>699</v>
      </c>
      <c r="E184" s="2">
        <v>276</v>
      </c>
    </row>
    <row r="185" spans="1:5" x14ac:dyDescent="0.25">
      <c r="A185" s="2" t="s">
        <v>1433</v>
      </c>
      <c r="B185" s="2" t="s">
        <v>1434</v>
      </c>
      <c r="C185" s="2" t="s">
        <v>695</v>
      </c>
      <c r="D185" s="2" t="s">
        <v>700</v>
      </c>
      <c r="E185" s="2">
        <v>276</v>
      </c>
    </row>
    <row r="186" spans="1:5" x14ac:dyDescent="0.25">
      <c r="A186" s="2" t="s">
        <v>1433</v>
      </c>
      <c r="B186" s="2" t="s">
        <v>1434</v>
      </c>
      <c r="C186" s="2" t="s">
        <v>695</v>
      </c>
      <c r="D186" s="2" t="s">
        <v>701</v>
      </c>
      <c r="E186" s="2">
        <v>276</v>
      </c>
    </row>
    <row r="187" spans="1:5" x14ac:dyDescent="0.25">
      <c r="A187" s="2" t="s">
        <v>1433</v>
      </c>
      <c r="B187" s="2" t="s">
        <v>1434</v>
      </c>
      <c r="C187" s="2" t="s">
        <v>695</v>
      </c>
      <c r="D187" s="2" t="s">
        <v>702</v>
      </c>
      <c r="E187" s="2">
        <v>276</v>
      </c>
    </row>
    <row r="188" spans="1:5" x14ac:dyDescent="0.25">
      <c r="A188" s="2" t="s">
        <v>1433</v>
      </c>
      <c r="B188" s="2" t="s">
        <v>1434</v>
      </c>
      <c r="C188" s="2" t="s">
        <v>695</v>
      </c>
      <c r="D188" s="2" t="s">
        <v>703</v>
      </c>
      <c r="E188" s="2">
        <v>276</v>
      </c>
    </row>
    <row r="189" spans="1:5" x14ac:dyDescent="0.25">
      <c r="A189" s="2" t="s">
        <v>1433</v>
      </c>
      <c r="B189" s="2" t="s">
        <v>1434</v>
      </c>
      <c r="C189" s="2" t="s">
        <v>695</v>
      </c>
      <c r="D189" s="2" t="s">
        <v>704</v>
      </c>
      <c r="E189" s="2">
        <v>276</v>
      </c>
    </row>
    <row r="190" spans="1:5" x14ac:dyDescent="0.25">
      <c r="A190" s="2" t="s">
        <v>1433</v>
      </c>
      <c r="B190" s="2" t="s">
        <v>1434</v>
      </c>
      <c r="C190" s="2" t="s">
        <v>695</v>
      </c>
      <c r="D190" s="2" t="s">
        <v>705</v>
      </c>
      <c r="E190" s="2">
        <v>276</v>
      </c>
    </row>
    <row r="191" spans="1:5" x14ac:dyDescent="0.25">
      <c r="A191" s="2" t="s">
        <v>1433</v>
      </c>
      <c r="B191" s="2" t="s">
        <v>1434</v>
      </c>
      <c r="C191" s="2" t="s">
        <v>767</v>
      </c>
      <c r="D191" s="2" t="s">
        <v>768</v>
      </c>
      <c r="E191" s="2">
        <v>85</v>
      </c>
    </row>
    <row r="192" spans="1:5" x14ac:dyDescent="0.25">
      <c r="A192" s="2" t="s">
        <v>1433</v>
      </c>
      <c r="B192" s="2" t="s">
        <v>1434</v>
      </c>
      <c r="C192" s="2" t="s">
        <v>767</v>
      </c>
      <c r="D192" s="2" t="s">
        <v>769</v>
      </c>
      <c r="E192" s="2">
        <v>85</v>
      </c>
    </row>
    <row r="193" spans="1:5" x14ac:dyDescent="0.25">
      <c r="A193" s="2" t="s">
        <v>1433</v>
      </c>
      <c r="B193" s="2" t="s">
        <v>1434</v>
      </c>
      <c r="C193" s="2" t="s">
        <v>767</v>
      </c>
      <c r="D193" s="2" t="s">
        <v>770</v>
      </c>
      <c r="E193" s="2">
        <v>85</v>
      </c>
    </row>
    <row r="194" spans="1:5" x14ac:dyDescent="0.25">
      <c r="A194" s="2" t="s">
        <v>1433</v>
      </c>
      <c r="B194" s="2" t="s">
        <v>1434</v>
      </c>
      <c r="C194" s="2" t="s">
        <v>767</v>
      </c>
      <c r="D194" s="2" t="s">
        <v>771</v>
      </c>
      <c r="E194" s="2">
        <v>85</v>
      </c>
    </row>
    <row r="195" spans="1:5" x14ac:dyDescent="0.25">
      <c r="A195" s="2" t="s">
        <v>1433</v>
      </c>
      <c r="B195" s="2" t="s">
        <v>1434</v>
      </c>
      <c r="C195" s="2" t="s">
        <v>767</v>
      </c>
      <c r="D195" s="2" t="s">
        <v>772</v>
      </c>
      <c r="E195" s="2">
        <v>85</v>
      </c>
    </row>
    <row r="196" spans="1:5" x14ac:dyDescent="0.25">
      <c r="A196" s="2" t="s">
        <v>1433</v>
      </c>
      <c r="B196" s="2" t="s">
        <v>1434</v>
      </c>
      <c r="C196" s="2" t="s">
        <v>767</v>
      </c>
      <c r="D196" s="2" t="s">
        <v>773</v>
      </c>
      <c r="E196" s="2">
        <v>85</v>
      </c>
    </row>
    <row r="197" spans="1:5" x14ac:dyDescent="0.25">
      <c r="A197" s="2" t="s">
        <v>1433</v>
      </c>
      <c r="B197" s="2" t="s">
        <v>1434</v>
      </c>
      <c r="C197" s="2" t="s">
        <v>767</v>
      </c>
      <c r="D197" s="2" t="s">
        <v>774</v>
      </c>
      <c r="E197" s="2">
        <v>85</v>
      </c>
    </row>
    <row r="198" spans="1:5" x14ac:dyDescent="0.25">
      <c r="A198" s="2" t="s">
        <v>1433</v>
      </c>
      <c r="B198" s="2" t="s">
        <v>1434</v>
      </c>
      <c r="C198" s="2" t="s">
        <v>767</v>
      </c>
      <c r="D198" s="2" t="s">
        <v>775</v>
      </c>
      <c r="E198" s="2">
        <v>85</v>
      </c>
    </row>
    <row r="199" spans="1:5" x14ac:dyDescent="0.25">
      <c r="A199" s="2" t="s">
        <v>1433</v>
      </c>
      <c r="B199" s="2" t="s">
        <v>1434</v>
      </c>
      <c r="C199" s="2" t="s">
        <v>767</v>
      </c>
      <c r="D199" s="2" t="s">
        <v>776</v>
      </c>
      <c r="E199" s="2">
        <v>85</v>
      </c>
    </row>
    <row r="200" spans="1:5" x14ac:dyDescent="0.25">
      <c r="A200" s="2" t="s">
        <v>1433</v>
      </c>
      <c r="B200" s="2" t="s">
        <v>1434</v>
      </c>
      <c r="C200" s="2" t="s">
        <v>767</v>
      </c>
      <c r="D200" s="2" t="s">
        <v>777</v>
      </c>
      <c r="E200" s="2">
        <v>85</v>
      </c>
    </row>
    <row r="201" spans="1:5" x14ac:dyDescent="0.25">
      <c r="A201" s="2" t="s">
        <v>1433</v>
      </c>
      <c r="B201" s="2" t="s">
        <v>1434</v>
      </c>
      <c r="C201" s="2" t="s">
        <v>767</v>
      </c>
      <c r="D201" s="2" t="s">
        <v>778</v>
      </c>
      <c r="E201" s="2">
        <v>85</v>
      </c>
    </row>
    <row r="202" spans="1:5" x14ac:dyDescent="0.25">
      <c r="A202" s="2" t="s">
        <v>1433</v>
      </c>
      <c r="B202" s="2" t="s">
        <v>1434</v>
      </c>
      <c r="C202" s="2" t="s">
        <v>767</v>
      </c>
      <c r="D202" s="2" t="s">
        <v>779</v>
      </c>
      <c r="E202" s="2">
        <v>85</v>
      </c>
    </row>
    <row r="203" spans="1:5" x14ac:dyDescent="0.25">
      <c r="A203" s="2" t="s">
        <v>1433</v>
      </c>
      <c r="B203" s="2" t="s">
        <v>1434</v>
      </c>
      <c r="C203" s="2" t="s">
        <v>767</v>
      </c>
      <c r="D203" s="2" t="s">
        <v>780</v>
      </c>
      <c r="E203" s="2">
        <v>85</v>
      </c>
    </row>
    <row r="204" spans="1:5" x14ac:dyDescent="0.25">
      <c r="A204" s="2" t="s">
        <v>1433</v>
      </c>
      <c r="B204" s="2" t="s">
        <v>1434</v>
      </c>
      <c r="C204" s="2" t="s">
        <v>767</v>
      </c>
      <c r="D204" s="2" t="s">
        <v>781</v>
      </c>
      <c r="E204" s="2">
        <v>85</v>
      </c>
    </row>
    <row r="205" spans="1:5" x14ac:dyDescent="0.25">
      <c r="A205" s="2" t="s">
        <v>1433</v>
      </c>
      <c r="B205" s="2" t="s">
        <v>1434</v>
      </c>
      <c r="C205" s="2" t="s">
        <v>767</v>
      </c>
      <c r="D205" s="2" t="s">
        <v>782</v>
      </c>
      <c r="E205" s="2">
        <v>85</v>
      </c>
    </row>
    <row r="206" spans="1:5" x14ac:dyDescent="0.25">
      <c r="A206" s="2" t="s">
        <v>1433</v>
      </c>
      <c r="B206" s="2" t="s">
        <v>1434</v>
      </c>
      <c r="C206" s="2" t="s">
        <v>767</v>
      </c>
      <c r="D206" s="2" t="s">
        <v>783</v>
      </c>
      <c r="E206" s="2">
        <v>85</v>
      </c>
    </row>
    <row r="207" spans="1:5" x14ac:dyDescent="0.25">
      <c r="A207" s="2" t="s">
        <v>1433</v>
      </c>
      <c r="B207" s="2" t="s">
        <v>1434</v>
      </c>
      <c r="C207" s="2" t="s">
        <v>767</v>
      </c>
      <c r="D207" s="2" t="s">
        <v>784</v>
      </c>
      <c r="E207" s="2">
        <v>85</v>
      </c>
    </row>
    <row r="208" spans="1:5" x14ac:dyDescent="0.25">
      <c r="A208" s="2" t="s">
        <v>1433</v>
      </c>
      <c r="B208" s="2" t="s">
        <v>1434</v>
      </c>
      <c r="C208" s="2" t="s">
        <v>767</v>
      </c>
      <c r="D208" s="2" t="s">
        <v>785</v>
      </c>
      <c r="E208" s="2">
        <v>85</v>
      </c>
    </row>
    <row r="209" spans="1:5" x14ac:dyDescent="0.25">
      <c r="A209" s="2" t="s">
        <v>1433</v>
      </c>
      <c r="B209" s="2" t="s">
        <v>1434</v>
      </c>
      <c r="C209" s="2" t="s">
        <v>767</v>
      </c>
      <c r="D209" s="2" t="s">
        <v>786</v>
      </c>
      <c r="E209" s="2">
        <v>85</v>
      </c>
    </row>
    <row r="210" spans="1:5" x14ac:dyDescent="0.25">
      <c r="A210" s="2" t="s">
        <v>1433</v>
      </c>
      <c r="B210" s="2" t="s">
        <v>1434</v>
      </c>
      <c r="C210" s="2" t="s">
        <v>767</v>
      </c>
      <c r="D210" s="2" t="s">
        <v>787</v>
      </c>
      <c r="E210" s="2">
        <v>85</v>
      </c>
    </row>
    <row r="211" spans="1:5" x14ac:dyDescent="0.25">
      <c r="A211" s="2" t="s">
        <v>1433</v>
      </c>
      <c r="B211" s="2" t="s">
        <v>1434</v>
      </c>
      <c r="C211" s="2" t="s">
        <v>767</v>
      </c>
      <c r="D211" s="2" t="s">
        <v>788</v>
      </c>
      <c r="E211" s="2">
        <v>85</v>
      </c>
    </row>
    <row r="212" spans="1:5" x14ac:dyDescent="0.25">
      <c r="A212" s="2" t="s">
        <v>1433</v>
      </c>
      <c r="B212" s="2" t="s">
        <v>1434</v>
      </c>
      <c r="C212" s="2" t="s">
        <v>767</v>
      </c>
      <c r="D212" s="2" t="s">
        <v>789</v>
      </c>
      <c r="E212" s="2">
        <v>85</v>
      </c>
    </row>
    <row r="213" spans="1:5" x14ac:dyDescent="0.25">
      <c r="A213" s="2" t="s">
        <v>1433</v>
      </c>
      <c r="B213" s="2" t="s">
        <v>1434</v>
      </c>
      <c r="C213" s="2" t="s">
        <v>767</v>
      </c>
      <c r="D213" s="2" t="s">
        <v>790</v>
      </c>
      <c r="E213" s="2">
        <v>85</v>
      </c>
    </row>
    <row r="214" spans="1:5" x14ac:dyDescent="0.25">
      <c r="A214" s="2" t="s">
        <v>1433</v>
      </c>
      <c r="B214" s="2" t="s">
        <v>1434</v>
      </c>
      <c r="C214" s="2" t="s">
        <v>767</v>
      </c>
      <c r="D214" s="2" t="s">
        <v>791</v>
      </c>
      <c r="E214" s="2">
        <v>85</v>
      </c>
    </row>
    <row r="215" spans="1:5" x14ac:dyDescent="0.25">
      <c r="A215" s="2" t="s">
        <v>1433</v>
      </c>
      <c r="B215" s="2" t="s">
        <v>1434</v>
      </c>
      <c r="C215" s="2" t="s">
        <v>767</v>
      </c>
      <c r="D215" s="2" t="s">
        <v>792</v>
      </c>
      <c r="E215" s="2">
        <v>85</v>
      </c>
    </row>
    <row r="216" spans="1:5" x14ac:dyDescent="0.25">
      <c r="A216" s="2" t="s">
        <v>1433</v>
      </c>
      <c r="B216" s="2" t="s">
        <v>1434</v>
      </c>
      <c r="C216" s="2" t="s">
        <v>767</v>
      </c>
      <c r="D216" s="2" t="s">
        <v>793</v>
      </c>
      <c r="E216" s="2">
        <v>85</v>
      </c>
    </row>
    <row r="217" spans="1:5" x14ac:dyDescent="0.25">
      <c r="A217" s="2" t="s">
        <v>1433</v>
      </c>
      <c r="B217" s="2" t="s">
        <v>1434</v>
      </c>
      <c r="C217" s="2" t="s">
        <v>767</v>
      </c>
      <c r="D217" s="2" t="s">
        <v>794</v>
      </c>
      <c r="E217" s="2">
        <v>85</v>
      </c>
    </row>
    <row r="218" spans="1:5" x14ac:dyDescent="0.25">
      <c r="A218" s="2" t="s">
        <v>1433</v>
      </c>
      <c r="B218" s="2" t="s">
        <v>1434</v>
      </c>
      <c r="C218" s="2" t="s">
        <v>767</v>
      </c>
      <c r="D218" s="2" t="s">
        <v>795</v>
      </c>
      <c r="E218" s="2">
        <v>85</v>
      </c>
    </row>
    <row r="219" spans="1:5" x14ac:dyDescent="0.25">
      <c r="A219" s="2" t="s">
        <v>1433</v>
      </c>
      <c r="B219" s="2" t="s">
        <v>1434</v>
      </c>
      <c r="C219" s="2" t="s">
        <v>767</v>
      </c>
      <c r="D219" s="2" t="s">
        <v>796</v>
      </c>
      <c r="E219" s="2">
        <v>85</v>
      </c>
    </row>
    <row r="220" spans="1:5" x14ac:dyDescent="0.25">
      <c r="A220" s="2" t="s">
        <v>1433</v>
      </c>
      <c r="B220" s="2" t="s">
        <v>1434</v>
      </c>
      <c r="C220" s="2" t="s">
        <v>767</v>
      </c>
      <c r="D220" s="2" t="s">
        <v>797</v>
      </c>
      <c r="E220" s="2">
        <v>85</v>
      </c>
    </row>
    <row r="221" spans="1:5" x14ac:dyDescent="0.25">
      <c r="A221" s="2" t="s">
        <v>1433</v>
      </c>
      <c r="B221" s="2" t="s">
        <v>1434</v>
      </c>
      <c r="C221" s="2" t="s">
        <v>767</v>
      </c>
      <c r="D221" s="2" t="s">
        <v>798</v>
      </c>
      <c r="E221" s="2">
        <v>85</v>
      </c>
    </row>
    <row r="222" spans="1:5" x14ac:dyDescent="0.25">
      <c r="A222" s="2" t="s">
        <v>1433</v>
      </c>
      <c r="B222" s="2" t="s">
        <v>1434</v>
      </c>
      <c r="C222" s="2" t="s">
        <v>767</v>
      </c>
      <c r="D222" s="2" t="s">
        <v>799</v>
      </c>
      <c r="E222" s="2">
        <v>85</v>
      </c>
    </row>
    <row r="223" spans="1:5" x14ac:dyDescent="0.25">
      <c r="A223" s="2" t="s">
        <v>1433</v>
      </c>
      <c r="B223" s="2" t="s">
        <v>1434</v>
      </c>
      <c r="C223" s="2" t="s">
        <v>767</v>
      </c>
      <c r="D223" s="2" t="s">
        <v>800</v>
      </c>
      <c r="E223" s="2">
        <v>85</v>
      </c>
    </row>
    <row r="224" spans="1:5" x14ac:dyDescent="0.25">
      <c r="A224" s="2" t="s">
        <v>1433</v>
      </c>
      <c r="B224" s="2" t="s">
        <v>1434</v>
      </c>
      <c r="C224" s="2" t="s">
        <v>767</v>
      </c>
      <c r="D224" s="2" t="s">
        <v>801</v>
      </c>
      <c r="E224" s="2">
        <v>85</v>
      </c>
    </row>
    <row r="225" spans="1:5" x14ac:dyDescent="0.25">
      <c r="A225" s="2" t="s">
        <v>1433</v>
      </c>
      <c r="B225" s="2" t="s">
        <v>1434</v>
      </c>
      <c r="C225" s="2" t="s">
        <v>767</v>
      </c>
      <c r="D225" s="2" t="s">
        <v>802</v>
      </c>
      <c r="E225" s="2">
        <v>85</v>
      </c>
    </row>
    <row r="226" spans="1:5" x14ac:dyDescent="0.25">
      <c r="A226" s="2" t="s">
        <v>1433</v>
      </c>
      <c r="B226" s="2" t="s">
        <v>1434</v>
      </c>
      <c r="C226" s="2" t="s">
        <v>767</v>
      </c>
      <c r="D226" s="2" t="s">
        <v>803</v>
      </c>
      <c r="E226" s="2">
        <v>85</v>
      </c>
    </row>
    <row r="227" spans="1:5" x14ac:dyDescent="0.25">
      <c r="A227" s="2" t="s">
        <v>1433</v>
      </c>
      <c r="B227" s="2" t="s">
        <v>1434</v>
      </c>
      <c r="C227" s="2" t="s">
        <v>767</v>
      </c>
      <c r="D227" s="2" t="s">
        <v>804</v>
      </c>
      <c r="E227" s="2">
        <v>85</v>
      </c>
    </row>
    <row r="228" spans="1:5" x14ac:dyDescent="0.25">
      <c r="A228" s="2" t="s">
        <v>1433</v>
      </c>
      <c r="B228" s="2" t="s">
        <v>1434</v>
      </c>
      <c r="C228" s="2" t="s">
        <v>767</v>
      </c>
      <c r="D228" s="2" t="s">
        <v>805</v>
      </c>
      <c r="E228" s="2">
        <v>85</v>
      </c>
    </row>
    <row r="229" spans="1:5" x14ac:dyDescent="0.25">
      <c r="A229" s="2" t="s">
        <v>1433</v>
      </c>
      <c r="B229" s="2" t="s">
        <v>1434</v>
      </c>
      <c r="C229" s="2" t="s">
        <v>767</v>
      </c>
      <c r="D229" s="2" t="s">
        <v>806</v>
      </c>
      <c r="E229" s="2">
        <v>85</v>
      </c>
    </row>
    <row r="230" spans="1:5" x14ac:dyDescent="0.25">
      <c r="A230" s="2" t="s">
        <v>1433</v>
      </c>
      <c r="B230" s="2" t="s">
        <v>1434</v>
      </c>
      <c r="C230" s="2" t="s">
        <v>767</v>
      </c>
      <c r="D230" s="2" t="s">
        <v>807</v>
      </c>
      <c r="E230" s="2">
        <v>85</v>
      </c>
    </row>
    <row r="231" spans="1:5" x14ac:dyDescent="0.25">
      <c r="A231" s="2" t="s">
        <v>1433</v>
      </c>
      <c r="B231" s="2" t="s">
        <v>1434</v>
      </c>
      <c r="C231" s="2" t="s">
        <v>767</v>
      </c>
      <c r="D231" s="2" t="s">
        <v>808</v>
      </c>
      <c r="E231" s="2">
        <v>85</v>
      </c>
    </row>
    <row r="232" spans="1:5" x14ac:dyDescent="0.25">
      <c r="A232" s="2" t="s">
        <v>1433</v>
      </c>
      <c r="B232" s="2" t="s">
        <v>1434</v>
      </c>
      <c r="C232" s="2" t="s">
        <v>767</v>
      </c>
      <c r="D232" s="2" t="s">
        <v>809</v>
      </c>
      <c r="E232" s="2">
        <v>85</v>
      </c>
    </row>
    <row r="233" spans="1:5" x14ac:dyDescent="0.25">
      <c r="A233" s="2" t="s">
        <v>1433</v>
      </c>
      <c r="B233" s="2" t="s">
        <v>1434</v>
      </c>
      <c r="C233" s="2" t="s">
        <v>767</v>
      </c>
      <c r="D233" s="2" t="s">
        <v>810</v>
      </c>
      <c r="E233" s="2">
        <v>85</v>
      </c>
    </row>
    <row r="234" spans="1:5" x14ac:dyDescent="0.25">
      <c r="A234" s="2" t="s">
        <v>1433</v>
      </c>
      <c r="B234" s="2" t="s">
        <v>1434</v>
      </c>
      <c r="C234" s="2" t="s">
        <v>767</v>
      </c>
      <c r="D234" s="2" t="s">
        <v>811</v>
      </c>
      <c r="E234" s="2">
        <v>85</v>
      </c>
    </row>
    <row r="235" spans="1:5" x14ac:dyDescent="0.25">
      <c r="A235" s="2" t="s">
        <v>1433</v>
      </c>
      <c r="B235" s="2" t="s">
        <v>1434</v>
      </c>
      <c r="C235" s="2" t="s">
        <v>767</v>
      </c>
      <c r="D235" s="2" t="s">
        <v>812</v>
      </c>
      <c r="E235" s="2">
        <v>85</v>
      </c>
    </row>
    <row r="236" spans="1:5" x14ac:dyDescent="0.25">
      <c r="A236" s="2" t="s">
        <v>1433</v>
      </c>
      <c r="B236" s="2" t="s">
        <v>1434</v>
      </c>
      <c r="C236" s="2" t="s">
        <v>767</v>
      </c>
      <c r="D236" s="2" t="s">
        <v>813</v>
      </c>
      <c r="E236" s="2">
        <v>85</v>
      </c>
    </row>
    <row r="237" spans="1:5" x14ac:dyDescent="0.25">
      <c r="A237" s="2" t="s">
        <v>1433</v>
      </c>
      <c r="B237" s="2" t="s">
        <v>1434</v>
      </c>
      <c r="C237" s="2" t="s">
        <v>767</v>
      </c>
      <c r="D237" s="2" t="s">
        <v>814</v>
      </c>
      <c r="E237" s="2">
        <v>85</v>
      </c>
    </row>
    <row r="238" spans="1:5" x14ac:dyDescent="0.25">
      <c r="A238" s="2" t="s">
        <v>1433</v>
      </c>
      <c r="B238" s="2" t="s">
        <v>1434</v>
      </c>
      <c r="C238" s="2" t="s">
        <v>767</v>
      </c>
      <c r="D238" s="2" t="s">
        <v>815</v>
      </c>
      <c r="E238" s="2">
        <v>85</v>
      </c>
    </row>
    <row r="239" spans="1:5" x14ac:dyDescent="0.25">
      <c r="A239" s="2" t="s">
        <v>1433</v>
      </c>
      <c r="B239" s="2" t="s">
        <v>1434</v>
      </c>
      <c r="C239" s="2" t="s">
        <v>767</v>
      </c>
      <c r="D239" s="2" t="s">
        <v>816</v>
      </c>
      <c r="E239" s="2">
        <v>85</v>
      </c>
    </row>
    <row r="240" spans="1:5" x14ac:dyDescent="0.25">
      <c r="A240" s="2" t="s">
        <v>1433</v>
      </c>
      <c r="B240" s="2" t="s">
        <v>1434</v>
      </c>
      <c r="C240" s="2" t="s">
        <v>767</v>
      </c>
      <c r="D240" s="2" t="s">
        <v>817</v>
      </c>
      <c r="E240" s="2">
        <v>85</v>
      </c>
    </row>
    <row r="241" spans="1:5" x14ac:dyDescent="0.25">
      <c r="A241" s="2" t="s">
        <v>1433</v>
      </c>
      <c r="B241" s="2" t="s">
        <v>1434</v>
      </c>
      <c r="C241" s="2" t="s">
        <v>767</v>
      </c>
      <c r="D241" s="2" t="s">
        <v>818</v>
      </c>
      <c r="E241" s="2">
        <v>85</v>
      </c>
    </row>
    <row r="242" spans="1:5" x14ac:dyDescent="0.25">
      <c r="A242" s="2" t="s">
        <v>1433</v>
      </c>
      <c r="B242" s="2" t="s">
        <v>1434</v>
      </c>
      <c r="C242" s="2" t="s">
        <v>767</v>
      </c>
      <c r="D242" s="2" t="s">
        <v>819</v>
      </c>
      <c r="E242" s="2">
        <v>85</v>
      </c>
    </row>
    <row r="243" spans="1:5" x14ac:dyDescent="0.25">
      <c r="A243" s="2" t="s">
        <v>1433</v>
      </c>
      <c r="B243" s="2" t="s">
        <v>1434</v>
      </c>
      <c r="C243" s="2" t="s">
        <v>767</v>
      </c>
      <c r="D243" s="2" t="s">
        <v>820</v>
      </c>
      <c r="E243" s="2">
        <v>85</v>
      </c>
    </row>
    <row r="244" spans="1:5" x14ac:dyDescent="0.25">
      <c r="A244" s="2" t="s">
        <v>1433</v>
      </c>
      <c r="B244" s="2" t="s">
        <v>1434</v>
      </c>
      <c r="C244" s="2" t="s">
        <v>767</v>
      </c>
      <c r="D244" s="2" t="s">
        <v>821</v>
      </c>
      <c r="E244" s="2">
        <v>85</v>
      </c>
    </row>
    <row r="245" spans="1:5" x14ac:dyDescent="0.25">
      <c r="A245" s="2" t="s">
        <v>1433</v>
      </c>
      <c r="B245" s="2" t="s">
        <v>1434</v>
      </c>
      <c r="C245" s="2" t="s">
        <v>767</v>
      </c>
      <c r="D245" s="2" t="s">
        <v>822</v>
      </c>
      <c r="E245" s="2">
        <v>85</v>
      </c>
    </row>
    <row r="246" spans="1:5" x14ac:dyDescent="0.25">
      <c r="A246" s="2" t="s">
        <v>1433</v>
      </c>
      <c r="B246" s="2" t="s">
        <v>1434</v>
      </c>
      <c r="C246" s="2" t="s">
        <v>767</v>
      </c>
      <c r="D246" s="2" t="s">
        <v>823</v>
      </c>
      <c r="E246" s="2">
        <v>85</v>
      </c>
    </row>
    <row r="247" spans="1:5" x14ac:dyDescent="0.25">
      <c r="A247" s="2" t="s">
        <v>1433</v>
      </c>
      <c r="B247" s="2" t="s">
        <v>1434</v>
      </c>
      <c r="C247" s="2" t="s">
        <v>767</v>
      </c>
      <c r="D247" s="2" t="s">
        <v>824</v>
      </c>
      <c r="E247" s="2">
        <v>85</v>
      </c>
    </row>
    <row r="248" spans="1:5" x14ac:dyDescent="0.25">
      <c r="A248" s="2" t="s">
        <v>1433</v>
      </c>
      <c r="B248" s="2" t="s">
        <v>1434</v>
      </c>
      <c r="C248" s="2" t="s">
        <v>882</v>
      </c>
      <c r="D248" s="2" t="s">
        <v>883</v>
      </c>
      <c r="E248" s="2">
        <v>85</v>
      </c>
    </row>
    <row r="249" spans="1:5" x14ac:dyDescent="0.25">
      <c r="A249" s="2" t="s">
        <v>1433</v>
      </c>
      <c r="B249" s="2" t="s">
        <v>1434</v>
      </c>
      <c r="C249" s="2" t="s">
        <v>882</v>
      </c>
      <c r="D249" s="2" t="s">
        <v>884</v>
      </c>
      <c r="E249" s="2">
        <v>85</v>
      </c>
    </row>
    <row r="250" spans="1:5" x14ac:dyDescent="0.25">
      <c r="A250" s="2" t="s">
        <v>1433</v>
      </c>
      <c r="B250" s="2" t="s">
        <v>1434</v>
      </c>
      <c r="C250" s="2" t="s">
        <v>882</v>
      </c>
      <c r="D250" s="2" t="s">
        <v>885</v>
      </c>
      <c r="E250" s="2">
        <v>85</v>
      </c>
    </row>
    <row r="251" spans="1:5" x14ac:dyDescent="0.25">
      <c r="A251" s="2" t="s">
        <v>1433</v>
      </c>
      <c r="B251" s="2" t="s">
        <v>1434</v>
      </c>
      <c r="C251" s="2" t="s">
        <v>882</v>
      </c>
      <c r="D251" s="2" t="s">
        <v>886</v>
      </c>
      <c r="E251" s="2">
        <v>85</v>
      </c>
    </row>
    <row r="252" spans="1:5" x14ac:dyDescent="0.25">
      <c r="A252" s="2" t="s">
        <v>1433</v>
      </c>
      <c r="B252" s="2" t="s">
        <v>1434</v>
      </c>
      <c r="C252" s="2" t="s">
        <v>882</v>
      </c>
      <c r="D252" s="2" t="s">
        <v>887</v>
      </c>
      <c r="E252" s="2">
        <v>85</v>
      </c>
    </row>
    <row r="253" spans="1:5" x14ac:dyDescent="0.25">
      <c r="A253" s="2" t="s">
        <v>1433</v>
      </c>
      <c r="B253" s="2" t="s">
        <v>1434</v>
      </c>
      <c r="C253" s="2" t="s">
        <v>882</v>
      </c>
      <c r="D253" s="2" t="s">
        <v>888</v>
      </c>
      <c r="E253" s="2">
        <v>85</v>
      </c>
    </row>
    <row r="254" spans="1:5" x14ac:dyDescent="0.25">
      <c r="A254" s="2" t="s">
        <v>1433</v>
      </c>
      <c r="B254" s="2" t="s">
        <v>1434</v>
      </c>
      <c r="C254" s="2" t="s">
        <v>882</v>
      </c>
      <c r="D254" s="2" t="s">
        <v>889</v>
      </c>
      <c r="E254" s="2">
        <v>85</v>
      </c>
    </row>
    <row r="255" spans="1:5" x14ac:dyDescent="0.25">
      <c r="A255" s="2" t="s">
        <v>1433</v>
      </c>
      <c r="B255" s="2" t="s">
        <v>1434</v>
      </c>
      <c r="C255" s="2" t="s">
        <v>882</v>
      </c>
      <c r="D255" s="2" t="s">
        <v>891</v>
      </c>
      <c r="E255" s="2">
        <v>85</v>
      </c>
    </row>
    <row r="256" spans="1:5" x14ac:dyDescent="0.25">
      <c r="A256" s="2" t="s">
        <v>1433</v>
      </c>
      <c r="B256" s="2" t="s">
        <v>1434</v>
      </c>
      <c r="C256" s="2" t="s">
        <v>882</v>
      </c>
      <c r="D256" s="2" t="s">
        <v>892</v>
      </c>
      <c r="E256" s="2">
        <v>85</v>
      </c>
    </row>
    <row r="257" spans="1:5" x14ac:dyDescent="0.25">
      <c r="A257" s="2" t="s">
        <v>1433</v>
      </c>
      <c r="B257" s="2" t="s">
        <v>1434</v>
      </c>
      <c r="C257" s="2" t="s">
        <v>882</v>
      </c>
      <c r="D257" s="2" t="s">
        <v>893</v>
      </c>
      <c r="E257" s="2">
        <v>85</v>
      </c>
    </row>
    <row r="258" spans="1:5" x14ac:dyDescent="0.25">
      <c r="A258" s="2" t="s">
        <v>1433</v>
      </c>
      <c r="B258" s="2" t="s">
        <v>1434</v>
      </c>
      <c r="C258" s="2" t="s">
        <v>882</v>
      </c>
      <c r="D258" s="2" t="s">
        <v>894</v>
      </c>
      <c r="E258" s="2">
        <v>85</v>
      </c>
    </row>
    <row r="259" spans="1:5" x14ac:dyDescent="0.25">
      <c r="A259" s="2" t="s">
        <v>1433</v>
      </c>
      <c r="B259" s="2" t="s">
        <v>1434</v>
      </c>
      <c r="C259" s="2" t="s">
        <v>882</v>
      </c>
      <c r="D259" s="2" t="s">
        <v>895</v>
      </c>
      <c r="E259" s="2">
        <v>85</v>
      </c>
    </row>
    <row r="260" spans="1:5" x14ac:dyDescent="0.25">
      <c r="A260" s="2" t="s">
        <v>1433</v>
      </c>
      <c r="B260" s="2" t="s">
        <v>1434</v>
      </c>
      <c r="C260" s="2" t="s">
        <v>882</v>
      </c>
      <c r="D260" s="2" t="s">
        <v>896</v>
      </c>
      <c r="E260" s="2">
        <v>85</v>
      </c>
    </row>
    <row r="261" spans="1:5" x14ac:dyDescent="0.25">
      <c r="A261" s="2" t="s">
        <v>1433</v>
      </c>
      <c r="B261" s="2" t="s">
        <v>1434</v>
      </c>
      <c r="C261" s="2" t="s">
        <v>882</v>
      </c>
      <c r="D261" s="2" t="s">
        <v>897</v>
      </c>
      <c r="E261" s="2">
        <v>85</v>
      </c>
    </row>
    <row r="262" spans="1:5" x14ac:dyDescent="0.25">
      <c r="A262" s="2" t="s">
        <v>1433</v>
      </c>
      <c r="B262" s="2" t="s">
        <v>1434</v>
      </c>
      <c r="C262" s="2" t="s">
        <v>882</v>
      </c>
      <c r="D262" s="2" t="s">
        <v>898</v>
      </c>
      <c r="E262" s="2">
        <v>85</v>
      </c>
    </row>
    <row r="263" spans="1:5" x14ac:dyDescent="0.25">
      <c r="A263" s="2" t="s">
        <v>1433</v>
      </c>
      <c r="B263" s="2" t="s">
        <v>1434</v>
      </c>
      <c r="C263" s="2" t="s">
        <v>882</v>
      </c>
      <c r="D263" s="2" t="s">
        <v>899</v>
      </c>
      <c r="E263" s="2">
        <v>85</v>
      </c>
    </row>
    <row r="264" spans="1:5" x14ac:dyDescent="0.25">
      <c r="A264" s="2" t="s">
        <v>1433</v>
      </c>
      <c r="B264" s="2" t="s">
        <v>1434</v>
      </c>
      <c r="C264" s="2" t="s">
        <v>882</v>
      </c>
      <c r="D264" s="2" t="s">
        <v>900</v>
      </c>
      <c r="E264" s="2">
        <v>85</v>
      </c>
    </row>
    <row r="265" spans="1:5" x14ac:dyDescent="0.25">
      <c r="A265" s="2" t="s">
        <v>1433</v>
      </c>
      <c r="B265" s="2" t="s">
        <v>1434</v>
      </c>
      <c r="C265" s="2" t="s">
        <v>882</v>
      </c>
      <c r="D265" s="2" t="s">
        <v>901</v>
      </c>
      <c r="E265" s="2">
        <v>85</v>
      </c>
    </row>
    <row r="266" spans="1:5" x14ac:dyDescent="0.25">
      <c r="A266" s="2" t="s">
        <v>1433</v>
      </c>
      <c r="B266" s="2" t="s">
        <v>1434</v>
      </c>
      <c r="C266" s="2" t="s">
        <v>882</v>
      </c>
      <c r="D266" s="2" t="s">
        <v>902</v>
      </c>
      <c r="E266" s="2">
        <v>85</v>
      </c>
    </row>
    <row r="267" spans="1:5" x14ac:dyDescent="0.25">
      <c r="A267" s="2" t="s">
        <v>1433</v>
      </c>
      <c r="B267" s="2" t="s">
        <v>1434</v>
      </c>
      <c r="C267" s="2" t="s">
        <v>882</v>
      </c>
      <c r="D267" s="2" t="s">
        <v>903</v>
      </c>
      <c r="E267" s="2">
        <v>85</v>
      </c>
    </row>
    <row r="268" spans="1:5" x14ac:dyDescent="0.25">
      <c r="A268" s="2" t="s">
        <v>1433</v>
      </c>
      <c r="B268" s="2" t="s">
        <v>1434</v>
      </c>
      <c r="C268" s="2" t="s">
        <v>882</v>
      </c>
      <c r="D268" s="2" t="s">
        <v>904</v>
      </c>
      <c r="E268" s="2">
        <v>85</v>
      </c>
    </row>
    <row r="269" spans="1:5" x14ac:dyDescent="0.25">
      <c r="A269" s="2" t="s">
        <v>1435</v>
      </c>
      <c r="B269" s="2" t="s">
        <v>1436</v>
      </c>
      <c r="C269" s="2" t="s">
        <v>603</v>
      </c>
      <c r="D269" s="2" t="s">
        <v>604</v>
      </c>
      <c r="E269" s="2">
        <v>90</v>
      </c>
    </row>
    <row r="270" spans="1:5" x14ac:dyDescent="0.25">
      <c r="A270" s="2" t="s">
        <v>1435</v>
      </c>
      <c r="B270" s="2" t="s">
        <v>1436</v>
      </c>
      <c r="C270" s="2" t="s">
        <v>603</v>
      </c>
      <c r="D270" s="2" t="s">
        <v>605</v>
      </c>
      <c r="E270" s="2">
        <v>100</v>
      </c>
    </row>
    <row r="271" spans="1:5" x14ac:dyDescent="0.25">
      <c r="A271" s="2" t="s">
        <v>1435</v>
      </c>
      <c r="B271" s="2" t="s">
        <v>1436</v>
      </c>
      <c r="C271" s="2" t="s">
        <v>603</v>
      </c>
      <c r="D271" s="2" t="s">
        <v>606</v>
      </c>
      <c r="E271" s="2">
        <v>190</v>
      </c>
    </row>
    <row r="272" spans="1:5" x14ac:dyDescent="0.25">
      <c r="A272" s="2" t="s">
        <v>1435</v>
      </c>
      <c r="B272" s="2" t="s">
        <v>1436</v>
      </c>
      <c r="C272" s="2" t="s">
        <v>603</v>
      </c>
      <c r="D272" s="2" t="s">
        <v>607</v>
      </c>
      <c r="E272" s="2">
        <v>220</v>
      </c>
    </row>
    <row r="273" spans="1:5" x14ac:dyDescent="0.25">
      <c r="A273" s="2" t="s">
        <v>1435</v>
      </c>
      <c r="B273" s="2" t="s">
        <v>1436</v>
      </c>
      <c r="C273" s="2" t="s">
        <v>603</v>
      </c>
      <c r="D273" s="2" t="s">
        <v>608</v>
      </c>
      <c r="E273" s="2">
        <v>275</v>
      </c>
    </row>
    <row r="274" spans="1:5" x14ac:dyDescent="0.25">
      <c r="A274" s="2" t="s">
        <v>1435</v>
      </c>
      <c r="B274" s="2" t="s">
        <v>1436</v>
      </c>
      <c r="C274" s="2" t="s">
        <v>603</v>
      </c>
      <c r="D274" s="2" t="s">
        <v>609</v>
      </c>
      <c r="E274" s="2">
        <v>240</v>
      </c>
    </row>
    <row r="275" spans="1:5" x14ac:dyDescent="0.25">
      <c r="A275" s="2" t="s">
        <v>1435</v>
      </c>
      <c r="B275" s="2" t="s">
        <v>1436</v>
      </c>
      <c r="C275" s="2" t="s">
        <v>603</v>
      </c>
      <c r="D275" s="2" t="s">
        <v>610</v>
      </c>
      <c r="E275" s="2">
        <v>320</v>
      </c>
    </row>
    <row r="276" spans="1:5" x14ac:dyDescent="0.25">
      <c r="A276" s="2" t="s">
        <v>1435</v>
      </c>
      <c r="B276" s="2" t="s">
        <v>1436</v>
      </c>
      <c r="C276" s="2" t="s">
        <v>603</v>
      </c>
      <c r="D276" s="2" t="s">
        <v>611</v>
      </c>
      <c r="E276" s="2">
        <v>345</v>
      </c>
    </row>
    <row r="277" spans="1:5" x14ac:dyDescent="0.25">
      <c r="A277" s="2" t="s">
        <v>1435</v>
      </c>
      <c r="B277" s="2" t="s">
        <v>1436</v>
      </c>
      <c r="C277" s="2" t="s">
        <v>603</v>
      </c>
      <c r="D277" s="2" t="s">
        <v>612</v>
      </c>
      <c r="E277" s="2">
        <v>425</v>
      </c>
    </row>
    <row r="278" spans="1:5" x14ac:dyDescent="0.25">
      <c r="A278" s="2" t="s">
        <v>1738</v>
      </c>
      <c r="B278" s="2" t="s">
        <v>1437</v>
      </c>
      <c r="C278" s="2" t="s">
        <v>691</v>
      </c>
      <c r="D278" s="2" t="s">
        <v>647</v>
      </c>
      <c r="E278" s="2">
        <v>56.95</v>
      </c>
    </row>
    <row r="279" spans="1:5" x14ac:dyDescent="0.25">
      <c r="A279" s="2" t="s">
        <v>1738</v>
      </c>
      <c r="B279" s="2" t="s">
        <v>1437</v>
      </c>
      <c r="C279" s="2" t="s">
        <v>691</v>
      </c>
      <c r="D279" s="2" t="s">
        <v>648</v>
      </c>
      <c r="E279" s="2">
        <v>83.19</v>
      </c>
    </row>
    <row r="280" spans="1:5" x14ac:dyDescent="0.25">
      <c r="A280" s="2" t="s">
        <v>1738</v>
      </c>
      <c r="B280" s="2" t="s">
        <v>1437</v>
      </c>
      <c r="C280" s="2" t="s">
        <v>691</v>
      </c>
      <c r="D280" s="2" t="s">
        <v>634</v>
      </c>
      <c r="E280" s="2">
        <v>116.24</v>
      </c>
    </row>
    <row r="281" spans="1:5" x14ac:dyDescent="0.25">
      <c r="A281" s="2" t="s">
        <v>1738</v>
      </c>
      <c r="B281" s="2" t="s">
        <v>1437</v>
      </c>
      <c r="C281" s="2" t="s">
        <v>691</v>
      </c>
      <c r="D281" s="2" t="s">
        <v>649</v>
      </c>
      <c r="E281" s="2">
        <v>116.24</v>
      </c>
    </row>
    <row r="282" spans="1:5" x14ac:dyDescent="0.25">
      <c r="A282" s="2" t="s">
        <v>1738</v>
      </c>
      <c r="B282" s="2" t="s">
        <v>1437</v>
      </c>
      <c r="C282" s="2" t="s">
        <v>691</v>
      </c>
      <c r="D282" s="2" t="s">
        <v>635</v>
      </c>
      <c r="E282" s="2">
        <v>173.93</v>
      </c>
    </row>
    <row r="283" spans="1:5" x14ac:dyDescent="0.25">
      <c r="A283" s="2" t="s">
        <v>1738</v>
      </c>
      <c r="B283" s="2" t="s">
        <v>1437</v>
      </c>
      <c r="C283" s="2" t="s">
        <v>691</v>
      </c>
      <c r="D283" s="2" t="s">
        <v>650</v>
      </c>
      <c r="E283" s="2">
        <v>173.93</v>
      </c>
    </row>
    <row r="284" spans="1:5" x14ac:dyDescent="0.25">
      <c r="A284" s="2" t="s">
        <v>1738</v>
      </c>
      <c r="B284" s="2" t="s">
        <v>1437</v>
      </c>
      <c r="C284" s="2" t="s">
        <v>691</v>
      </c>
      <c r="D284" s="2" t="s">
        <v>636</v>
      </c>
      <c r="E284" s="2">
        <v>260.20999999999998</v>
      </c>
    </row>
    <row r="285" spans="1:5" x14ac:dyDescent="0.25">
      <c r="A285" s="2" t="s">
        <v>1738</v>
      </c>
      <c r="B285" s="2" t="s">
        <v>1437</v>
      </c>
      <c r="C285" s="2" t="s">
        <v>691</v>
      </c>
      <c r="D285" s="2" t="s">
        <v>651</v>
      </c>
      <c r="E285" s="2">
        <v>260.20999999999998</v>
      </c>
    </row>
    <row r="286" spans="1:5" x14ac:dyDescent="0.25">
      <c r="A286" s="2" t="s">
        <v>1738</v>
      </c>
      <c r="B286" s="2" t="s">
        <v>1437</v>
      </c>
      <c r="C286" s="2" t="s">
        <v>694</v>
      </c>
      <c r="D286" s="2" t="s">
        <v>647</v>
      </c>
      <c r="E286" s="2">
        <v>56.95</v>
      </c>
    </row>
    <row r="287" spans="1:5" x14ac:dyDescent="0.25">
      <c r="A287" s="2" t="s">
        <v>1738</v>
      </c>
      <c r="B287" s="2" t="s">
        <v>1437</v>
      </c>
      <c r="C287" s="2" t="s">
        <v>694</v>
      </c>
      <c r="D287" s="2" t="s">
        <v>648</v>
      </c>
      <c r="E287" s="2">
        <v>83.19</v>
      </c>
    </row>
    <row r="288" spans="1:5" x14ac:dyDescent="0.25">
      <c r="A288" s="2" t="s">
        <v>1738</v>
      </c>
      <c r="B288" s="2" t="s">
        <v>1437</v>
      </c>
      <c r="C288" s="2" t="s">
        <v>694</v>
      </c>
      <c r="D288" s="2" t="s">
        <v>634</v>
      </c>
      <c r="E288" s="2">
        <v>116.24</v>
      </c>
    </row>
    <row r="289" spans="1:5" x14ac:dyDescent="0.25">
      <c r="A289" s="2" t="s">
        <v>1738</v>
      </c>
      <c r="B289" s="2" t="s">
        <v>1437</v>
      </c>
      <c r="C289" s="2" t="s">
        <v>694</v>
      </c>
      <c r="D289" s="2" t="s">
        <v>649</v>
      </c>
      <c r="E289" s="2">
        <v>116.24</v>
      </c>
    </row>
    <row r="290" spans="1:5" x14ac:dyDescent="0.25">
      <c r="A290" s="2" t="s">
        <v>1738</v>
      </c>
      <c r="B290" s="2" t="s">
        <v>1437</v>
      </c>
      <c r="C290" s="2" t="s">
        <v>694</v>
      </c>
      <c r="D290" s="2" t="s">
        <v>635</v>
      </c>
      <c r="E290" s="2">
        <v>173.93</v>
      </c>
    </row>
    <row r="291" spans="1:5" x14ac:dyDescent="0.25">
      <c r="A291" s="2" t="s">
        <v>1738</v>
      </c>
      <c r="B291" s="2" t="s">
        <v>1437</v>
      </c>
      <c r="C291" s="2" t="s">
        <v>694</v>
      </c>
      <c r="D291" s="2" t="s">
        <v>650</v>
      </c>
      <c r="E291" s="2">
        <v>173.93</v>
      </c>
    </row>
    <row r="292" spans="1:5" x14ac:dyDescent="0.25">
      <c r="A292" s="2" t="s">
        <v>1738</v>
      </c>
      <c r="B292" s="2" t="s">
        <v>1437</v>
      </c>
      <c r="C292" s="2" t="s">
        <v>694</v>
      </c>
      <c r="D292" s="2" t="s">
        <v>636</v>
      </c>
      <c r="E292" s="2">
        <v>260.20999999999998</v>
      </c>
    </row>
    <row r="293" spans="1:5" x14ac:dyDescent="0.25">
      <c r="A293" s="2" t="s">
        <v>1738</v>
      </c>
      <c r="B293" s="2" t="s">
        <v>1437</v>
      </c>
      <c r="C293" s="2" t="s">
        <v>694</v>
      </c>
      <c r="D293" s="2" t="s">
        <v>651</v>
      </c>
      <c r="E293" s="2">
        <v>260.20999999999998</v>
      </c>
    </row>
    <row r="294" spans="1:5" x14ac:dyDescent="0.25">
      <c r="A294" s="2" t="s">
        <v>1738</v>
      </c>
      <c r="B294" s="2" t="s">
        <v>1437</v>
      </c>
      <c r="C294" s="2" t="s">
        <v>695</v>
      </c>
      <c r="D294" s="2" t="s">
        <v>696</v>
      </c>
      <c r="E294" s="2">
        <v>358.38</v>
      </c>
    </row>
    <row r="295" spans="1:5" x14ac:dyDescent="0.25">
      <c r="A295" s="2" t="s">
        <v>1738</v>
      </c>
      <c r="B295" s="2" t="s">
        <v>1437</v>
      </c>
      <c r="C295" s="2" t="s">
        <v>695</v>
      </c>
      <c r="D295" s="2" t="s">
        <v>697</v>
      </c>
      <c r="E295" s="2">
        <v>358.38</v>
      </c>
    </row>
    <row r="296" spans="1:5" x14ac:dyDescent="0.25">
      <c r="A296" s="2" t="s">
        <v>1738</v>
      </c>
      <c r="B296" s="2" t="s">
        <v>1437</v>
      </c>
      <c r="C296" s="2" t="s">
        <v>695</v>
      </c>
      <c r="D296" s="2" t="s">
        <v>698</v>
      </c>
      <c r="E296" s="2">
        <v>358.38</v>
      </c>
    </row>
    <row r="297" spans="1:5" x14ac:dyDescent="0.25">
      <c r="A297" s="2" t="s">
        <v>1738</v>
      </c>
      <c r="B297" s="2" t="s">
        <v>1437</v>
      </c>
      <c r="C297" s="2" t="s">
        <v>695</v>
      </c>
      <c r="D297" s="2" t="s">
        <v>699</v>
      </c>
      <c r="E297" s="2">
        <v>358.38</v>
      </c>
    </row>
    <row r="298" spans="1:5" x14ac:dyDescent="0.25">
      <c r="A298" s="2" t="s">
        <v>1738</v>
      </c>
      <c r="B298" s="2" t="s">
        <v>1437</v>
      </c>
      <c r="C298" s="2" t="s">
        <v>695</v>
      </c>
      <c r="D298" s="2" t="s">
        <v>700</v>
      </c>
      <c r="E298" s="2">
        <v>358.38</v>
      </c>
    </row>
    <row r="299" spans="1:5" x14ac:dyDescent="0.25">
      <c r="A299" s="2" t="s">
        <v>1738</v>
      </c>
      <c r="B299" s="2" t="s">
        <v>1437</v>
      </c>
      <c r="C299" s="2" t="s">
        <v>695</v>
      </c>
      <c r="D299" s="2" t="s">
        <v>701</v>
      </c>
      <c r="E299" s="2">
        <v>358.38</v>
      </c>
    </row>
    <row r="300" spans="1:5" x14ac:dyDescent="0.25">
      <c r="A300" s="2" t="s">
        <v>1738</v>
      </c>
      <c r="B300" s="2" t="s">
        <v>1437</v>
      </c>
      <c r="C300" s="2" t="s">
        <v>695</v>
      </c>
      <c r="D300" s="2" t="s">
        <v>702</v>
      </c>
      <c r="E300" s="2">
        <v>358.38</v>
      </c>
    </row>
    <row r="301" spans="1:5" x14ac:dyDescent="0.25">
      <c r="A301" s="2" t="s">
        <v>1738</v>
      </c>
      <c r="B301" s="2" t="s">
        <v>1437</v>
      </c>
      <c r="C301" s="2" t="s">
        <v>695</v>
      </c>
      <c r="D301" s="2" t="s">
        <v>703</v>
      </c>
      <c r="E301" s="2">
        <v>358.38</v>
      </c>
    </row>
    <row r="302" spans="1:5" x14ac:dyDescent="0.25">
      <c r="A302" s="2" t="s">
        <v>1738</v>
      </c>
      <c r="B302" s="2" t="s">
        <v>1437</v>
      </c>
      <c r="C302" s="2" t="s">
        <v>695</v>
      </c>
      <c r="D302" s="2" t="s">
        <v>704</v>
      </c>
      <c r="E302" s="2">
        <v>358.38</v>
      </c>
    </row>
    <row r="303" spans="1:5" x14ac:dyDescent="0.25">
      <c r="A303" s="2" t="s">
        <v>1738</v>
      </c>
      <c r="B303" s="2" t="s">
        <v>1437</v>
      </c>
      <c r="C303" s="2" t="s">
        <v>695</v>
      </c>
      <c r="D303" s="2" t="s">
        <v>705</v>
      </c>
      <c r="E303" s="2">
        <v>358.38</v>
      </c>
    </row>
    <row r="304" spans="1:5" x14ac:dyDescent="0.25">
      <c r="A304" s="2" t="s">
        <v>1438</v>
      </c>
      <c r="B304" s="2" t="s">
        <v>1439</v>
      </c>
      <c r="C304" s="2" t="s">
        <v>603</v>
      </c>
      <c r="D304" s="2" t="s">
        <v>604</v>
      </c>
      <c r="E304" s="2">
        <v>85</v>
      </c>
    </row>
    <row r="305" spans="1:5" x14ac:dyDescent="0.25">
      <c r="A305" s="2" t="s">
        <v>1438</v>
      </c>
      <c r="B305" s="2" t="s">
        <v>1439</v>
      </c>
      <c r="C305" s="2" t="s">
        <v>603</v>
      </c>
      <c r="D305" s="2" t="s">
        <v>605</v>
      </c>
      <c r="E305" s="2">
        <v>132</v>
      </c>
    </row>
    <row r="306" spans="1:5" x14ac:dyDescent="0.25">
      <c r="A306" s="2" t="s">
        <v>1438</v>
      </c>
      <c r="B306" s="2" t="s">
        <v>1439</v>
      </c>
      <c r="C306" s="2" t="s">
        <v>603</v>
      </c>
      <c r="D306" s="2" t="s">
        <v>606</v>
      </c>
      <c r="E306" s="2">
        <v>157</v>
      </c>
    </row>
    <row r="307" spans="1:5" x14ac:dyDescent="0.25">
      <c r="A307" s="2" t="s">
        <v>1438</v>
      </c>
      <c r="B307" s="2" t="s">
        <v>1439</v>
      </c>
      <c r="C307" s="2" t="s">
        <v>603</v>
      </c>
      <c r="D307" s="2" t="s">
        <v>607</v>
      </c>
      <c r="E307" s="2">
        <v>179</v>
      </c>
    </row>
    <row r="308" spans="1:5" x14ac:dyDescent="0.25">
      <c r="A308" s="2" t="s">
        <v>1438</v>
      </c>
      <c r="B308" s="2" t="s">
        <v>1439</v>
      </c>
      <c r="C308" s="2" t="s">
        <v>603</v>
      </c>
      <c r="D308" s="2" t="s">
        <v>608</v>
      </c>
      <c r="E308" s="2">
        <v>212</v>
      </c>
    </row>
    <row r="309" spans="1:5" x14ac:dyDescent="0.25">
      <c r="A309" s="2" t="s">
        <v>1438</v>
      </c>
      <c r="B309" s="2" t="s">
        <v>1439</v>
      </c>
      <c r="C309" s="2" t="s">
        <v>603</v>
      </c>
      <c r="D309" s="2" t="s">
        <v>609</v>
      </c>
      <c r="E309" s="2">
        <v>233</v>
      </c>
    </row>
    <row r="310" spans="1:5" x14ac:dyDescent="0.25">
      <c r="A310" s="2" t="s">
        <v>1438</v>
      </c>
      <c r="B310" s="2" t="s">
        <v>1439</v>
      </c>
      <c r="C310" s="2" t="s">
        <v>603</v>
      </c>
      <c r="D310" s="2" t="s">
        <v>610</v>
      </c>
      <c r="E310" s="2">
        <v>240</v>
      </c>
    </row>
    <row r="311" spans="1:5" x14ac:dyDescent="0.25">
      <c r="A311" s="2" t="s">
        <v>1438</v>
      </c>
      <c r="B311" s="2" t="s">
        <v>1439</v>
      </c>
      <c r="C311" s="2" t="s">
        <v>603</v>
      </c>
      <c r="D311" s="2" t="s">
        <v>611</v>
      </c>
      <c r="E311" s="2">
        <v>260</v>
      </c>
    </row>
    <row r="312" spans="1:5" x14ac:dyDescent="0.25">
      <c r="A312" s="2" t="s">
        <v>1438</v>
      </c>
      <c r="B312" s="2" t="s">
        <v>1439</v>
      </c>
      <c r="C312" s="2" t="s">
        <v>603</v>
      </c>
      <c r="D312" s="2" t="s">
        <v>612</v>
      </c>
      <c r="E312" s="2">
        <v>276</v>
      </c>
    </row>
    <row r="313" spans="1:5" x14ac:dyDescent="0.25">
      <c r="A313" s="2" t="s">
        <v>1438</v>
      </c>
      <c r="B313" s="2" t="s">
        <v>1439</v>
      </c>
      <c r="C313" s="2" t="s">
        <v>691</v>
      </c>
      <c r="D313" s="2" t="s">
        <v>647</v>
      </c>
      <c r="E313" s="2">
        <v>157</v>
      </c>
    </row>
    <row r="314" spans="1:5" x14ac:dyDescent="0.25">
      <c r="A314" s="2" t="s">
        <v>1438</v>
      </c>
      <c r="B314" s="2" t="s">
        <v>1439</v>
      </c>
      <c r="C314" s="2" t="s">
        <v>691</v>
      </c>
      <c r="D314" s="2" t="s">
        <v>648</v>
      </c>
      <c r="E314" s="2">
        <v>179</v>
      </c>
    </row>
    <row r="315" spans="1:5" x14ac:dyDescent="0.25">
      <c r="A315" s="2" t="s">
        <v>1438</v>
      </c>
      <c r="B315" s="2" t="s">
        <v>1439</v>
      </c>
      <c r="C315" s="2" t="s">
        <v>691</v>
      </c>
      <c r="D315" s="2" t="s">
        <v>634</v>
      </c>
      <c r="E315" s="2">
        <v>212</v>
      </c>
    </row>
    <row r="316" spans="1:5" x14ac:dyDescent="0.25">
      <c r="A316" s="2" t="s">
        <v>1438</v>
      </c>
      <c r="B316" s="2" t="s">
        <v>1439</v>
      </c>
      <c r="C316" s="2" t="s">
        <v>691</v>
      </c>
      <c r="D316" s="2" t="s">
        <v>649</v>
      </c>
      <c r="E316" s="2">
        <v>212</v>
      </c>
    </row>
    <row r="317" spans="1:5" x14ac:dyDescent="0.25">
      <c r="A317" s="2" t="s">
        <v>1438</v>
      </c>
      <c r="B317" s="2" t="s">
        <v>1439</v>
      </c>
      <c r="C317" s="2" t="s">
        <v>691</v>
      </c>
      <c r="D317" s="2" t="s">
        <v>635</v>
      </c>
      <c r="E317" s="2">
        <v>233</v>
      </c>
    </row>
    <row r="318" spans="1:5" x14ac:dyDescent="0.25">
      <c r="A318" s="2" t="s">
        <v>1438</v>
      </c>
      <c r="B318" s="2" t="s">
        <v>1439</v>
      </c>
      <c r="C318" s="2" t="s">
        <v>691</v>
      </c>
      <c r="D318" s="2" t="s">
        <v>650</v>
      </c>
      <c r="E318" s="2">
        <v>233</v>
      </c>
    </row>
    <row r="319" spans="1:5" x14ac:dyDescent="0.25">
      <c r="A319" s="2" t="s">
        <v>1438</v>
      </c>
      <c r="B319" s="2" t="s">
        <v>1439</v>
      </c>
      <c r="C319" s="2" t="s">
        <v>691</v>
      </c>
      <c r="D319" s="2" t="s">
        <v>636</v>
      </c>
      <c r="E319" s="2">
        <v>240</v>
      </c>
    </row>
    <row r="320" spans="1:5" x14ac:dyDescent="0.25">
      <c r="A320" s="2" t="s">
        <v>1438</v>
      </c>
      <c r="B320" s="2" t="s">
        <v>1439</v>
      </c>
      <c r="C320" s="2" t="s">
        <v>691</v>
      </c>
      <c r="D320" s="2" t="s">
        <v>651</v>
      </c>
      <c r="E320" s="2">
        <v>240</v>
      </c>
    </row>
    <row r="321" spans="1:5" x14ac:dyDescent="0.25">
      <c r="A321" s="2" t="s">
        <v>1438</v>
      </c>
      <c r="B321" s="2" t="s">
        <v>1439</v>
      </c>
      <c r="C321" s="2" t="s">
        <v>694</v>
      </c>
      <c r="D321" s="2" t="s">
        <v>647</v>
      </c>
      <c r="E321" s="2">
        <v>157</v>
      </c>
    </row>
    <row r="322" spans="1:5" x14ac:dyDescent="0.25">
      <c r="A322" s="2" t="s">
        <v>1438</v>
      </c>
      <c r="B322" s="2" t="s">
        <v>1439</v>
      </c>
      <c r="C322" s="2" t="s">
        <v>694</v>
      </c>
      <c r="D322" s="2" t="s">
        <v>648</v>
      </c>
      <c r="E322" s="2">
        <v>179</v>
      </c>
    </row>
    <row r="323" spans="1:5" x14ac:dyDescent="0.25">
      <c r="A323" s="2" t="s">
        <v>1438</v>
      </c>
      <c r="B323" s="2" t="s">
        <v>1439</v>
      </c>
      <c r="C323" s="2" t="s">
        <v>694</v>
      </c>
      <c r="D323" s="2" t="s">
        <v>634</v>
      </c>
      <c r="E323" s="2">
        <v>212</v>
      </c>
    </row>
    <row r="324" spans="1:5" x14ac:dyDescent="0.25">
      <c r="A324" s="2" t="s">
        <v>1438</v>
      </c>
      <c r="B324" s="2" t="s">
        <v>1439</v>
      </c>
      <c r="C324" s="2" t="s">
        <v>694</v>
      </c>
      <c r="D324" s="2" t="s">
        <v>649</v>
      </c>
      <c r="E324" s="2">
        <v>212</v>
      </c>
    </row>
    <row r="325" spans="1:5" x14ac:dyDescent="0.25">
      <c r="A325" s="2" t="s">
        <v>1438</v>
      </c>
      <c r="B325" s="2" t="s">
        <v>1439</v>
      </c>
      <c r="C325" s="2" t="s">
        <v>694</v>
      </c>
      <c r="D325" s="2" t="s">
        <v>635</v>
      </c>
      <c r="E325" s="2">
        <v>233</v>
      </c>
    </row>
    <row r="326" spans="1:5" x14ac:dyDescent="0.25">
      <c r="A326" s="2" t="s">
        <v>1438</v>
      </c>
      <c r="B326" s="2" t="s">
        <v>1439</v>
      </c>
      <c r="C326" s="2" t="s">
        <v>694</v>
      </c>
      <c r="D326" s="2" t="s">
        <v>650</v>
      </c>
      <c r="E326" s="2">
        <v>233</v>
      </c>
    </row>
    <row r="327" spans="1:5" x14ac:dyDescent="0.25">
      <c r="A327" s="2" t="s">
        <v>1438</v>
      </c>
      <c r="B327" s="2" t="s">
        <v>1439</v>
      </c>
      <c r="C327" s="2" t="s">
        <v>694</v>
      </c>
      <c r="D327" s="2" t="s">
        <v>636</v>
      </c>
      <c r="E327" s="2">
        <v>240</v>
      </c>
    </row>
    <row r="328" spans="1:5" x14ac:dyDescent="0.25">
      <c r="A328" s="2" t="s">
        <v>1438</v>
      </c>
      <c r="B328" s="2" t="s">
        <v>1439</v>
      </c>
      <c r="C328" s="2" t="s">
        <v>694</v>
      </c>
      <c r="D328" s="2" t="s">
        <v>651</v>
      </c>
      <c r="E328" s="2">
        <v>240</v>
      </c>
    </row>
    <row r="329" spans="1:5" x14ac:dyDescent="0.25">
      <c r="A329" s="2" t="s">
        <v>1438</v>
      </c>
      <c r="B329" s="2" t="s">
        <v>1439</v>
      </c>
      <c r="C329" s="2" t="s">
        <v>695</v>
      </c>
      <c r="D329" s="2" t="s">
        <v>696</v>
      </c>
      <c r="E329" s="2">
        <v>260</v>
      </c>
    </row>
    <row r="330" spans="1:5" x14ac:dyDescent="0.25">
      <c r="A330" s="2" t="s">
        <v>1438</v>
      </c>
      <c r="B330" s="2" t="s">
        <v>1439</v>
      </c>
      <c r="C330" s="2" t="s">
        <v>695</v>
      </c>
      <c r="D330" s="2" t="s">
        <v>697</v>
      </c>
      <c r="E330" s="2">
        <v>276</v>
      </c>
    </row>
    <row r="331" spans="1:5" x14ac:dyDescent="0.25">
      <c r="A331" s="2" t="s">
        <v>1438</v>
      </c>
      <c r="B331" s="2" t="s">
        <v>1439</v>
      </c>
      <c r="C331" s="2" t="s">
        <v>695</v>
      </c>
      <c r="D331" s="2" t="s">
        <v>698</v>
      </c>
      <c r="E331" s="2">
        <v>276</v>
      </c>
    </row>
    <row r="332" spans="1:5" x14ac:dyDescent="0.25">
      <c r="A332" s="2" t="s">
        <v>1438</v>
      </c>
      <c r="B332" s="2" t="s">
        <v>1439</v>
      </c>
      <c r="C332" s="2" t="s">
        <v>695</v>
      </c>
      <c r="D332" s="2" t="s">
        <v>699</v>
      </c>
      <c r="E332" s="2">
        <v>276</v>
      </c>
    </row>
    <row r="333" spans="1:5" x14ac:dyDescent="0.25">
      <c r="A333" s="2" t="s">
        <v>1438</v>
      </c>
      <c r="B333" s="2" t="s">
        <v>1439</v>
      </c>
      <c r="C333" s="2" t="s">
        <v>695</v>
      </c>
      <c r="D333" s="2" t="s">
        <v>700</v>
      </c>
      <c r="E333" s="2">
        <v>276</v>
      </c>
    </row>
    <row r="334" spans="1:5" x14ac:dyDescent="0.25">
      <c r="A334" s="2" t="s">
        <v>1438</v>
      </c>
      <c r="B334" s="2" t="s">
        <v>1439</v>
      </c>
      <c r="C334" s="2" t="s">
        <v>695</v>
      </c>
      <c r="D334" s="2" t="s">
        <v>701</v>
      </c>
      <c r="E334" s="2">
        <v>276</v>
      </c>
    </row>
    <row r="335" spans="1:5" x14ac:dyDescent="0.25">
      <c r="A335" s="2" t="s">
        <v>1438</v>
      </c>
      <c r="B335" s="2" t="s">
        <v>1439</v>
      </c>
      <c r="C335" s="2" t="s">
        <v>695</v>
      </c>
      <c r="D335" s="2" t="s">
        <v>702</v>
      </c>
      <c r="E335" s="2">
        <v>276</v>
      </c>
    </row>
    <row r="336" spans="1:5" x14ac:dyDescent="0.25">
      <c r="A336" s="2" t="s">
        <v>1438</v>
      </c>
      <c r="B336" s="2" t="s">
        <v>1439</v>
      </c>
      <c r="C336" s="2" t="s">
        <v>695</v>
      </c>
      <c r="D336" s="2" t="s">
        <v>703</v>
      </c>
      <c r="E336" s="2">
        <v>276</v>
      </c>
    </row>
    <row r="337" spans="1:5" x14ac:dyDescent="0.25">
      <c r="A337" s="2" t="s">
        <v>1438</v>
      </c>
      <c r="B337" s="2" t="s">
        <v>1439</v>
      </c>
      <c r="C337" s="2" t="s">
        <v>695</v>
      </c>
      <c r="D337" s="2" t="s">
        <v>704</v>
      </c>
      <c r="E337" s="2">
        <v>276</v>
      </c>
    </row>
    <row r="338" spans="1:5" x14ac:dyDescent="0.25">
      <c r="A338" s="2" t="s">
        <v>1438</v>
      </c>
      <c r="B338" s="2" t="s">
        <v>1439</v>
      </c>
      <c r="C338" s="2" t="s">
        <v>695</v>
      </c>
      <c r="D338" s="2" t="s">
        <v>705</v>
      </c>
      <c r="E338" s="2">
        <v>276</v>
      </c>
    </row>
    <row r="339" spans="1:5" x14ac:dyDescent="0.25">
      <c r="A339" s="2" t="s">
        <v>1440</v>
      </c>
      <c r="B339" s="2" t="s">
        <v>1441</v>
      </c>
      <c r="C339" s="2" t="s">
        <v>691</v>
      </c>
      <c r="D339" s="2" t="s">
        <v>647</v>
      </c>
      <c r="E339" s="2">
        <v>175</v>
      </c>
    </row>
    <row r="340" spans="1:5" x14ac:dyDescent="0.25">
      <c r="A340" s="2" t="s">
        <v>1440</v>
      </c>
      <c r="B340" s="2" t="s">
        <v>1441</v>
      </c>
      <c r="C340" s="2" t="s">
        <v>691</v>
      </c>
      <c r="D340" s="2" t="s">
        <v>648</v>
      </c>
      <c r="E340" s="2">
        <v>200</v>
      </c>
    </row>
    <row r="341" spans="1:5" x14ac:dyDescent="0.25">
      <c r="A341" s="2" t="s">
        <v>1440</v>
      </c>
      <c r="B341" s="2" t="s">
        <v>1441</v>
      </c>
      <c r="C341" s="2" t="s">
        <v>691</v>
      </c>
      <c r="D341" s="2" t="s">
        <v>634</v>
      </c>
      <c r="E341" s="2">
        <v>250</v>
      </c>
    </row>
    <row r="342" spans="1:5" x14ac:dyDescent="0.25">
      <c r="A342" s="2" t="s">
        <v>1440</v>
      </c>
      <c r="B342" s="2" t="s">
        <v>1441</v>
      </c>
      <c r="C342" s="2" t="s">
        <v>691</v>
      </c>
      <c r="D342" s="2" t="s">
        <v>649</v>
      </c>
      <c r="E342" s="2">
        <v>250</v>
      </c>
    </row>
    <row r="343" spans="1:5" x14ac:dyDescent="0.25">
      <c r="A343" s="2" t="s">
        <v>1440</v>
      </c>
      <c r="B343" s="2" t="s">
        <v>1441</v>
      </c>
      <c r="C343" s="2" t="s">
        <v>691</v>
      </c>
      <c r="D343" s="2" t="s">
        <v>635</v>
      </c>
      <c r="E343" s="2">
        <v>295</v>
      </c>
    </row>
    <row r="344" spans="1:5" x14ac:dyDescent="0.25">
      <c r="A344" s="2" t="s">
        <v>1440</v>
      </c>
      <c r="B344" s="2" t="s">
        <v>1441</v>
      </c>
      <c r="C344" s="2" t="s">
        <v>691</v>
      </c>
      <c r="D344" s="2" t="s">
        <v>650</v>
      </c>
      <c r="E344" s="2">
        <v>295</v>
      </c>
    </row>
    <row r="345" spans="1:5" x14ac:dyDescent="0.25">
      <c r="A345" s="2" t="s">
        <v>1440</v>
      </c>
      <c r="B345" s="2" t="s">
        <v>1441</v>
      </c>
      <c r="C345" s="2" t="s">
        <v>691</v>
      </c>
      <c r="D345" s="2" t="s">
        <v>636</v>
      </c>
      <c r="E345" s="2">
        <v>315</v>
      </c>
    </row>
    <row r="346" spans="1:5" x14ac:dyDescent="0.25">
      <c r="A346" s="2" t="s">
        <v>1440</v>
      </c>
      <c r="B346" s="2" t="s">
        <v>1441</v>
      </c>
      <c r="C346" s="2" t="s">
        <v>691</v>
      </c>
      <c r="D346" s="2" t="s">
        <v>651</v>
      </c>
      <c r="E346" s="2">
        <v>315</v>
      </c>
    </row>
    <row r="347" spans="1:5" x14ac:dyDescent="0.25">
      <c r="A347" s="2" t="s">
        <v>1440</v>
      </c>
      <c r="B347" s="2" t="s">
        <v>1441</v>
      </c>
      <c r="C347" s="2" t="s">
        <v>694</v>
      </c>
      <c r="D347" s="2" t="s">
        <v>647</v>
      </c>
      <c r="E347" s="2">
        <v>175</v>
      </c>
    </row>
    <row r="348" spans="1:5" x14ac:dyDescent="0.25">
      <c r="A348" s="2" t="s">
        <v>1440</v>
      </c>
      <c r="B348" s="2" t="s">
        <v>1441</v>
      </c>
      <c r="C348" s="2" t="s">
        <v>694</v>
      </c>
      <c r="D348" s="2" t="s">
        <v>648</v>
      </c>
      <c r="E348" s="2">
        <v>200</v>
      </c>
    </row>
    <row r="349" spans="1:5" x14ac:dyDescent="0.25">
      <c r="A349" s="2" t="s">
        <v>1440</v>
      </c>
      <c r="B349" s="2" t="s">
        <v>1441</v>
      </c>
      <c r="C349" s="2" t="s">
        <v>694</v>
      </c>
      <c r="D349" s="2" t="s">
        <v>634</v>
      </c>
      <c r="E349" s="2">
        <v>250</v>
      </c>
    </row>
    <row r="350" spans="1:5" x14ac:dyDescent="0.25">
      <c r="A350" s="2" t="s">
        <v>1440</v>
      </c>
      <c r="B350" s="2" t="s">
        <v>1441</v>
      </c>
      <c r="C350" s="2" t="s">
        <v>694</v>
      </c>
      <c r="D350" s="2" t="s">
        <v>649</v>
      </c>
      <c r="E350" s="2">
        <v>250</v>
      </c>
    </row>
    <row r="351" spans="1:5" x14ac:dyDescent="0.25">
      <c r="A351" s="2" t="s">
        <v>1440</v>
      </c>
      <c r="B351" s="2" t="s">
        <v>1441</v>
      </c>
      <c r="C351" s="2" t="s">
        <v>694</v>
      </c>
      <c r="D351" s="2" t="s">
        <v>635</v>
      </c>
      <c r="E351" s="2">
        <v>295</v>
      </c>
    </row>
    <row r="352" spans="1:5" x14ac:dyDescent="0.25">
      <c r="A352" s="2" t="s">
        <v>1440</v>
      </c>
      <c r="B352" s="2" t="s">
        <v>1441</v>
      </c>
      <c r="C352" s="2" t="s">
        <v>694</v>
      </c>
      <c r="D352" s="2" t="s">
        <v>650</v>
      </c>
      <c r="E352" s="2">
        <v>295</v>
      </c>
    </row>
    <row r="353" spans="1:5" x14ac:dyDescent="0.25">
      <c r="A353" s="2" t="s">
        <v>1440</v>
      </c>
      <c r="B353" s="2" t="s">
        <v>1441</v>
      </c>
      <c r="C353" s="2" t="s">
        <v>694</v>
      </c>
      <c r="D353" s="2" t="s">
        <v>636</v>
      </c>
      <c r="E353" s="2">
        <v>315</v>
      </c>
    </row>
    <row r="354" spans="1:5" x14ac:dyDescent="0.25">
      <c r="A354" s="2" t="s">
        <v>1440</v>
      </c>
      <c r="B354" s="2" t="s">
        <v>1441</v>
      </c>
      <c r="C354" s="2" t="s">
        <v>694</v>
      </c>
      <c r="D354" s="2" t="s">
        <v>651</v>
      </c>
      <c r="E354" s="2">
        <v>315</v>
      </c>
    </row>
    <row r="355" spans="1:5" x14ac:dyDescent="0.25">
      <c r="A355" s="2" t="s">
        <v>1440</v>
      </c>
      <c r="B355" s="2" t="s">
        <v>1441</v>
      </c>
      <c r="C355" s="2" t="s">
        <v>695</v>
      </c>
      <c r="D355" s="2" t="s">
        <v>696</v>
      </c>
      <c r="E355" s="2">
        <v>350</v>
      </c>
    </row>
    <row r="356" spans="1:5" x14ac:dyDescent="0.25">
      <c r="A356" s="2" t="s">
        <v>1440</v>
      </c>
      <c r="B356" s="2" t="s">
        <v>1441</v>
      </c>
      <c r="C356" s="2" t="s">
        <v>695</v>
      </c>
      <c r="D356" s="2" t="s">
        <v>697</v>
      </c>
      <c r="E356" s="2">
        <v>350</v>
      </c>
    </row>
    <row r="357" spans="1:5" x14ac:dyDescent="0.25">
      <c r="A357" s="2" t="s">
        <v>1440</v>
      </c>
      <c r="B357" s="2" t="s">
        <v>1441</v>
      </c>
      <c r="C357" s="2" t="s">
        <v>695</v>
      </c>
      <c r="D357" s="2" t="s">
        <v>698</v>
      </c>
      <c r="E357" s="2">
        <v>350</v>
      </c>
    </row>
    <row r="358" spans="1:5" x14ac:dyDescent="0.25">
      <c r="A358" s="2" t="s">
        <v>1440</v>
      </c>
      <c r="B358" s="2" t="s">
        <v>1441</v>
      </c>
      <c r="C358" s="2" t="s">
        <v>695</v>
      </c>
      <c r="D358" s="2" t="s">
        <v>699</v>
      </c>
      <c r="E358" s="2">
        <v>350</v>
      </c>
    </row>
    <row r="359" spans="1:5" x14ac:dyDescent="0.25">
      <c r="A359" s="2" t="s">
        <v>1440</v>
      </c>
      <c r="B359" s="2" t="s">
        <v>1441</v>
      </c>
      <c r="C359" s="2" t="s">
        <v>695</v>
      </c>
      <c r="D359" s="2" t="s">
        <v>700</v>
      </c>
      <c r="E359" s="2">
        <v>350</v>
      </c>
    </row>
    <row r="360" spans="1:5" x14ac:dyDescent="0.25">
      <c r="A360" s="2" t="s">
        <v>1440</v>
      </c>
      <c r="B360" s="2" t="s">
        <v>1441</v>
      </c>
      <c r="C360" s="2" t="s">
        <v>695</v>
      </c>
      <c r="D360" s="2" t="s">
        <v>701</v>
      </c>
      <c r="E360" s="2">
        <v>350</v>
      </c>
    </row>
    <row r="361" spans="1:5" x14ac:dyDescent="0.25">
      <c r="A361" s="2" t="s">
        <v>1440</v>
      </c>
      <c r="B361" s="2" t="s">
        <v>1441</v>
      </c>
      <c r="C361" s="2" t="s">
        <v>695</v>
      </c>
      <c r="D361" s="2" t="s">
        <v>702</v>
      </c>
      <c r="E361" s="2">
        <v>350</v>
      </c>
    </row>
    <row r="362" spans="1:5" x14ac:dyDescent="0.25">
      <c r="A362" s="2" t="s">
        <v>1440</v>
      </c>
      <c r="B362" s="2" t="s">
        <v>1441</v>
      </c>
      <c r="C362" s="2" t="s">
        <v>695</v>
      </c>
      <c r="D362" s="2" t="s">
        <v>703</v>
      </c>
      <c r="E362" s="2">
        <v>350</v>
      </c>
    </row>
    <row r="363" spans="1:5" x14ac:dyDescent="0.25">
      <c r="A363" s="2" t="s">
        <v>1440</v>
      </c>
      <c r="B363" s="2" t="s">
        <v>1441</v>
      </c>
      <c r="C363" s="2" t="s">
        <v>695</v>
      </c>
      <c r="D363" s="2" t="s">
        <v>704</v>
      </c>
      <c r="E363" s="2">
        <v>350</v>
      </c>
    </row>
    <row r="364" spans="1:5" x14ac:dyDescent="0.25">
      <c r="A364" s="2" t="s">
        <v>1440</v>
      </c>
      <c r="B364" s="2" t="s">
        <v>1441</v>
      </c>
      <c r="C364" s="2" t="s">
        <v>695</v>
      </c>
      <c r="D364" s="2" t="s">
        <v>705</v>
      </c>
      <c r="E364" s="2">
        <v>350</v>
      </c>
    </row>
    <row r="365" spans="1:5" x14ac:dyDescent="0.25">
      <c r="A365" s="2" t="s">
        <v>1442</v>
      </c>
      <c r="B365" s="2" t="s">
        <v>1443</v>
      </c>
      <c r="C365" s="2" t="s">
        <v>603</v>
      </c>
      <c r="D365" s="2" t="s">
        <v>604</v>
      </c>
      <c r="E365" s="2">
        <v>81</v>
      </c>
    </row>
    <row r="366" spans="1:5" x14ac:dyDescent="0.25">
      <c r="A366" s="2" t="s">
        <v>1442</v>
      </c>
      <c r="B366" s="2" t="s">
        <v>1443</v>
      </c>
      <c r="C366" s="2" t="s">
        <v>603</v>
      </c>
      <c r="D366" s="2" t="s">
        <v>605</v>
      </c>
      <c r="E366" s="2">
        <v>171</v>
      </c>
    </row>
    <row r="367" spans="1:5" x14ac:dyDescent="0.25">
      <c r="A367" s="2" t="s">
        <v>1442</v>
      </c>
      <c r="B367" s="2" t="s">
        <v>1443</v>
      </c>
      <c r="C367" s="2" t="s">
        <v>603</v>
      </c>
      <c r="D367" s="2" t="s">
        <v>606</v>
      </c>
      <c r="E367" s="2">
        <v>189</v>
      </c>
    </row>
    <row r="368" spans="1:5" x14ac:dyDescent="0.25">
      <c r="A368" s="2" t="s">
        <v>1442</v>
      </c>
      <c r="B368" s="2" t="s">
        <v>1443</v>
      </c>
      <c r="C368" s="2" t="s">
        <v>603</v>
      </c>
      <c r="D368" s="2" t="s">
        <v>607</v>
      </c>
      <c r="E368" s="2">
        <v>216</v>
      </c>
    </row>
    <row r="369" spans="1:5" x14ac:dyDescent="0.25">
      <c r="A369" s="2" t="s">
        <v>1442</v>
      </c>
      <c r="B369" s="2" t="s">
        <v>1443</v>
      </c>
      <c r="C369" s="2" t="s">
        <v>603</v>
      </c>
      <c r="D369" s="2" t="s">
        <v>608</v>
      </c>
      <c r="E369" s="2">
        <v>243</v>
      </c>
    </row>
    <row r="370" spans="1:5" x14ac:dyDescent="0.25">
      <c r="A370" s="2" t="s">
        <v>1442</v>
      </c>
      <c r="B370" s="2" t="s">
        <v>1443</v>
      </c>
      <c r="C370" s="2" t="s">
        <v>603</v>
      </c>
      <c r="D370" s="2" t="s">
        <v>609</v>
      </c>
      <c r="E370" s="2">
        <v>270</v>
      </c>
    </row>
    <row r="371" spans="1:5" x14ac:dyDescent="0.25">
      <c r="A371" s="2" t="s">
        <v>1442</v>
      </c>
      <c r="B371" s="2" t="s">
        <v>1443</v>
      </c>
      <c r="C371" s="2" t="s">
        <v>603</v>
      </c>
      <c r="D371" s="2" t="s">
        <v>610</v>
      </c>
      <c r="E371" s="2">
        <v>297</v>
      </c>
    </row>
    <row r="372" spans="1:5" x14ac:dyDescent="0.25">
      <c r="A372" s="2" t="s">
        <v>1442</v>
      </c>
      <c r="B372" s="2" t="s">
        <v>1443</v>
      </c>
      <c r="C372" s="2" t="s">
        <v>603</v>
      </c>
      <c r="D372" s="2" t="s">
        <v>611</v>
      </c>
      <c r="E372" s="2">
        <v>324</v>
      </c>
    </row>
    <row r="373" spans="1:5" x14ac:dyDescent="0.25">
      <c r="A373" s="2" t="s">
        <v>1442</v>
      </c>
      <c r="B373" s="2" t="s">
        <v>1443</v>
      </c>
      <c r="C373" s="2" t="s">
        <v>603</v>
      </c>
      <c r="D373" s="2" t="s">
        <v>612</v>
      </c>
      <c r="E373" s="2">
        <v>342</v>
      </c>
    </row>
    <row r="374" spans="1:5" x14ac:dyDescent="0.25">
      <c r="A374" s="2" t="s">
        <v>1442</v>
      </c>
      <c r="B374" s="2" t="s">
        <v>1443</v>
      </c>
      <c r="C374" s="2" t="s">
        <v>603</v>
      </c>
      <c r="D374" s="2" t="s">
        <v>613</v>
      </c>
      <c r="E374" s="2">
        <v>383</v>
      </c>
    </row>
    <row r="375" spans="1:5" x14ac:dyDescent="0.25">
      <c r="A375" s="2" t="s">
        <v>1444</v>
      </c>
      <c r="B375" s="2" t="s">
        <v>1445</v>
      </c>
      <c r="C375" s="2" t="s">
        <v>691</v>
      </c>
      <c r="D375" s="2" t="s">
        <v>647</v>
      </c>
      <c r="E375" s="2">
        <v>166</v>
      </c>
    </row>
    <row r="376" spans="1:5" x14ac:dyDescent="0.25">
      <c r="A376" s="2" t="s">
        <v>1444</v>
      </c>
      <c r="B376" s="2" t="s">
        <v>1445</v>
      </c>
      <c r="C376" s="2" t="s">
        <v>691</v>
      </c>
      <c r="D376" s="2" t="s">
        <v>648</v>
      </c>
      <c r="E376" s="2">
        <v>192</v>
      </c>
    </row>
    <row r="377" spans="1:5" x14ac:dyDescent="0.25">
      <c r="A377" s="2" t="s">
        <v>1444</v>
      </c>
      <c r="B377" s="2" t="s">
        <v>1445</v>
      </c>
      <c r="C377" s="2" t="s">
        <v>691</v>
      </c>
      <c r="D377" s="2" t="s">
        <v>634</v>
      </c>
      <c r="E377" s="2">
        <v>240</v>
      </c>
    </row>
    <row r="378" spans="1:5" x14ac:dyDescent="0.25">
      <c r="A378" s="2" t="s">
        <v>1444</v>
      </c>
      <c r="B378" s="2" t="s">
        <v>1445</v>
      </c>
      <c r="C378" s="2" t="s">
        <v>691</v>
      </c>
      <c r="D378" s="2" t="s">
        <v>649</v>
      </c>
      <c r="E378" s="2">
        <v>240</v>
      </c>
    </row>
    <row r="379" spans="1:5" x14ac:dyDescent="0.25">
      <c r="A379" s="2" t="s">
        <v>1444</v>
      </c>
      <c r="B379" s="2" t="s">
        <v>1445</v>
      </c>
      <c r="C379" s="2" t="s">
        <v>691</v>
      </c>
      <c r="D379" s="2" t="s">
        <v>635</v>
      </c>
      <c r="E379" s="2">
        <v>279</v>
      </c>
    </row>
    <row r="380" spans="1:5" x14ac:dyDescent="0.25">
      <c r="A380" s="2" t="s">
        <v>1444</v>
      </c>
      <c r="B380" s="2" t="s">
        <v>1445</v>
      </c>
      <c r="C380" s="2" t="s">
        <v>691</v>
      </c>
      <c r="D380" s="2" t="s">
        <v>650</v>
      </c>
      <c r="E380" s="2">
        <v>279</v>
      </c>
    </row>
    <row r="381" spans="1:5" x14ac:dyDescent="0.25">
      <c r="A381" s="2" t="s">
        <v>1444</v>
      </c>
      <c r="B381" s="2" t="s">
        <v>1445</v>
      </c>
      <c r="C381" s="2" t="s">
        <v>691</v>
      </c>
      <c r="D381" s="2" t="s">
        <v>636</v>
      </c>
      <c r="E381" s="2">
        <v>300</v>
      </c>
    </row>
    <row r="382" spans="1:5" x14ac:dyDescent="0.25">
      <c r="A382" s="2" t="s">
        <v>1444</v>
      </c>
      <c r="B382" s="2" t="s">
        <v>1445</v>
      </c>
      <c r="C382" s="2" t="s">
        <v>691</v>
      </c>
      <c r="D382" s="2" t="s">
        <v>651</v>
      </c>
      <c r="E382" s="2">
        <v>300</v>
      </c>
    </row>
    <row r="383" spans="1:5" x14ac:dyDescent="0.25">
      <c r="A383" s="2" t="s">
        <v>1444</v>
      </c>
      <c r="B383" s="2" t="s">
        <v>1445</v>
      </c>
      <c r="C383" s="2" t="s">
        <v>694</v>
      </c>
      <c r="D383" s="2" t="s">
        <v>647</v>
      </c>
      <c r="E383" s="2">
        <v>166</v>
      </c>
    </row>
    <row r="384" spans="1:5" x14ac:dyDescent="0.25">
      <c r="A384" s="2" t="s">
        <v>1444</v>
      </c>
      <c r="B384" s="2" t="s">
        <v>1445</v>
      </c>
      <c r="C384" s="2" t="s">
        <v>694</v>
      </c>
      <c r="D384" s="2" t="s">
        <v>648</v>
      </c>
      <c r="E384" s="2">
        <v>192</v>
      </c>
    </row>
    <row r="385" spans="1:5" x14ac:dyDescent="0.25">
      <c r="A385" s="2" t="s">
        <v>1444</v>
      </c>
      <c r="B385" s="2" t="s">
        <v>1445</v>
      </c>
      <c r="C385" s="2" t="s">
        <v>694</v>
      </c>
      <c r="D385" s="2" t="s">
        <v>634</v>
      </c>
      <c r="E385" s="2">
        <v>240</v>
      </c>
    </row>
    <row r="386" spans="1:5" x14ac:dyDescent="0.25">
      <c r="A386" s="2" t="s">
        <v>1444</v>
      </c>
      <c r="B386" s="2" t="s">
        <v>1445</v>
      </c>
      <c r="C386" s="2" t="s">
        <v>694</v>
      </c>
      <c r="D386" s="2" t="s">
        <v>649</v>
      </c>
      <c r="E386" s="2">
        <v>240</v>
      </c>
    </row>
    <row r="387" spans="1:5" x14ac:dyDescent="0.25">
      <c r="A387" s="2" t="s">
        <v>1444</v>
      </c>
      <c r="B387" s="2" t="s">
        <v>1445</v>
      </c>
      <c r="C387" s="2" t="s">
        <v>694</v>
      </c>
      <c r="D387" s="2" t="s">
        <v>635</v>
      </c>
      <c r="E387" s="2">
        <v>279</v>
      </c>
    </row>
    <row r="388" spans="1:5" x14ac:dyDescent="0.25">
      <c r="A388" s="2" t="s">
        <v>1444</v>
      </c>
      <c r="B388" s="2" t="s">
        <v>1445</v>
      </c>
      <c r="C388" s="2" t="s">
        <v>694</v>
      </c>
      <c r="D388" s="2" t="s">
        <v>650</v>
      </c>
      <c r="E388" s="2">
        <v>279</v>
      </c>
    </row>
    <row r="389" spans="1:5" x14ac:dyDescent="0.25">
      <c r="A389" s="2" t="s">
        <v>1444</v>
      </c>
      <c r="B389" s="2" t="s">
        <v>1445</v>
      </c>
      <c r="C389" s="2" t="s">
        <v>694</v>
      </c>
      <c r="D389" s="2" t="s">
        <v>636</v>
      </c>
      <c r="E389" s="2">
        <v>300</v>
      </c>
    </row>
    <row r="390" spans="1:5" x14ac:dyDescent="0.25">
      <c r="A390" s="2" t="s">
        <v>1444</v>
      </c>
      <c r="B390" s="2" t="s">
        <v>1445</v>
      </c>
      <c r="C390" s="2" t="s">
        <v>694</v>
      </c>
      <c r="D390" s="2" t="s">
        <v>651</v>
      </c>
      <c r="E390" s="2">
        <v>300</v>
      </c>
    </row>
    <row r="391" spans="1:5" x14ac:dyDescent="0.25">
      <c r="A391" s="2" t="s">
        <v>1444</v>
      </c>
      <c r="B391" s="2" t="s">
        <v>1445</v>
      </c>
      <c r="C391" s="2" t="s">
        <v>695</v>
      </c>
      <c r="D391" s="2" t="s">
        <v>696</v>
      </c>
      <c r="E391" s="2">
        <v>375</v>
      </c>
    </row>
    <row r="392" spans="1:5" x14ac:dyDescent="0.25">
      <c r="A392" s="2" t="s">
        <v>1444</v>
      </c>
      <c r="B392" s="2" t="s">
        <v>1445</v>
      </c>
      <c r="C392" s="2" t="s">
        <v>695</v>
      </c>
      <c r="D392" s="2" t="s">
        <v>697</v>
      </c>
      <c r="E392" s="2">
        <v>375</v>
      </c>
    </row>
    <row r="393" spans="1:5" x14ac:dyDescent="0.25">
      <c r="A393" s="2" t="s">
        <v>1444</v>
      </c>
      <c r="B393" s="2" t="s">
        <v>1445</v>
      </c>
      <c r="C393" s="2" t="s">
        <v>695</v>
      </c>
      <c r="D393" s="2" t="s">
        <v>698</v>
      </c>
      <c r="E393" s="2">
        <v>375</v>
      </c>
    </row>
    <row r="394" spans="1:5" x14ac:dyDescent="0.25">
      <c r="A394" s="2" t="s">
        <v>1444</v>
      </c>
      <c r="B394" s="2" t="s">
        <v>1445</v>
      </c>
      <c r="C394" s="2" t="s">
        <v>695</v>
      </c>
      <c r="D394" s="2" t="s">
        <v>699</v>
      </c>
      <c r="E394" s="2">
        <v>375</v>
      </c>
    </row>
    <row r="395" spans="1:5" x14ac:dyDescent="0.25">
      <c r="A395" s="2" t="s">
        <v>1444</v>
      </c>
      <c r="B395" s="2" t="s">
        <v>1445</v>
      </c>
      <c r="C395" s="2" t="s">
        <v>695</v>
      </c>
      <c r="D395" s="2" t="s">
        <v>700</v>
      </c>
      <c r="E395" s="2">
        <v>375</v>
      </c>
    </row>
    <row r="396" spans="1:5" x14ac:dyDescent="0.25">
      <c r="A396" s="2" t="s">
        <v>1444</v>
      </c>
      <c r="B396" s="2" t="s">
        <v>1445</v>
      </c>
      <c r="C396" s="2" t="s">
        <v>695</v>
      </c>
      <c r="D396" s="2" t="s">
        <v>701</v>
      </c>
      <c r="E396" s="2">
        <v>375</v>
      </c>
    </row>
    <row r="397" spans="1:5" x14ac:dyDescent="0.25">
      <c r="A397" s="2" t="s">
        <v>1444</v>
      </c>
      <c r="B397" s="2" t="s">
        <v>1445</v>
      </c>
      <c r="C397" s="2" t="s">
        <v>695</v>
      </c>
      <c r="D397" s="2" t="s">
        <v>702</v>
      </c>
      <c r="E397" s="2">
        <v>375</v>
      </c>
    </row>
    <row r="398" spans="1:5" x14ac:dyDescent="0.25">
      <c r="A398" s="2" t="s">
        <v>1444</v>
      </c>
      <c r="B398" s="2" t="s">
        <v>1445</v>
      </c>
      <c r="C398" s="2" t="s">
        <v>695</v>
      </c>
      <c r="D398" s="2" t="s">
        <v>703</v>
      </c>
      <c r="E398" s="2">
        <v>375</v>
      </c>
    </row>
    <row r="399" spans="1:5" x14ac:dyDescent="0.25">
      <c r="A399" s="2" t="s">
        <v>1444</v>
      </c>
      <c r="B399" s="2" t="s">
        <v>1445</v>
      </c>
      <c r="C399" s="2" t="s">
        <v>695</v>
      </c>
      <c r="D399" s="2" t="s">
        <v>704</v>
      </c>
      <c r="E399" s="2">
        <v>375</v>
      </c>
    </row>
    <row r="400" spans="1:5" x14ac:dyDescent="0.25">
      <c r="A400" s="2" t="s">
        <v>1444</v>
      </c>
      <c r="B400" s="2" t="s">
        <v>1445</v>
      </c>
      <c r="C400" s="2" t="s">
        <v>695</v>
      </c>
      <c r="D400" s="2" t="s">
        <v>705</v>
      </c>
      <c r="E400" s="2">
        <v>375</v>
      </c>
    </row>
    <row r="401" spans="1:5" x14ac:dyDescent="0.25">
      <c r="A401" s="2" t="s">
        <v>1446</v>
      </c>
      <c r="B401" s="2" t="s">
        <v>1447</v>
      </c>
      <c r="C401" s="2" t="s">
        <v>691</v>
      </c>
      <c r="D401" s="2" t="s">
        <v>693</v>
      </c>
      <c r="E401" s="2">
        <v>45</v>
      </c>
    </row>
    <row r="402" spans="1:5" x14ac:dyDescent="0.25">
      <c r="A402" s="2" t="s">
        <v>1446</v>
      </c>
      <c r="B402" s="2" t="s">
        <v>1447</v>
      </c>
      <c r="C402" s="2" t="s">
        <v>691</v>
      </c>
      <c r="D402" s="2" t="s">
        <v>647</v>
      </c>
      <c r="E402" s="2">
        <v>146.30000000000001</v>
      </c>
    </row>
    <row r="403" spans="1:5" x14ac:dyDescent="0.25">
      <c r="A403" s="2" t="s">
        <v>1446</v>
      </c>
      <c r="B403" s="2" t="s">
        <v>1447</v>
      </c>
      <c r="C403" s="2" t="s">
        <v>691</v>
      </c>
      <c r="D403" s="2" t="s">
        <v>648</v>
      </c>
      <c r="E403" s="2">
        <v>157.5</v>
      </c>
    </row>
    <row r="404" spans="1:5" x14ac:dyDescent="0.25">
      <c r="A404" s="2" t="s">
        <v>1446</v>
      </c>
      <c r="B404" s="2" t="s">
        <v>1447</v>
      </c>
      <c r="C404" s="2" t="s">
        <v>691</v>
      </c>
      <c r="D404" s="2" t="s">
        <v>634</v>
      </c>
      <c r="E404" s="2">
        <v>203.04</v>
      </c>
    </row>
    <row r="405" spans="1:5" x14ac:dyDescent="0.25">
      <c r="A405" s="2" t="s">
        <v>1446</v>
      </c>
      <c r="B405" s="2" t="s">
        <v>1447</v>
      </c>
      <c r="C405" s="2" t="s">
        <v>691</v>
      </c>
      <c r="D405" s="2" t="s">
        <v>649</v>
      </c>
      <c r="E405" s="2">
        <v>203.04</v>
      </c>
    </row>
    <row r="406" spans="1:5" x14ac:dyDescent="0.25">
      <c r="A406" s="2" t="s">
        <v>1446</v>
      </c>
      <c r="B406" s="2" t="s">
        <v>1447</v>
      </c>
      <c r="C406" s="2" t="s">
        <v>691</v>
      </c>
      <c r="D406" s="2" t="s">
        <v>635</v>
      </c>
      <c r="E406" s="2">
        <v>231</v>
      </c>
    </row>
    <row r="407" spans="1:5" x14ac:dyDescent="0.25">
      <c r="A407" s="2" t="s">
        <v>1446</v>
      </c>
      <c r="B407" s="2" t="s">
        <v>1447</v>
      </c>
      <c r="C407" s="2" t="s">
        <v>691</v>
      </c>
      <c r="D407" s="2" t="s">
        <v>650</v>
      </c>
      <c r="E407" s="2">
        <v>231</v>
      </c>
    </row>
    <row r="408" spans="1:5" x14ac:dyDescent="0.25">
      <c r="A408" s="2" t="s">
        <v>1446</v>
      </c>
      <c r="B408" s="2" t="s">
        <v>1447</v>
      </c>
      <c r="C408" s="2" t="s">
        <v>694</v>
      </c>
      <c r="D408" s="2" t="s">
        <v>693</v>
      </c>
      <c r="E408" s="2">
        <v>45</v>
      </c>
    </row>
    <row r="409" spans="1:5" x14ac:dyDescent="0.25">
      <c r="A409" s="2" t="s">
        <v>1446</v>
      </c>
      <c r="B409" s="2" t="s">
        <v>1447</v>
      </c>
      <c r="C409" s="2" t="s">
        <v>694</v>
      </c>
      <c r="D409" s="2" t="s">
        <v>647</v>
      </c>
      <c r="E409" s="2">
        <v>146.30000000000001</v>
      </c>
    </row>
    <row r="410" spans="1:5" x14ac:dyDescent="0.25">
      <c r="A410" s="2" t="s">
        <v>1446</v>
      </c>
      <c r="B410" s="2" t="s">
        <v>1447</v>
      </c>
      <c r="C410" s="2" t="s">
        <v>694</v>
      </c>
      <c r="D410" s="2" t="s">
        <v>648</v>
      </c>
      <c r="E410" s="2">
        <v>157.5</v>
      </c>
    </row>
    <row r="411" spans="1:5" x14ac:dyDescent="0.25">
      <c r="A411" s="2" t="s">
        <v>1446</v>
      </c>
      <c r="B411" s="2" t="s">
        <v>1447</v>
      </c>
      <c r="C411" s="2" t="s">
        <v>694</v>
      </c>
      <c r="D411" s="2" t="s">
        <v>634</v>
      </c>
      <c r="E411" s="2">
        <v>203.04</v>
      </c>
    </row>
    <row r="412" spans="1:5" x14ac:dyDescent="0.25">
      <c r="A412" s="2" t="s">
        <v>1446</v>
      </c>
      <c r="B412" s="2" t="s">
        <v>1447</v>
      </c>
      <c r="C412" s="2" t="s">
        <v>694</v>
      </c>
      <c r="D412" s="2" t="s">
        <v>649</v>
      </c>
      <c r="E412" s="2">
        <v>203.04</v>
      </c>
    </row>
    <row r="413" spans="1:5" x14ac:dyDescent="0.25">
      <c r="A413" s="2" t="s">
        <v>1446</v>
      </c>
      <c r="B413" s="2" t="s">
        <v>1447</v>
      </c>
      <c r="C413" s="2" t="s">
        <v>694</v>
      </c>
      <c r="D413" s="2" t="s">
        <v>635</v>
      </c>
      <c r="E413" s="2">
        <v>231</v>
      </c>
    </row>
    <row r="414" spans="1:5" x14ac:dyDescent="0.25">
      <c r="A414" s="2" t="s">
        <v>1446</v>
      </c>
      <c r="B414" s="2" t="s">
        <v>1447</v>
      </c>
      <c r="C414" s="2" t="s">
        <v>694</v>
      </c>
      <c r="D414" s="2" t="s">
        <v>650</v>
      </c>
      <c r="E414" s="2">
        <v>231</v>
      </c>
    </row>
    <row r="415" spans="1:5" x14ac:dyDescent="0.25">
      <c r="A415" s="2" t="s">
        <v>1446</v>
      </c>
      <c r="B415" s="2" t="s">
        <v>1447</v>
      </c>
      <c r="C415" s="2" t="s">
        <v>695</v>
      </c>
      <c r="D415" s="2" t="s">
        <v>696</v>
      </c>
      <c r="E415" s="2">
        <v>298.14999999999998</v>
      </c>
    </row>
    <row r="416" spans="1:5" x14ac:dyDescent="0.25">
      <c r="A416" s="2" t="s">
        <v>1446</v>
      </c>
      <c r="B416" s="2" t="s">
        <v>1447</v>
      </c>
      <c r="C416" s="2" t="s">
        <v>695</v>
      </c>
      <c r="D416" s="2" t="s">
        <v>697</v>
      </c>
      <c r="E416" s="2">
        <v>298.14999999999998</v>
      </c>
    </row>
    <row r="417" spans="1:5" x14ac:dyDescent="0.25">
      <c r="A417" s="2" t="s">
        <v>1446</v>
      </c>
      <c r="B417" s="2" t="s">
        <v>1447</v>
      </c>
      <c r="C417" s="2" t="s">
        <v>695</v>
      </c>
      <c r="D417" s="2" t="s">
        <v>698</v>
      </c>
      <c r="E417" s="2">
        <v>298.14999999999998</v>
      </c>
    </row>
    <row r="418" spans="1:5" x14ac:dyDescent="0.25">
      <c r="A418" s="2" t="s">
        <v>1446</v>
      </c>
      <c r="B418" s="2" t="s">
        <v>1447</v>
      </c>
      <c r="C418" s="2" t="s">
        <v>695</v>
      </c>
      <c r="D418" s="2" t="s">
        <v>699</v>
      </c>
      <c r="E418" s="2">
        <v>298.14999999999998</v>
      </c>
    </row>
    <row r="419" spans="1:5" x14ac:dyDescent="0.25">
      <c r="A419" s="2" t="s">
        <v>1446</v>
      </c>
      <c r="B419" s="2" t="s">
        <v>1447</v>
      </c>
      <c r="C419" s="2" t="s">
        <v>695</v>
      </c>
      <c r="D419" s="2" t="s">
        <v>700</v>
      </c>
      <c r="E419" s="2">
        <v>298.14999999999998</v>
      </c>
    </row>
    <row r="420" spans="1:5" x14ac:dyDescent="0.25">
      <c r="A420" s="2" t="s">
        <v>1446</v>
      </c>
      <c r="B420" s="2" t="s">
        <v>1447</v>
      </c>
      <c r="C420" s="2" t="s">
        <v>695</v>
      </c>
      <c r="D420" s="2" t="s">
        <v>701</v>
      </c>
      <c r="E420" s="2">
        <v>298.14999999999998</v>
      </c>
    </row>
    <row r="421" spans="1:5" x14ac:dyDescent="0.25">
      <c r="A421" s="2" t="s">
        <v>1446</v>
      </c>
      <c r="B421" s="2" t="s">
        <v>1447</v>
      </c>
      <c r="C421" s="2" t="s">
        <v>695</v>
      </c>
      <c r="D421" s="2" t="s">
        <v>702</v>
      </c>
      <c r="E421" s="2">
        <v>298.14999999999998</v>
      </c>
    </row>
    <row r="422" spans="1:5" x14ac:dyDescent="0.25">
      <c r="A422" s="2" t="s">
        <v>1446</v>
      </c>
      <c r="B422" s="2" t="s">
        <v>1447</v>
      </c>
      <c r="C422" s="2" t="s">
        <v>695</v>
      </c>
      <c r="D422" s="2" t="s">
        <v>703</v>
      </c>
      <c r="E422" s="2">
        <v>298.14999999999998</v>
      </c>
    </row>
    <row r="423" spans="1:5" x14ac:dyDescent="0.25">
      <c r="A423" s="2" t="s">
        <v>1446</v>
      </c>
      <c r="B423" s="2" t="s">
        <v>1447</v>
      </c>
      <c r="C423" s="2" t="s">
        <v>695</v>
      </c>
      <c r="D423" s="2" t="s">
        <v>704</v>
      </c>
      <c r="E423" s="2">
        <v>298.14999999999998</v>
      </c>
    </row>
    <row r="424" spans="1:5" x14ac:dyDescent="0.25">
      <c r="A424" s="2" t="s">
        <v>1446</v>
      </c>
      <c r="B424" s="2" t="s">
        <v>1447</v>
      </c>
      <c r="C424" s="2" t="s">
        <v>695</v>
      </c>
      <c r="D424" s="2" t="s">
        <v>705</v>
      </c>
      <c r="E424" s="2">
        <v>298.14999999999998</v>
      </c>
    </row>
    <row r="425" spans="1:5" x14ac:dyDescent="0.25">
      <c r="A425" s="2" t="s">
        <v>1448</v>
      </c>
      <c r="B425" s="2" t="s">
        <v>1449</v>
      </c>
      <c r="C425" s="2" t="s">
        <v>691</v>
      </c>
      <c r="D425" s="2" t="s">
        <v>647</v>
      </c>
      <c r="E425" s="2">
        <v>145</v>
      </c>
    </row>
    <row r="426" spans="1:5" x14ac:dyDescent="0.25">
      <c r="A426" s="2" t="s">
        <v>1448</v>
      </c>
      <c r="B426" s="2" t="s">
        <v>1449</v>
      </c>
      <c r="C426" s="2" t="s">
        <v>691</v>
      </c>
      <c r="D426" s="2" t="s">
        <v>648</v>
      </c>
      <c r="E426" s="2">
        <v>175</v>
      </c>
    </row>
    <row r="427" spans="1:5" x14ac:dyDescent="0.25">
      <c r="A427" s="2" t="s">
        <v>1448</v>
      </c>
      <c r="B427" s="2" t="s">
        <v>1449</v>
      </c>
      <c r="C427" s="2" t="s">
        <v>691</v>
      </c>
      <c r="D427" s="2" t="s">
        <v>634</v>
      </c>
      <c r="E427" s="2">
        <v>215</v>
      </c>
    </row>
    <row r="428" spans="1:5" x14ac:dyDescent="0.25">
      <c r="A428" s="2" t="s">
        <v>1448</v>
      </c>
      <c r="B428" s="2" t="s">
        <v>1449</v>
      </c>
      <c r="C428" s="2" t="s">
        <v>691</v>
      </c>
      <c r="D428" s="2" t="s">
        <v>649</v>
      </c>
      <c r="E428" s="2">
        <v>215</v>
      </c>
    </row>
    <row r="429" spans="1:5" x14ac:dyDescent="0.25">
      <c r="A429" s="2" t="s">
        <v>1448</v>
      </c>
      <c r="B429" s="2" t="s">
        <v>1449</v>
      </c>
      <c r="C429" s="2" t="s">
        <v>691</v>
      </c>
      <c r="D429" s="2" t="s">
        <v>635</v>
      </c>
      <c r="E429" s="2">
        <v>245</v>
      </c>
    </row>
    <row r="430" spans="1:5" x14ac:dyDescent="0.25">
      <c r="A430" s="2" t="s">
        <v>1448</v>
      </c>
      <c r="B430" s="2" t="s">
        <v>1449</v>
      </c>
      <c r="C430" s="2" t="s">
        <v>691</v>
      </c>
      <c r="D430" s="2" t="s">
        <v>650</v>
      </c>
      <c r="E430" s="2">
        <v>245</v>
      </c>
    </row>
    <row r="431" spans="1:5" x14ac:dyDescent="0.25">
      <c r="A431" s="2" t="s">
        <v>1448</v>
      </c>
      <c r="B431" s="2" t="s">
        <v>1449</v>
      </c>
      <c r="C431" s="2" t="s">
        <v>691</v>
      </c>
      <c r="D431" s="2" t="s">
        <v>636</v>
      </c>
      <c r="E431" s="2">
        <v>280</v>
      </c>
    </row>
    <row r="432" spans="1:5" x14ac:dyDescent="0.25">
      <c r="A432" s="2" t="s">
        <v>1448</v>
      </c>
      <c r="B432" s="2" t="s">
        <v>1449</v>
      </c>
      <c r="C432" s="2" t="s">
        <v>691</v>
      </c>
      <c r="D432" s="2" t="s">
        <v>651</v>
      </c>
      <c r="E432" s="2">
        <v>280</v>
      </c>
    </row>
    <row r="433" spans="1:5" x14ac:dyDescent="0.25">
      <c r="A433" s="2" t="s">
        <v>1448</v>
      </c>
      <c r="B433" s="2" t="s">
        <v>1449</v>
      </c>
      <c r="C433" s="2" t="s">
        <v>694</v>
      </c>
      <c r="D433" s="2" t="s">
        <v>647</v>
      </c>
      <c r="E433" s="2">
        <v>145</v>
      </c>
    </row>
    <row r="434" spans="1:5" x14ac:dyDescent="0.25">
      <c r="A434" s="2" t="s">
        <v>1448</v>
      </c>
      <c r="B434" s="2" t="s">
        <v>1449</v>
      </c>
      <c r="C434" s="2" t="s">
        <v>694</v>
      </c>
      <c r="D434" s="2" t="s">
        <v>648</v>
      </c>
      <c r="E434" s="2">
        <v>175</v>
      </c>
    </row>
    <row r="435" spans="1:5" x14ac:dyDescent="0.25">
      <c r="A435" s="2" t="s">
        <v>1448</v>
      </c>
      <c r="B435" s="2" t="s">
        <v>1449</v>
      </c>
      <c r="C435" s="2" t="s">
        <v>694</v>
      </c>
      <c r="D435" s="2" t="s">
        <v>634</v>
      </c>
      <c r="E435" s="2">
        <v>215</v>
      </c>
    </row>
    <row r="436" spans="1:5" x14ac:dyDescent="0.25">
      <c r="A436" s="2" t="s">
        <v>1448</v>
      </c>
      <c r="B436" s="2" t="s">
        <v>1449</v>
      </c>
      <c r="C436" s="2" t="s">
        <v>694</v>
      </c>
      <c r="D436" s="2" t="s">
        <v>649</v>
      </c>
      <c r="E436" s="2">
        <v>215</v>
      </c>
    </row>
    <row r="437" spans="1:5" x14ac:dyDescent="0.25">
      <c r="A437" s="2" t="s">
        <v>1448</v>
      </c>
      <c r="B437" s="2" t="s">
        <v>1449</v>
      </c>
      <c r="C437" s="2" t="s">
        <v>694</v>
      </c>
      <c r="D437" s="2" t="s">
        <v>635</v>
      </c>
      <c r="E437" s="2">
        <v>245</v>
      </c>
    </row>
    <row r="438" spans="1:5" x14ac:dyDescent="0.25">
      <c r="A438" s="2" t="s">
        <v>1448</v>
      </c>
      <c r="B438" s="2" t="s">
        <v>1449</v>
      </c>
      <c r="C438" s="2" t="s">
        <v>694</v>
      </c>
      <c r="D438" s="2" t="s">
        <v>650</v>
      </c>
      <c r="E438" s="2">
        <v>245</v>
      </c>
    </row>
    <row r="439" spans="1:5" x14ac:dyDescent="0.25">
      <c r="A439" s="2" t="s">
        <v>1448</v>
      </c>
      <c r="B439" s="2" t="s">
        <v>1449</v>
      </c>
      <c r="C439" s="2" t="s">
        <v>694</v>
      </c>
      <c r="D439" s="2" t="s">
        <v>636</v>
      </c>
      <c r="E439" s="2">
        <v>280</v>
      </c>
    </row>
    <row r="440" spans="1:5" x14ac:dyDescent="0.25">
      <c r="A440" s="2" t="s">
        <v>1448</v>
      </c>
      <c r="B440" s="2" t="s">
        <v>1449</v>
      </c>
      <c r="C440" s="2" t="s">
        <v>694</v>
      </c>
      <c r="D440" s="2" t="s">
        <v>651</v>
      </c>
      <c r="E440" s="2">
        <v>280</v>
      </c>
    </row>
    <row r="441" spans="1:5" x14ac:dyDescent="0.25">
      <c r="A441" s="2" t="s">
        <v>1448</v>
      </c>
      <c r="B441" s="2" t="s">
        <v>1449</v>
      </c>
      <c r="C441" s="2" t="s">
        <v>695</v>
      </c>
      <c r="D441" s="2" t="s">
        <v>696</v>
      </c>
      <c r="E441" s="2">
        <v>325</v>
      </c>
    </row>
    <row r="442" spans="1:5" x14ac:dyDescent="0.25">
      <c r="A442" s="2" t="s">
        <v>1448</v>
      </c>
      <c r="B442" s="2" t="s">
        <v>1449</v>
      </c>
      <c r="C442" s="2" t="s">
        <v>695</v>
      </c>
      <c r="D442" s="2" t="s">
        <v>697</v>
      </c>
      <c r="E442" s="2">
        <v>325</v>
      </c>
    </row>
    <row r="443" spans="1:5" x14ac:dyDescent="0.25">
      <c r="A443" s="2" t="s">
        <v>1448</v>
      </c>
      <c r="B443" s="2" t="s">
        <v>1449</v>
      </c>
      <c r="C443" s="2" t="s">
        <v>695</v>
      </c>
      <c r="D443" s="2" t="s">
        <v>698</v>
      </c>
      <c r="E443" s="2">
        <v>325</v>
      </c>
    </row>
    <row r="444" spans="1:5" x14ac:dyDescent="0.25">
      <c r="A444" s="2" t="s">
        <v>1448</v>
      </c>
      <c r="B444" s="2" t="s">
        <v>1449</v>
      </c>
      <c r="C444" s="2" t="s">
        <v>695</v>
      </c>
      <c r="D444" s="2" t="s">
        <v>699</v>
      </c>
      <c r="E444" s="2">
        <v>325</v>
      </c>
    </row>
    <row r="445" spans="1:5" x14ac:dyDescent="0.25">
      <c r="A445" s="2" t="s">
        <v>1448</v>
      </c>
      <c r="B445" s="2" t="s">
        <v>1449</v>
      </c>
      <c r="C445" s="2" t="s">
        <v>695</v>
      </c>
      <c r="D445" s="2" t="s">
        <v>700</v>
      </c>
      <c r="E445" s="2">
        <v>325</v>
      </c>
    </row>
    <row r="446" spans="1:5" x14ac:dyDescent="0.25">
      <c r="A446" s="2" t="s">
        <v>1448</v>
      </c>
      <c r="B446" s="2" t="s">
        <v>1449</v>
      </c>
      <c r="C446" s="2" t="s">
        <v>695</v>
      </c>
      <c r="D446" s="2" t="s">
        <v>701</v>
      </c>
      <c r="E446" s="2">
        <v>325</v>
      </c>
    </row>
    <row r="447" spans="1:5" x14ac:dyDescent="0.25">
      <c r="A447" s="2" t="s">
        <v>1448</v>
      </c>
      <c r="B447" s="2" t="s">
        <v>1449</v>
      </c>
      <c r="C447" s="2" t="s">
        <v>695</v>
      </c>
      <c r="D447" s="2" t="s">
        <v>702</v>
      </c>
      <c r="E447" s="2">
        <v>325</v>
      </c>
    </row>
    <row r="448" spans="1:5" x14ac:dyDescent="0.25">
      <c r="A448" s="2" t="s">
        <v>1448</v>
      </c>
      <c r="B448" s="2" t="s">
        <v>1449</v>
      </c>
      <c r="C448" s="2" t="s">
        <v>695</v>
      </c>
      <c r="D448" s="2" t="s">
        <v>703</v>
      </c>
      <c r="E448" s="2">
        <v>325</v>
      </c>
    </row>
    <row r="449" spans="1:5" x14ac:dyDescent="0.25">
      <c r="A449" s="2" t="s">
        <v>1448</v>
      </c>
      <c r="B449" s="2" t="s">
        <v>1449</v>
      </c>
      <c r="C449" s="2" t="s">
        <v>695</v>
      </c>
      <c r="D449" s="2" t="s">
        <v>704</v>
      </c>
      <c r="E449" s="2">
        <v>325</v>
      </c>
    </row>
    <row r="450" spans="1:5" x14ac:dyDescent="0.25">
      <c r="A450" s="2" t="s">
        <v>1448</v>
      </c>
      <c r="B450" s="2" t="s">
        <v>1449</v>
      </c>
      <c r="C450" s="2" t="s">
        <v>695</v>
      </c>
      <c r="D450" s="2" t="s">
        <v>705</v>
      </c>
      <c r="E450" s="2">
        <v>325</v>
      </c>
    </row>
    <row r="451" spans="1:5" x14ac:dyDescent="0.25">
      <c r="A451" s="2" t="s">
        <v>1450</v>
      </c>
      <c r="B451" s="4" t="s">
        <v>1451</v>
      </c>
      <c r="C451" s="2" t="s">
        <v>603</v>
      </c>
      <c r="D451" s="2" t="s">
        <v>604</v>
      </c>
      <c r="E451" s="2">
        <v>60</v>
      </c>
    </row>
    <row r="452" spans="1:5" x14ac:dyDescent="0.25">
      <c r="A452" s="2" t="s">
        <v>1450</v>
      </c>
      <c r="B452" s="2" t="s">
        <v>1451</v>
      </c>
      <c r="C452" s="2" t="s">
        <v>603</v>
      </c>
      <c r="D452" s="2" t="s">
        <v>605</v>
      </c>
      <c r="E452" s="2">
        <v>75</v>
      </c>
    </row>
    <row r="453" spans="1:5" x14ac:dyDescent="0.25">
      <c r="A453" s="2" t="s">
        <v>1450</v>
      </c>
      <c r="B453" s="2" t="s">
        <v>1451</v>
      </c>
      <c r="C453" s="2" t="s">
        <v>603</v>
      </c>
      <c r="D453" s="2" t="s">
        <v>606</v>
      </c>
      <c r="E453" s="2">
        <v>115</v>
      </c>
    </row>
    <row r="454" spans="1:5" x14ac:dyDescent="0.25">
      <c r="A454" s="2" t="s">
        <v>1450</v>
      </c>
      <c r="B454" s="2" t="s">
        <v>1451</v>
      </c>
      <c r="C454" s="2" t="s">
        <v>603</v>
      </c>
      <c r="D454" s="2" t="s">
        <v>607</v>
      </c>
      <c r="E454" s="2">
        <v>130</v>
      </c>
    </row>
    <row r="455" spans="1:5" x14ac:dyDescent="0.25">
      <c r="A455" s="2" t="s">
        <v>1450</v>
      </c>
      <c r="B455" s="2" t="s">
        <v>1451</v>
      </c>
      <c r="C455" s="2" t="s">
        <v>603</v>
      </c>
      <c r="D455" s="2" t="s">
        <v>608</v>
      </c>
      <c r="E455" s="2">
        <v>170</v>
      </c>
    </row>
    <row r="456" spans="1:5" x14ac:dyDescent="0.25">
      <c r="A456" s="2" t="s">
        <v>1450</v>
      </c>
      <c r="B456" s="2" t="s">
        <v>1451</v>
      </c>
      <c r="C456" s="2" t="s">
        <v>603</v>
      </c>
      <c r="D456" s="2" t="s">
        <v>609</v>
      </c>
      <c r="E456" s="2">
        <v>215</v>
      </c>
    </row>
    <row r="457" spans="1:5" x14ac:dyDescent="0.25">
      <c r="A457" s="2" t="s">
        <v>1450</v>
      </c>
      <c r="B457" s="2" t="s">
        <v>1451</v>
      </c>
      <c r="C457" s="2" t="s">
        <v>603</v>
      </c>
      <c r="D457" s="2" t="s">
        <v>610</v>
      </c>
      <c r="E457" s="2">
        <v>234</v>
      </c>
    </row>
    <row r="458" spans="1:5" x14ac:dyDescent="0.25">
      <c r="A458" s="2" t="s">
        <v>1450</v>
      </c>
      <c r="B458" s="2" t="s">
        <v>1451</v>
      </c>
      <c r="C458" s="2" t="s">
        <v>603</v>
      </c>
      <c r="D458" s="2" t="s">
        <v>611</v>
      </c>
      <c r="E458" s="2">
        <v>289</v>
      </c>
    </row>
    <row r="459" spans="1:5" x14ac:dyDescent="0.25">
      <c r="A459" s="2" t="s">
        <v>1452</v>
      </c>
      <c r="B459" s="2" t="s">
        <v>1453</v>
      </c>
      <c r="C459" s="2" t="s">
        <v>691</v>
      </c>
      <c r="D459" s="2" t="s">
        <v>693</v>
      </c>
      <c r="E459" s="2">
        <v>80</v>
      </c>
    </row>
    <row r="460" spans="1:5" x14ac:dyDescent="0.25">
      <c r="A460" s="2" t="s">
        <v>1452</v>
      </c>
      <c r="B460" s="2" t="s">
        <v>1453</v>
      </c>
      <c r="C460" s="2" t="s">
        <v>691</v>
      </c>
      <c r="D460" s="2" t="s">
        <v>647</v>
      </c>
      <c r="E460" s="2">
        <v>168</v>
      </c>
    </row>
    <row r="461" spans="1:5" x14ac:dyDescent="0.25">
      <c r="A461" s="2" t="s">
        <v>1452</v>
      </c>
      <c r="B461" s="2" t="s">
        <v>1453</v>
      </c>
      <c r="C461" s="2" t="s">
        <v>691</v>
      </c>
      <c r="D461" s="2" t="s">
        <v>648</v>
      </c>
      <c r="E461" s="2">
        <v>195</v>
      </c>
    </row>
    <row r="462" spans="1:5" x14ac:dyDescent="0.25">
      <c r="A462" s="2" t="s">
        <v>1452</v>
      </c>
      <c r="B462" s="2" t="s">
        <v>1453</v>
      </c>
      <c r="C462" s="2" t="s">
        <v>691</v>
      </c>
      <c r="D462" s="2" t="s">
        <v>634</v>
      </c>
      <c r="E462" s="2">
        <v>245</v>
      </c>
    </row>
    <row r="463" spans="1:5" x14ac:dyDescent="0.25">
      <c r="A463" s="2" t="s">
        <v>1452</v>
      </c>
      <c r="B463" s="2" t="s">
        <v>1453</v>
      </c>
      <c r="C463" s="2" t="s">
        <v>691</v>
      </c>
      <c r="D463" s="2" t="s">
        <v>649</v>
      </c>
      <c r="E463" s="2">
        <v>245</v>
      </c>
    </row>
    <row r="464" spans="1:5" x14ac:dyDescent="0.25">
      <c r="A464" s="2" t="s">
        <v>1452</v>
      </c>
      <c r="B464" s="2" t="s">
        <v>1453</v>
      </c>
      <c r="C464" s="2" t="s">
        <v>691</v>
      </c>
      <c r="D464" s="2" t="s">
        <v>635</v>
      </c>
      <c r="E464" s="2">
        <v>285</v>
      </c>
    </row>
    <row r="465" spans="1:5" x14ac:dyDescent="0.25">
      <c r="A465" s="2" t="s">
        <v>1452</v>
      </c>
      <c r="B465" s="2" t="s">
        <v>1453</v>
      </c>
      <c r="C465" s="2" t="s">
        <v>691</v>
      </c>
      <c r="D465" s="2" t="s">
        <v>650</v>
      </c>
      <c r="E465" s="2">
        <v>285</v>
      </c>
    </row>
    <row r="466" spans="1:5" x14ac:dyDescent="0.25">
      <c r="A466" s="2" t="s">
        <v>1452</v>
      </c>
      <c r="B466" s="2" t="s">
        <v>1453</v>
      </c>
      <c r="C466" s="2" t="s">
        <v>691</v>
      </c>
      <c r="D466" s="2" t="s">
        <v>636</v>
      </c>
      <c r="E466" s="2">
        <v>300</v>
      </c>
    </row>
    <row r="467" spans="1:5" x14ac:dyDescent="0.25">
      <c r="A467" s="2" t="s">
        <v>1452</v>
      </c>
      <c r="B467" s="2" t="s">
        <v>1453</v>
      </c>
      <c r="C467" s="2" t="s">
        <v>691</v>
      </c>
      <c r="D467" s="2" t="s">
        <v>651</v>
      </c>
      <c r="E467" s="2">
        <v>300</v>
      </c>
    </row>
    <row r="468" spans="1:5" x14ac:dyDescent="0.25">
      <c r="A468" s="2" t="s">
        <v>1452</v>
      </c>
      <c r="B468" s="2" t="s">
        <v>1453</v>
      </c>
      <c r="C468" s="2" t="s">
        <v>694</v>
      </c>
      <c r="D468" s="2" t="s">
        <v>693</v>
      </c>
      <c r="E468" s="2">
        <v>80</v>
      </c>
    </row>
    <row r="469" spans="1:5" x14ac:dyDescent="0.25">
      <c r="A469" s="2" t="s">
        <v>1452</v>
      </c>
      <c r="B469" s="2" t="s">
        <v>1453</v>
      </c>
      <c r="C469" s="2" t="s">
        <v>694</v>
      </c>
      <c r="D469" s="2" t="s">
        <v>647</v>
      </c>
      <c r="E469" s="2">
        <v>168</v>
      </c>
    </row>
    <row r="470" spans="1:5" x14ac:dyDescent="0.25">
      <c r="A470" s="2" t="s">
        <v>1452</v>
      </c>
      <c r="B470" s="2" t="s">
        <v>1453</v>
      </c>
      <c r="C470" s="2" t="s">
        <v>694</v>
      </c>
      <c r="D470" s="2" t="s">
        <v>648</v>
      </c>
      <c r="E470" s="2">
        <v>195</v>
      </c>
    </row>
    <row r="471" spans="1:5" x14ac:dyDescent="0.25">
      <c r="A471" s="2" t="s">
        <v>1452</v>
      </c>
      <c r="B471" s="2" t="s">
        <v>1453</v>
      </c>
      <c r="C471" s="2" t="s">
        <v>694</v>
      </c>
      <c r="D471" s="2" t="s">
        <v>634</v>
      </c>
      <c r="E471" s="2">
        <v>245</v>
      </c>
    </row>
    <row r="472" spans="1:5" x14ac:dyDescent="0.25">
      <c r="A472" s="2" t="s">
        <v>1452</v>
      </c>
      <c r="B472" s="2" t="s">
        <v>1453</v>
      </c>
      <c r="C472" s="2" t="s">
        <v>694</v>
      </c>
      <c r="D472" s="2" t="s">
        <v>649</v>
      </c>
      <c r="E472" s="2">
        <v>245</v>
      </c>
    </row>
    <row r="473" spans="1:5" x14ac:dyDescent="0.25">
      <c r="A473" s="2" t="s">
        <v>1452</v>
      </c>
      <c r="B473" s="2" t="s">
        <v>1453</v>
      </c>
      <c r="C473" s="2" t="s">
        <v>694</v>
      </c>
      <c r="D473" s="2" t="s">
        <v>635</v>
      </c>
      <c r="E473" s="2">
        <v>285</v>
      </c>
    </row>
    <row r="474" spans="1:5" x14ac:dyDescent="0.25">
      <c r="A474" s="2" t="s">
        <v>1452</v>
      </c>
      <c r="B474" s="2" t="s">
        <v>1453</v>
      </c>
      <c r="C474" s="2" t="s">
        <v>694</v>
      </c>
      <c r="D474" s="2" t="s">
        <v>650</v>
      </c>
      <c r="E474" s="2">
        <v>285</v>
      </c>
    </row>
    <row r="475" spans="1:5" x14ac:dyDescent="0.25">
      <c r="A475" s="2" t="s">
        <v>1452</v>
      </c>
      <c r="B475" s="2" t="s">
        <v>1453</v>
      </c>
      <c r="C475" s="2" t="s">
        <v>694</v>
      </c>
      <c r="D475" s="2" t="s">
        <v>636</v>
      </c>
      <c r="E475" s="2">
        <v>300</v>
      </c>
    </row>
    <row r="476" spans="1:5" x14ac:dyDescent="0.25">
      <c r="A476" s="2" t="s">
        <v>1452</v>
      </c>
      <c r="B476" s="2" t="s">
        <v>1453</v>
      </c>
      <c r="C476" s="2" t="s">
        <v>694</v>
      </c>
      <c r="D476" s="2" t="s">
        <v>651</v>
      </c>
      <c r="E476" s="2">
        <v>300</v>
      </c>
    </row>
    <row r="477" spans="1:5" x14ac:dyDescent="0.25">
      <c r="A477" s="2" t="s">
        <v>1452</v>
      </c>
      <c r="B477" s="2" t="s">
        <v>1453</v>
      </c>
      <c r="C477" s="2" t="s">
        <v>695</v>
      </c>
      <c r="D477" s="2" t="s">
        <v>696</v>
      </c>
      <c r="E477" s="2">
        <v>375</v>
      </c>
    </row>
    <row r="478" spans="1:5" x14ac:dyDescent="0.25">
      <c r="A478" s="2" t="s">
        <v>1452</v>
      </c>
      <c r="B478" s="2" t="s">
        <v>1453</v>
      </c>
      <c r="C478" s="2" t="s">
        <v>695</v>
      </c>
      <c r="D478" s="2" t="s">
        <v>697</v>
      </c>
      <c r="E478" s="2">
        <v>375</v>
      </c>
    </row>
    <row r="479" spans="1:5" x14ac:dyDescent="0.25">
      <c r="A479" s="2" t="s">
        <v>1452</v>
      </c>
      <c r="B479" s="2" t="s">
        <v>1453</v>
      </c>
      <c r="C479" s="2" t="s">
        <v>695</v>
      </c>
      <c r="D479" s="2" t="s">
        <v>698</v>
      </c>
      <c r="E479" s="2">
        <v>375</v>
      </c>
    </row>
    <row r="480" spans="1:5" x14ac:dyDescent="0.25">
      <c r="A480" s="2" t="s">
        <v>1452</v>
      </c>
      <c r="B480" s="2" t="s">
        <v>1453</v>
      </c>
      <c r="C480" s="2" t="s">
        <v>695</v>
      </c>
      <c r="D480" s="2" t="s">
        <v>699</v>
      </c>
      <c r="E480" s="2">
        <v>375</v>
      </c>
    </row>
    <row r="481" spans="1:5" x14ac:dyDescent="0.25">
      <c r="A481" s="2" t="s">
        <v>1452</v>
      </c>
      <c r="B481" s="2" t="s">
        <v>1453</v>
      </c>
      <c r="C481" s="2" t="s">
        <v>695</v>
      </c>
      <c r="D481" s="2" t="s">
        <v>700</v>
      </c>
      <c r="E481" s="2">
        <v>375</v>
      </c>
    </row>
    <row r="482" spans="1:5" x14ac:dyDescent="0.25">
      <c r="A482" s="2" t="s">
        <v>1452</v>
      </c>
      <c r="B482" s="2" t="s">
        <v>1453</v>
      </c>
      <c r="C482" s="2" t="s">
        <v>695</v>
      </c>
      <c r="D482" s="2" t="s">
        <v>701</v>
      </c>
      <c r="E482" s="2">
        <v>375</v>
      </c>
    </row>
    <row r="483" spans="1:5" x14ac:dyDescent="0.25">
      <c r="A483" s="2" t="s">
        <v>1452</v>
      </c>
      <c r="B483" s="2" t="s">
        <v>1453</v>
      </c>
      <c r="C483" s="2" t="s">
        <v>695</v>
      </c>
      <c r="D483" s="2" t="s">
        <v>702</v>
      </c>
      <c r="E483" s="2">
        <v>375</v>
      </c>
    </row>
    <row r="484" spans="1:5" x14ac:dyDescent="0.25">
      <c r="A484" s="2" t="s">
        <v>1452</v>
      </c>
      <c r="B484" s="2" t="s">
        <v>1453</v>
      </c>
      <c r="C484" s="2" t="s">
        <v>695</v>
      </c>
      <c r="D484" s="2" t="s">
        <v>703</v>
      </c>
      <c r="E484" s="2">
        <v>375</v>
      </c>
    </row>
    <row r="485" spans="1:5" x14ac:dyDescent="0.25">
      <c r="A485" s="2" t="s">
        <v>1452</v>
      </c>
      <c r="B485" s="2" t="s">
        <v>1453</v>
      </c>
      <c r="C485" s="2" t="s">
        <v>695</v>
      </c>
      <c r="D485" s="2" t="s">
        <v>704</v>
      </c>
      <c r="E485" s="2">
        <v>375</v>
      </c>
    </row>
    <row r="486" spans="1:5" x14ac:dyDescent="0.25">
      <c r="A486" s="2" t="s">
        <v>1452</v>
      </c>
      <c r="B486" s="2" t="s">
        <v>1453</v>
      </c>
      <c r="C486" s="2" t="s">
        <v>695</v>
      </c>
      <c r="D486" s="2" t="s">
        <v>705</v>
      </c>
      <c r="E486" s="2">
        <v>375</v>
      </c>
    </row>
    <row r="487" spans="1:5" x14ac:dyDescent="0.25">
      <c r="A487" s="2" t="s">
        <v>1454</v>
      </c>
      <c r="B487" s="2" t="s">
        <v>1455</v>
      </c>
      <c r="C487" s="2" t="s">
        <v>603</v>
      </c>
      <c r="D487" s="2" t="s">
        <v>604</v>
      </c>
      <c r="E487" s="2">
        <v>90</v>
      </c>
    </row>
    <row r="488" spans="1:5" x14ac:dyDescent="0.25">
      <c r="A488" s="2" t="s">
        <v>1454</v>
      </c>
      <c r="B488" s="2" t="s">
        <v>1455</v>
      </c>
      <c r="C488" s="2" t="s">
        <v>603</v>
      </c>
      <c r="D488" s="2" t="s">
        <v>605</v>
      </c>
      <c r="E488" s="2">
        <v>165</v>
      </c>
    </row>
    <row r="489" spans="1:5" x14ac:dyDescent="0.25">
      <c r="A489" s="2" t="s">
        <v>1454</v>
      </c>
      <c r="B489" s="2" t="s">
        <v>1455</v>
      </c>
      <c r="C489" s="2" t="s">
        <v>603</v>
      </c>
      <c r="D489" s="2" t="s">
        <v>606</v>
      </c>
      <c r="E489" s="2">
        <v>185</v>
      </c>
    </row>
    <row r="490" spans="1:5" x14ac:dyDescent="0.25">
      <c r="A490" s="2" t="s">
        <v>1454</v>
      </c>
      <c r="B490" s="2" t="s">
        <v>1455</v>
      </c>
      <c r="C490" s="2" t="s">
        <v>603</v>
      </c>
      <c r="D490" s="2" t="s">
        <v>607</v>
      </c>
      <c r="E490" s="2">
        <v>220</v>
      </c>
    </row>
    <row r="491" spans="1:5" x14ac:dyDescent="0.25">
      <c r="A491" s="2" t="s">
        <v>1454</v>
      </c>
      <c r="B491" s="2" t="s">
        <v>1455</v>
      </c>
      <c r="C491" s="2" t="s">
        <v>603</v>
      </c>
      <c r="D491" s="2" t="s">
        <v>608</v>
      </c>
      <c r="E491" s="2">
        <v>240</v>
      </c>
    </row>
    <row r="492" spans="1:5" x14ac:dyDescent="0.25">
      <c r="A492" s="2" t="s">
        <v>1454</v>
      </c>
      <c r="B492" s="2" t="s">
        <v>1455</v>
      </c>
      <c r="C492" s="2" t="s">
        <v>603</v>
      </c>
      <c r="D492" s="2" t="s">
        <v>609</v>
      </c>
      <c r="E492" s="2">
        <v>270</v>
      </c>
    </row>
    <row r="493" spans="1:5" x14ac:dyDescent="0.25">
      <c r="A493" s="2" t="s">
        <v>1454</v>
      </c>
      <c r="B493" s="2" t="s">
        <v>1455</v>
      </c>
      <c r="C493" s="2" t="s">
        <v>603</v>
      </c>
      <c r="D493" s="2" t="s">
        <v>610</v>
      </c>
      <c r="E493" s="2">
        <v>300</v>
      </c>
    </row>
    <row r="494" spans="1:5" x14ac:dyDescent="0.25">
      <c r="A494" s="2" t="s">
        <v>1454</v>
      </c>
      <c r="B494" s="2" t="s">
        <v>1455</v>
      </c>
      <c r="C494" s="2" t="s">
        <v>603</v>
      </c>
      <c r="D494" s="2" t="s">
        <v>611</v>
      </c>
      <c r="E494" s="2">
        <v>330</v>
      </c>
    </row>
    <row r="495" spans="1:5" x14ac:dyDescent="0.25">
      <c r="A495" s="2" t="s">
        <v>1454</v>
      </c>
      <c r="B495" s="2" t="s">
        <v>1455</v>
      </c>
      <c r="C495" s="2" t="s">
        <v>603</v>
      </c>
      <c r="D495" s="2" t="s">
        <v>612</v>
      </c>
      <c r="E495" s="2">
        <v>360</v>
      </c>
    </row>
    <row r="496" spans="1:5" x14ac:dyDescent="0.25">
      <c r="A496" s="2" t="s">
        <v>1454</v>
      </c>
      <c r="B496" s="2" t="s">
        <v>1455</v>
      </c>
      <c r="C496" s="2" t="s">
        <v>603</v>
      </c>
      <c r="D496" s="2" t="s">
        <v>613</v>
      </c>
      <c r="E496" s="2">
        <v>395</v>
      </c>
    </row>
    <row r="497" spans="1:5" x14ac:dyDescent="0.25">
      <c r="A497" s="2" t="s">
        <v>1454</v>
      </c>
      <c r="B497" s="2" t="s">
        <v>1455</v>
      </c>
      <c r="C497" s="2" t="s">
        <v>603</v>
      </c>
      <c r="D497" s="2" t="s">
        <v>614</v>
      </c>
      <c r="E497" s="2">
        <v>425</v>
      </c>
    </row>
    <row r="498" spans="1:5" x14ac:dyDescent="0.25">
      <c r="A498" s="2" t="s">
        <v>1454</v>
      </c>
      <c r="B498" s="2" t="s">
        <v>1455</v>
      </c>
      <c r="C498" s="2" t="s">
        <v>603</v>
      </c>
      <c r="D498" s="2" t="s">
        <v>615</v>
      </c>
      <c r="E498" s="2">
        <v>475</v>
      </c>
    </row>
    <row r="499" spans="1:5" x14ac:dyDescent="0.25">
      <c r="A499" s="2" t="s">
        <v>1456</v>
      </c>
      <c r="B499" s="2" t="s">
        <v>1457</v>
      </c>
      <c r="C499" s="2" t="s">
        <v>691</v>
      </c>
      <c r="D499" s="2" t="s">
        <v>693</v>
      </c>
      <c r="E499" s="2">
        <v>45</v>
      </c>
    </row>
    <row r="500" spans="1:5" x14ac:dyDescent="0.25">
      <c r="A500" s="2" t="s">
        <v>1456</v>
      </c>
      <c r="B500" s="2" t="s">
        <v>1457</v>
      </c>
      <c r="C500" s="2" t="s">
        <v>691</v>
      </c>
      <c r="D500" s="2" t="s">
        <v>647</v>
      </c>
      <c r="E500" s="2">
        <v>142.5</v>
      </c>
    </row>
    <row r="501" spans="1:5" x14ac:dyDescent="0.25">
      <c r="A501" s="2" t="s">
        <v>1456</v>
      </c>
      <c r="B501" s="2" t="s">
        <v>1457</v>
      </c>
      <c r="C501" s="2" t="s">
        <v>691</v>
      </c>
      <c r="D501" s="2" t="s">
        <v>648</v>
      </c>
      <c r="E501" s="2">
        <v>165</v>
      </c>
    </row>
    <row r="502" spans="1:5" x14ac:dyDescent="0.25">
      <c r="A502" s="2" t="s">
        <v>1456</v>
      </c>
      <c r="B502" s="2" t="s">
        <v>1457</v>
      </c>
      <c r="C502" s="2" t="s">
        <v>691</v>
      </c>
      <c r="D502" s="2" t="s">
        <v>634</v>
      </c>
      <c r="E502" s="2">
        <v>206.25</v>
      </c>
    </row>
    <row r="503" spans="1:5" x14ac:dyDescent="0.25">
      <c r="A503" s="2" t="s">
        <v>1456</v>
      </c>
      <c r="B503" s="2" t="s">
        <v>1457</v>
      </c>
      <c r="C503" s="2" t="s">
        <v>691</v>
      </c>
      <c r="D503" s="2" t="s">
        <v>649</v>
      </c>
      <c r="E503" s="2">
        <v>206.25</v>
      </c>
    </row>
    <row r="504" spans="1:5" x14ac:dyDescent="0.25">
      <c r="A504" s="2" t="s">
        <v>1456</v>
      </c>
      <c r="B504" s="2" t="s">
        <v>1457</v>
      </c>
      <c r="C504" s="2" t="s">
        <v>694</v>
      </c>
      <c r="D504" s="2" t="s">
        <v>693</v>
      </c>
      <c r="E504" s="2">
        <v>45</v>
      </c>
    </row>
    <row r="505" spans="1:5" x14ac:dyDescent="0.25">
      <c r="A505" s="2" t="s">
        <v>1456</v>
      </c>
      <c r="B505" s="2" t="s">
        <v>1457</v>
      </c>
      <c r="C505" s="2" t="s">
        <v>694</v>
      </c>
      <c r="D505" s="2" t="s">
        <v>647</v>
      </c>
      <c r="E505" s="2">
        <v>142.5</v>
      </c>
    </row>
    <row r="506" spans="1:5" x14ac:dyDescent="0.25">
      <c r="A506" s="2" t="s">
        <v>1456</v>
      </c>
      <c r="B506" s="2" t="s">
        <v>1457</v>
      </c>
      <c r="C506" s="2" t="s">
        <v>694</v>
      </c>
      <c r="D506" s="2" t="s">
        <v>648</v>
      </c>
      <c r="E506" s="2">
        <v>165</v>
      </c>
    </row>
    <row r="507" spans="1:5" x14ac:dyDescent="0.25">
      <c r="A507" s="2" t="s">
        <v>1456</v>
      </c>
      <c r="B507" s="2" t="s">
        <v>1457</v>
      </c>
      <c r="C507" s="2" t="s">
        <v>694</v>
      </c>
      <c r="D507" s="2" t="s">
        <v>634</v>
      </c>
      <c r="E507" s="2">
        <v>206.25</v>
      </c>
    </row>
    <row r="508" spans="1:5" x14ac:dyDescent="0.25">
      <c r="A508" s="2" t="s">
        <v>1456</v>
      </c>
      <c r="B508" s="2" t="s">
        <v>1457</v>
      </c>
      <c r="C508" s="2" t="s">
        <v>694</v>
      </c>
      <c r="D508" s="2" t="s">
        <v>649</v>
      </c>
      <c r="E508" s="2">
        <v>206.25</v>
      </c>
    </row>
    <row r="509" spans="1:5" x14ac:dyDescent="0.25">
      <c r="A509" s="2" t="s">
        <v>1456</v>
      </c>
      <c r="B509" s="2" t="s">
        <v>1457</v>
      </c>
      <c r="C509" s="2" t="s">
        <v>695</v>
      </c>
      <c r="D509" s="2" t="s">
        <v>696</v>
      </c>
      <c r="E509" s="2">
        <v>259</v>
      </c>
    </row>
    <row r="510" spans="1:5" x14ac:dyDescent="0.25">
      <c r="A510" s="2" t="s">
        <v>1456</v>
      </c>
      <c r="B510" s="2" t="s">
        <v>1457</v>
      </c>
      <c r="C510" s="2" t="s">
        <v>695</v>
      </c>
      <c r="D510" s="2" t="s">
        <v>697</v>
      </c>
      <c r="E510" s="2">
        <v>259</v>
      </c>
    </row>
    <row r="511" spans="1:5" x14ac:dyDescent="0.25">
      <c r="A511" s="2" t="s">
        <v>1456</v>
      </c>
      <c r="B511" s="2" t="s">
        <v>1457</v>
      </c>
      <c r="C511" s="2" t="s">
        <v>695</v>
      </c>
      <c r="D511" s="2" t="s">
        <v>698</v>
      </c>
      <c r="E511" s="2">
        <v>259</v>
      </c>
    </row>
    <row r="512" spans="1:5" x14ac:dyDescent="0.25">
      <c r="A512" s="2" t="s">
        <v>1456</v>
      </c>
      <c r="B512" s="2" t="s">
        <v>1457</v>
      </c>
      <c r="C512" s="2" t="s">
        <v>695</v>
      </c>
      <c r="D512" s="2" t="s">
        <v>699</v>
      </c>
      <c r="E512" s="2">
        <v>259</v>
      </c>
    </row>
    <row r="513" spans="1:5" x14ac:dyDescent="0.25">
      <c r="A513" s="2" t="s">
        <v>1456</v>
      </c>
      <c r="B513" s="2" t="s">
        <v>1457</v>
      </c>
      <c r="C513" s="2" t="s">
        <v>695</v>
      </c>
      <c r="D513" s="2" t="s">
        <v>700</v>
      </c>
      <c r="E513" s="2">
        <v>259</v>
      </c>
    </row>
    <row r="514" spans="1:5" x14ac:dyDescent="0.25">
      <c r="A514" s="2" t="s">
        <v>1456</v>
      </c>
      <c r="B514" s="2" t="s">
        <v>1457</v>
      </c>
      <c r="C514" s="2" t="s">
        <v>695</v>
      </c>
      <c r="D514" s="2" t="s">
        <v>701</v>
      </c>
      <c r="E514" s="2">
        <v>259</v>
      </c>
    </row>
    <row r="515" spans="1:5" x14ac:dyDescent="0.25">
      <c r="A515" s="2" t="s">
        <v>1456</v>
      </c>
      <c r="B515" s="2" t="s">
        <v>1457</v>
      </c>
      <c r="C515" s="2" t="s">
        <v>695</v>
      </c>
      <c r="D515" s="2" t="s">
        <v>702</v>
      </c>
      <c r="E515" s="2">
        <v>259</v>
      </c>
    </row>
    <row r="516" spans="1:5" x14ac:dyDescent="0.25">
      <c r="A516" s="2" t="s">
        <v>1456</v>
      </c>
      <c r="B516" s="2" t="s">
        <v>1457</v>
      </c>
      <c r="C516" s="2" t="s">
        <v>695</v>
      </c>
      <c r="D516" s="2" t="s">
        <v>703</v>
      </c>
      <c r="E516" s="2">
        <v>259</v>
      </c>
    </row>
    <row r="517" spans="1:5" x14ac:dyDescent="0.25">
      <c r="A517" s="2" t="s">
        <v>1456</v>
      </c>
      <c r="B517" s="2" t="s">
        <v>1457</v>
      </c>
      <c r="C517" s="2" t="s">
        <v>695</v>
      </c>
      <c r="D517" s="2" t="s">
        <v>704</v>
      </c>
      <c r="E517" s="2">
        <v>259</v>
      </c>
    </row>
    <row r="518" spans="1:5" x14ac:dyDescent="0.25">
      <c r="A518" s="2" t="s">
        <v>1456</v>
      </c>
      <c r="B518" s="2" t="s">
        <v>1457</v>
      </c>
      <c r="C518" s="2" t="s">
        <v>695</v>
      </c>
      <c r="D518" s="2" t="s">
        <v>705</v>
      </c>
      <c r="E518" s="2">
        <v>259</v>
      </c>
    </row>
    <row r="519" spans="1:5" x14ac:dyDescent="0.25">
      <c r="A519" s="2" t="s">
        <v>1458</v>
      </c>
      <c r="B519" s="2" t="s">
        <v>1459</v>
      </c>
      <c r="C519" s="2" t="s">
        <v>691</v>
      </c>
      <c r="D519" s="2" t="s">
        <v>693</v>
      </c>
      <c r="E519" s="2">
        <v>90</v>
      </c>
    </row>
    <row r="520" spans="1:5" x14ac:dyDescent="0.25">
      <c r="A520" s="2" t="s">
        <v>1458</v>
      </c>
      <c r="B520" s="2" t="s">
        <v>1459</v>
      </c>
      <c r="C520" s="2" t="s">
        <v>691</v>
      </c>
      <c r="D520" s="2" t="s">
        <v>647</v>
      </c>
      <c r="E520" s="2">
        <v>160</v>
      </c>
    </row>
    <row r="521" spans="1:5" x14ac:dyDescent="0.25">
      <c r="A521" s="2" t="s">
        <v>1458</v>
      </c>
      <c r="B521" s="2" t="s">
        <v>1459</v>
      </c>
      <c r="C521" s="2" t="s">
        <v>691</v>
      </c>
      <c r="D521" s="2" t="s">
        <v>648</v>
      </c>
      <c r="E521" s="2">
        <v>160</v>
      </c>
    </row>
    <row r="522" spans="1:5" x14ac:dyDescent="0.25">
      <c r="A522" s="2" t="s">
        <v>1458</v>
      </c>
      <c r="B522" s="2" t="s">
        <v>1459</v>
      </c>
      <c r="C522" s="2" t="s">
        <v>691</v>
      </c>
      <c r="D522" s="2" t="s">
        <v>634</v>
      </c>
      <c r="E522" s="2">
        <v>225</v>
      </c>
    </row>
    <row r="523" spans="1:5" x14ac:dyDescent="0.25">
      <c r="A523" s="2" t="s">
        <v>1458</v>
      </c>
      <c r="B523" s="2" t="s">
        <v>1459</v>
      </c>
      <c r="C523" s="2" t="s">
        <v>691</v>
      </c>
      <c r="D523" s="2" t="s">
        <v>649</v>
      </c>
      <c r="E523" s="2">
        <v>225</v>
      </c>
    </row>
    <row r="524" spans="1:5" x14ac:dyDescent="0.25">
      <c r="A524" s="2" t="s">
        <v>1458</v>
      </c>
      <c r="B524" s="2" t="s">
        <v>1459</v>
      </c>
      <c r="C524" s="2" t="s">
        <v>691</v>
      </c>
      <c r="D524" s="2" t="s">
        <v>635</v>
      </c>
      <c r="E524" s="2">
        <v>300</v>
      </c>
    </row>
    <row r="525" spans="1:5" x14ac:dyDescent="0.25">
      <c r="A525" s="2" t="s">
        <v>1458</v>
      </c>
      <c r="B525" s="2" t="s">
        <v>1459</v>
      </c>
      <c r="C525" s="2" t="s">
        <v>691</v>
      </c>
      <c r="D525" s="2" t="s">
        <v>650</v>
      </c>
      <c r="E525" s="2">
        <v>300</v>
      </c>
    </row>
    <row r="526" spans="1:5" x14ac:dyDescent="0.25">
      <c r="A526" s="2" t="s">
        <v>1458</v>
      </c>
      <c r="B526" s="2" t="s">
        <v>1459</v>
      </c>
      <c r="C526" s="2" t="s">
        <v>691</v>
      </c>
      <c r="D526" s="2" t="s">
        <v>636</v>
      </c>
      <c r="E526" s="2">
        <v>350</v>
      </c>
    </row>
    <row r="527" spans="1:5" x14ac:dyDescent="0.25">
      <c r="A527" s="2" t="s">
        <v>1458</v>
      </c>
      <c r="B527" s="2" t="s">
        <v>1459</v>
      </c>
      <c r="C527" s="2" t="s">
        <v>691</v>
      </c>
      <c r="D527" s="2" t="s">
        <v>651</v>
      </c>
      <c r="E527" s="2">
        <v>350</v>
      </c>
    </row>
    <row r="528" spans="1:5" x14ac:dyDescent="0.25">
      <c r="A528" s="2" t="s">
        <v>1458</v>
      </c>
      <c r="B528" s="2" t="s">
        <v>1459</v>
      </c>
      <c r="C528" s="2" t="s">
        <v>694</v>
      </c>
      <c r="D528" s="2" t="s">
        <v>693</v>
      </c>
      <c r="E528" s="2">
        <v>90</v>
      </c>
    </row>
    <row r="529" spans="1:5" x14ac:dyDescent="0.25">
      <c r="A529" s="2" t="s">
        <v>1458</v>
      </c>
      <c r="B529" s="2" t="s">
        <v>1459</v>
      </c>
      <c r="C529" s="2" t="s">
        <v>694</v>
      </c>
      <c r="D529" s="2" t="s">
        <v>647</v>
      </c>
      <c r="E529" s="2">
        <v>160</v>
      </c>
    </row>
    <row r="530" spans="1:5" x14ac:dyDescent="0.25">
      <c r="A530" s="2" t="s">
        <v>1458</v>
      </c>
      <c r="B530" s="2" t="s">
        <v>1459</v>
      </c>
      <c r="C530" s="2" t="s">
        <v>694</v>
      </c>
      <c r="D530" s="2" t="s">
        <v>648</v>
      </c>
      <c r="E530" s="2">
        <v>160</v>
      </c>
    </row>
    <row r="531" spans="1:5" x14ac:dyDescent="0.25">
      <c r="A531" s="2" t="s">
        <v>1458</v>
      </c>
      <c r="B531" s="2" t="s">
        <v>1459</v>
      </c>
      <c r="C531" s="2" t="s">
        <v>694</v>
      </c>
      <c r="D531" s="2" t="s">
        <v>634</v>
      </c>
      <c r="E531" s="2">
        <v>225</v>
      </c>
    </row>
    <row r="532" spans="1:5" x14ac:dyDescent="0.25">
      <c r="A532" s="2" t="s">
        <v>1458</v>
      </c>
      <c r="B532" s="2" t="s">
        <v>1459</v>
      </c>
      <c r="C532" s="2" t="s">
        <v>694</v>
      </c>
      <c r="D532" s="2" t="s">
        <v>649</v>
      </c>
      <c r="E532" s="2">
        <v>225</v>
      </c>
    </row>
    <row r="533" spans="1:5" x14ac:dyDescent="0.25">
      <c r="A533" s="2" t="s">
        <v>1458</v>
      </c>
      <c r="B533" s="2" t="s">
        <v>1459</v>
      </c>
      <c r="C533" s="2" t="s">
        <v>694</v>
      </c>
      <c r="D533" s="2" t="s">
        <v>635</v>
      </c>
      <c r="E533" s="2">
        <v>300</v>
      </c>
    </row>
    <row r="534" spans="1:5" x14ac:dyDescent="0.25">
      <c r="A534" s="2" t="s">
        <v>1458</v>
      </c>
      <c r="B534" s="2" t="s">
        <v>1459</v>
      </c>
      <c r="C534" s="2" t="s">
        <v>694</v>
      </c>
      <c r="D534" s="2" t="s">
        <v>650</v>
      </c>
      <c r="E534" s="2">
        <v>300</v>
      </c>
    </row>
    <row r="535" spans="1:5" x14ac:dyDescent="0.25">
      <c r="A535" s="2" t="s">
        <v>1458</v>
      </c>
      <c r="B535" s="2" t="s">
        <v>1459</v>
      </c>
      <c r="C535" s="2" t="s">
        <v>694</v>
      </c>
      <c r="D535" s="2" t="s">
        <v>636</v>
      </c>
      <c r="E535" s="2">
        <v>350</v>
      </c>
    </row>
    <row r="536" spans="1:5" x14ac:dyDescent="0.25">
      <c r="A536" s="2" t="s">
        <v>1458</v>
      </c>
      <c r="B536" s="2" t="s">
        <v>1459</v>
      </c>
      <c r="C536" s="2" t="s">
        <v>694</v>
      </c>
      <c r="D536" s="2" t="s">
        <v>651</v>
      </c>
      <c r="E536" s="2">
        <v>350</v>
      </c>
    </row>
    <row r="537" spans="1:5" x14ac:dyDescent="0.25">
      <c r="A537" s="2" t="s">
        <v>1458</v>
      </c>
      <c r="B537" s="2" t="s">
        <v>1459</v>
      </c>
      <c r="C537" s="2" t="s">
        <v>695</v>
      </c>
      <c r="D537" s="2" t="s">
        <v>696</v>
      </c>
      <c r="E537" s="2">
        <v>415</v>
      </c>
    </row>
    <row r="538" spans="1:5" x14ac:dyDescent="0.25">
      <c r="A538" s="2" t="s">
        <v>1458</v>
      </c>
      <c r="B538" s="2" t="s">
        <v>1459</v>
      </c>
      <c r="C538" s="2" t="s">
        <v>695</v>
      </c>
      <c r="D538" s="2" t="s">
        <v>697</v>
      </c>
      <c r="E538" s="2">
        <v>415</v>
      </c>
    </row>
    <row r="539" spans="1:5" x14ac:dyDescent="0.25">
      <c r="A539" s="2" t="s">
        <v>1458</v>
      </c>
      <c r="B539" s="2" t="s">
        <v>1459</v>
      </c>
      <c r="C539" s="2" t="s">
        <v>695</v>
      </c>
      <c r="D539" s="2" t="s">
        <v>698</v>
      </c>
      <c r="E539" s="2">
        <v>415</v>
      </c>
    </row>
    <row r="540" spans="1:5" x14ac:dyDescent="0.25">
      <c r="A540" s="2" t="s">
        <v>1458</v>
      </c>
      <c r="B540" s="2" t="s">
        <v>1459</v>
      </c>
      <c r="C540" s="2" t="s">
        <v>695</v>
      </c>
      <c r="D540" s="2" t="s">
        <v>699</v>
      </c>
      <c r="E540" s="2">
        <v>415</v>
      </c>
    </row>
    <row r="541" spans="1:5" x14ac:dyDescent="0.25">
      <c r="A541" s="2" t="s">
        <v>1458</v>
      </c>
      <c r="B541" s="2" t="s">
        <v>1459</v>
      </c>
      <c r="C541" s="2" t="s">
        <v>695</v>
      </c>
      <c r="D541" s="2" t="s">
        <v>700</v>
      </c>
      <c r="E541" s="2">
        <v>415</v>
      </c>
    </row>
    <row r="542" spans="1:5" x14ac:dyDescent="0.25">
      <c r="A542" s="2" t="s">
        <v>1458</v>
      </c>
      <c r="B542" s="2" t="s">
        <v>1459</v>
      </c>
      <c r="C542" s="2" t="s">
        <v>695</v>
      </c>
      <c r="D542" s="2" t="s">
        <v>701</v>
      </c>
      <c r="E542" s="2">
        <v>415</v>
      </c>
    </row>
    <row r="543" spans="1:5" x14ac:dyDescent="0.25">
      <c r="A543" s="2" t="s">
        <v>1458</v>
      </c>
      <c r="B543" s="2" t="s">
        <v>1459</v>
      </c>
      <c r="C543" s="2" t="s">
        <v>695</v>
      </c>
      <c r="D543" s="2" t="s">
        <v>702</v>
      </c>
      <c r="E543" s="2">
        <v>415</v>
      </c>
    </row>
    <row r="544" spans="1:5" x14ac:dyDescent="0.25">
      <c r="A544" s="2" t="s">
        <v>1458</v>
      </c>
      <c r="B544" s="2" t="s">
        <v>1459</v>
      </c>
      <c r="C544" s="2" t="s">
        <v>695</v>
      </c>
      <c r="D544" s="2" t="s">
        <v>703</v>
      </c>
      <c r="E544" s="2">
        <v>415</v>
      </c>
    </row>
    <row r="545" spans="1:5" x14ac:dyDescent="0.25">
      <c r="A545" s="2" t="s">
        <v>1458</v>
      </c>
      <c r="B545" s="2" t="s">
        <v>1459</v>
      </c>
      <c r="C545" s="2" t="s">
        <v>695</v>
      </c>
      <c r="D545" s="2" t="s">
        <v>704</v>
      </c>
      <c r="E545" s="2">
        <v>415</v>
      </c>
    </row>
    <row r="546" spans="1:5" x14ac:dyDescent="0.25">
      <c r="A546" s="2" t="s">
        <v>1458</v>
      </c>
      <c r="B546" s="2" t="s">
        <v>1459</v>
      </c>
      <c r="C546" s="2" t="s">
        <v>695</v>
      </c>
      <c r="D546" s="2" t="s">
        <v>705</v>
      </c>
      <c r="E546" s="2">
        <v>415</v>
      </c>
    </row>
    <row r="547" spans="1:5" x14ac:dyDescent="0.25">
      <c r="A547" s="2" t="s">
        <v>1460</v>
      </c>
      <c r="B547" s="2" t="s">
        <v>1461</v>
      </c>
      <c r="C547" s="2" t="s">
        <v>603</v>
      </c>
      <c r="D547" s="2" t="s">
        <v>604</v>
      </c>
      <c r="E547" s="2">
        <v>32</v>
      </c>
    </row>
    <row r="548" spans="1:5" x14ac:dyDescent="0.25">
      <c r="A548" s="2" t="s">
        <v>1460</v>
      </c>
      <c r="B548" s="2" t="s">
        <v>1461</v>
      </c>
      <c r="C548" s="2" t="s">
        <v>603</v>
      </c>
      <c r="D548" s="2" t="s">
        <v>605</v>
      </c>
      <c r="E548" s="2">
        <v>32</v>
      </c>
    </row>
    <row r="549" spans="1:5" x14ac:dyDescent="0.25">
      <c r="A549" s="2" t="s">
        <v>1460</v>
      </c>
      <c r="B549" s="2" t="s">
        <v>1461</v>
      </c>
      <c r="C549" s="2" t="s">
        <v>603</v>
      </c>
      <c r="D549" s="2" t="s">
        <v>606</v>
      </c>
      <c r="E549" s="2">
        <v>36</v>
      </c>
    </row>
    <row r="550" spans="1:5" x14ac:dyDescent="0.25">
      <c r="A550" s="2" t="s">
        <v>1460</v>
      </c>
      <c r="B550" s="2" t="s">
        <v>1461</v>
      </c>
      <c r="C550" s="2" t="s">
        <v>603</v>
      </c>
      <c r="D550" s="2" t="s">
        <v>607</v>
      </c>
      <c r="E550" s="2">
        <v>36</v>
      </c>
    </row>
    <row r="551" spans="1:5" x14ac:dyDescent="0.25">
      <c r="A551" s="2" t="s">
        <v>1460</v>
      </c>
      <c r="B551" s="2" t="s">
        <v>1461</v>
      </c>
      <c r="C551" s="2" t="s">
        <v>603</v>
      </c>
      <c r="D551" s="2" t="s">
        <v>608</v>
      </c>
      <c r="E551" s="2">
        <v>55</v>
      </c>
    </row>
    <row r="552" spans="1:5" x14ac:dyDescent="0.25">
      <c r="A552" s="2" t="s">
        <v>1460</v>
      </c>
      <c r="B552" s="2" t="s">
        <v>1461</v>
      </c>
      <c r="C552" s="2" t="s">
        <v>603</v>
      </c>
      <c r="D552" s="2" t="s">
        <v>609</v>
      </c>
      <c r="E552" s="2">
        <v>61</v>
      </c>
    </row>
    <row r="553" spans="1:5" x14ac:dyDescent="0.25">
      <c r="A553" s="2" t="s">
        <v>1460</v>
      </c>
      <c r="B553" s="2" t="s">
        <v>1461</v>
      </c>
      <c r="C553" s="2" t="s">
        <v>603</v>
      </c>
      <c r="D553" s="2" t="s">
        <v>610</v>
      </c>
      <c r="E553" s="2">
        <v>69</v>
      </c>
    </row>
    <row r="554" spans="1:5" x14ac:dyDescent="0.25">
      <c r="A554" s="2" t="s">
        <v>1460</v>
      </c>
      <c r="B554" s="2" t="s">
        <v>1461</v>
      </c>
      <c r="C554" s="2" t="s">
        <v>603</v>
      </c>
      <c r="D554" s="2" t="s">
        <v>611</v>
      </c>
      <c r="E554" s="2">
        <v>145</v>
      </c>
    </row>
    <row r="555" spans="1:5" x14ac:dyDescent="0.25">
      <c r="A555" s="2" t="s">
        <v>1462</v>
      </c>
      <c r="B555" s="2" t="s">
        <v>1463</v>
      </c>
      <c r="C555" s="2" t="s">
        <v>603</v>
      </c>
      <c r="D555" s="2" t="s">
        <v>604</v>
      </c>
      <c r="E555" s="2">
        <v>95</v>
      </c>
    </row>
    <row r="556" spans="1:5" x14ac:dyDescent="0.25">
      <c r="A556" s="2" t="s">
        <v>1462</v>
      </c>
      <c r="B556" s="2" t="s">
        <v>1463</v>
      </c>
      <c r="C556" s="2" t="s">
        <v>603</v>
      </c>
      <c r="D556" s="2" t="s">
        <v>605</v>
      </c>
      <c r="E556" s="2">
        <v>139</v>
      </c>
    </row>
    <row r="557" spans="1:5" x14ac:dyDescent="0.25">
      <c r="A557" s="2" t="s">
        <v>1462</v>
      </c>
      <c r="B557" s="2" t="s">
        <v>1463</v>
      </c>
      <c r="C557" s="2" t="s">
        <v>603</v>
      </c>
      <c r="D557" s="2" t="s">
        <v>606</v>
      </c>
      <c r="E557" s="2">
        <v>154</v>
      </c>
    </row>
    <row r="558" spans="1:5" x14ac:dyDescent="0.25">
      <c r="A558" s="2" t="s">
        <v>1462</v>
      </c>
      <c r="B558" s="2" t="s">
        <v>1463</v>
      </c>
      <c r="C558" s="2" t="s">
        <v>603</v>
      </c>
      <c r="D558" s="2" t="s">
        <v>607</v>
      </c>
      <c r="E558" s="2">
        <v>190</v>
      </c>
    </row>
    <row r="559" spans="1:5" x14ac:dyDescent="0.25">
      <c r="A559" s="2" t="s">
        <v>1462</v>
      </c>
      <c r="B559" s="2" t="s">
        <v>1463</v>
      </c>
      <c r="C559" s="2" t="s">
        <v>603</v>
      </c>
      <c r="D559" s="2" t="s">
        <v>608</v>
      </c>
      <c r="E559" s="2">
        <v>221</v>
      </c>
    </row>
    <row r="560" spans="1:5" x14ac:dyDescent="0.25">
      <c r="A560" s="2" t="s">
        <v>1462</v>
      </c>
      <c r="B560" s="2" t="s">
        <v>1463</v>
      </c>
      <c r="C560" s="2" t="s">
        <v>603</v>
      </c>
      <c r="D560" s="2" t="s">
        <v>609</v>
      </c>
      <c r="E560" s="2">
        <v>257</v>
      </c>
    </row>
    <row r="561" spans="1:5" x14ac:dyDescent="0.25">
      <c r="A561" s="2" t="s">
        <v>1462</v>
      </c>
      <c r="B561" s="2" t="s">
        <v>1463</v>
      </c>
      <c r="C561" s="2" t="s">
        <v>603</v>
      </c>
      <c r="D561" s="2" t="s">
        <v>610</v>
      </c>
      <c r="E561" s="2">
        <v>283</v>
      </c>
    </row>
    <row r="562" spans="1:5" x14ac:dyDescent="0.25">
      <c r="A562" s="2" t="s">
        <v>1464</v>
      </c>
      <c r="B562" s="2" t="s">
        <v>1465</v>
      </c>
      <c r="C562" s="2" t="s">
        <v>629</v>
      </c>
      <c r="D562" s="2" t="s">
        <v>630</v>
      </c>
      <c r="E562" s="2">
        <v>23</v>
      </c>
    </row>
    <row r="563" spans="1:5" x14ac:dyDescent="0.25">
      <c r="A563" s="2" t="s">
        <v>1464</v>
      </c>
      <c r="B563" s="2" t="s">
        <v>1465</v>
      </c>
      <c r="C563" s="2" t="s">
        <v>629</v>
      </c>
      <c r="D563" s="2" t="s">
        <v>631</v>
      </c>
      <c r="E563" s="2">
        <v>42</v>
      </c>
    </row>
    <row r="564" spans="1:5" x14ac:dyDescent="0.25">
      <c r="A564" s="2" t="s">
        <v>1464</v>
      </c>
      <c r="B564" s="2" t="s">
        <v>1465</v>
      </c>
      <c r="C564" s="2" t="s">
        <v>629</v>
      </c>
      <c r="D564" s="2" t="s">
        <v>632</v>
      </c>
      <c r="E564" s="2">
        <v>73</v>
      </c>
    </row>
    <row r="565" spans="1:5" x14ac:dyDescent="0.25">
      <c r="A565" s="2" t="s">
        <v>1464</v>
      </c>
      <c r="B565" s="2" t="s">
        <v>1465</v>
      </c>
      <c r="C565" s="2" t="s">
        <v>629</v>
      </c>
      <c r="D565" s="2" t="s">
        <v>633</v>
      </c>
      <c r="E565" s="2">
        <v>82</v>
      </c>
    </row>
    <row r="566" spans="1:5" x14ac:dyDescent="0.25">
      <c r="A566" s="2" t="s">
        <v>1464</v>
      </c>
      <c r="B566" s="2" t="s">
        <v>1465</v>
      </c>
      <c r="C566" s="2" t="s">
        <v>629</v>
      </c>
      <c r="D566" s="2" t="s">
        <v>635</v>
      </c>
      <c r="E566" s="2">
        <v>88</v>
      </c>
    </row>
    <row r="567" spans="1:5" x14ac:dyDescent="0.25">
      <c r="A567" s="2" t="s">
        <v>1464</v>
      </c>
      <c r="B567" s="2" t="s">
        <v>1465</v>
      </c>
      <c r="C567" s="2" t="s">
        <v>629</v>
      </c>
      <c r="D567" s="2" t="s">
        <v>636</v>
      </c>
      <c r="E567" s="2">
        <v>108</v>
      </c>
    </row>
    <row r="568" spans="1:5" x14ac:dyDescent="0.25">
      <c r="A568" s="2" t="s">
        <v>1464</v>
      </c>
      <c r="B568" s="2" t="s">
        <v>1465</v>
      </c>
      <c r="C568" s="2" t="s">
        <v>638</v>
      </c>
      <c r="D568" s="2" t="s">
        <v>630</v>
      </c>
      <c r="E568" s="2">
        <v>23</v>
      </c>
    </row>
    <row r="569" spans="1:5" x14ac:dyDescent="0.25">
      <c r="A569" s="2" t="s">
        <v>1464</v>
      </c>
      <c r="B569" s="2" t="s">
        <v>1465</v>
      </c>
      <c r="C569" s="2" t="s">
        <v>638</v>
      </c>
      <c r="D569" s="2" t="s">
        <v>631</v>
      </c>
      <c r="E569" s="2">
        <v>42</v>
      </c>
    </row>
    <row r="570" spans="1:5" x14ac:dyDescent="0.25">
      <c r="A570" s="2" t="s">
        <v>1464</v>
      </c>
      <c r="B570" s="2" t="s">
        <v>1465</v>
      </c>
      <c r="C570" s="2" t="s">
        <v>638</v>
      </c>
      <c r="D570" s="2" t="s">
        <v>632</v>
      </c>
      <c r="E570" s="2">
        <v>73</v>
      </c>
    </row>
    <row r="571" spans="1:5" x14ac:dyDescent="0.25">
      <c r="A571" s="2" t="s">
        <v>1464</v>
      </c>
      <c r="B571" s="2" t="s">
        <v>1465</v>
      </c>
      <c r="C571" s="2" t="s">
        <v>638</v>
      </c>
      <c r="D571" s="2" t="s">
        <v>633</v>
      </c>
      <c r="E571" s="2">
        <v>82</v>
      </c>
    </row>
    <row r="572" spans="1:5" x14ac:dyDescent="0.25">
      <c r="A572" s="2" t="s">
        <v>1464</v>
      </c>
      <c r="B572" s="2" t="s">
        <v>1465</v>
      </c>
      <c r="C572" s="2" t="s">
        <v>638</v>
      </c>
      <c r="D572" s="2" t="s">
        <v>635</v>
      </c>
      <c r="E572" s="2">
        <v>88</v>
      </c>
    </row>
    <row r="573" spans="1:5" x14ac:dyDescent="0.25">
      <c r="A573" s="2" t="s">
        <v>1464</v>
      </c>
      <c r="B573" s="2" t="s">
        <v>1465</v>
      </c>
      <c r="C573" s="2" t="s">
        <v>638</v>
      </c>
      <c r="D573" s="2" t="s">
        <v>636</v>
      </c>
      <c r="E573" s="2">
        <v>108</v>
      </c>
    </row>
    <row r="574" spans="1:5" x14ac:dyDescent="0.25">
      <c r="A574" s="2" t="s">
        <v>1464</v>
      </c>
      <c r="B574" s="2" t="s">
        <v>1465</v>
      </c>
      <c r="C574" s="2" t="s">
        <v>639</v>
      </c>
      <c r="D574" s="2" t="s">
        <v>640</v>
      </c>
      <c r="E574" s="2">
        <v>52</v>
      </c>
    </row>
    <row r="575" spans="1:5" x14ac:dyDescent="0.25">
      <c r="A575" s="2" t="s">
        <v>1464</v>
      </c>
      <c r="B575" s="2" t="s">
        <v>1465</v>
      </c>
      <c r="C575" s="2" t="s">
        <v>639</v>
      </c>
      <c r="D575" s="2" t="s">
        <v>641</v>
      </c>
      <c r="E575" s="2">
        <v>80</v>
      </c>
    </row>
    <row r="576" spans="1:5" x14ac:dyDescent="0.25">
      <c r="A576" s="2" t="s">
        <v>1464</v>
      </c>
      <c r="B576" s="2" t="s">
        <v>1465</v>
      </c>
      <c r="C576" s="2" t="s">
        <v>639</v>
      </c>
      <c r="D576" s="2" t="s">
        <v>642</v>
      </c>
      <c r="E576" s="2">
        <v>100</v>
      </c>
    </row>
    <row r="577" spans="1:5" x14ac:dyDescent="0.25">
      <c r="A577" s="2" t="s">
        <v>1464</v>
      </c>
      <c r="B577" s="2" t="s">
        <v>1465</v>
      </c>
      <c r="C577" s="2" t="s">
        <v>639</v>
      </c>
      <c r="D577" s="2" t="s">
        <v>643</v>
      </c>
      <c r="E577" s="2">
        <v>110</v>
      </c>
    </row>
    <row r="578" spans="1:5" x14ac:dyDescent="0.25">
      <c r="A578" s="2" t="s">
        <v>1464</v>
      </c>
      <c r="B578" s="2" t="s">
        <v>1465</v>
      </c>
      <c r="C578" s="2" t="s">
        <v>639</v>
      </c>
      <c r="D578" s="2" t="s">
        <v>644</v>
      </c>
      <c r="E578" s="2">
        <v>136</v>
      </c>
    </row>
    <row r="579" spans="1:5" x14ac:dyDescent="0.25">
      <c r="A579" s="2" t="s">
        <v>1464</v>
      </c>
      <c r="B579" s="2" t="s">
        <v>1465</v>
      </c>
      <c r="C579" s="2" t="s">
        <v>645</v>
      </c>
      <c r="D579" s="2" t="s">
        <v>647</v>
      </c>
      <c r="E579" s="2">
        <v>52</v>
      </c>
    </row>
    <row r="580" spans="1:5" x14ac:dyDescent="0.25">
      <c r="A580" s="2" t="s">
        <v>1464</v>
      </c>
      <c r="B580" s="2" t="s">
        <v>1465</v>
      </c>
      <c r="C580" s="2" t="s">
        <v>645</v>
      </c>
      <c r="D580" s="2" t="s">
        <v>648</v>
      </c>
      <c r="E580" s="2">
        <v>80</v>
      </c>
    </row>
    <row r="581" spans="1:5" x14ac:dyDescent="0.25">
      <c r="A581" s="2" t="s">
        <v>1464</v>
      </c>
      <c r="B581" s="2" t="s">
        <v>1465</v>
      </c>
      <c r="C581" s="2" t="s">
        <v>645</v>
      </c>
      <c r="D581" s="2" t="s">
        <v>649</v>
      </c>
      <c r="E581" s="2">
        <v>100</v>
      </c>
    </row>
    <row r="582" spans="1:5" x14ac:dyDescent="0.25">
      <c r="A582" s="2" t="s">
        <v>1464</v>
      </c>
      <c r="B582" s="2" t="s">
        <v>1465</v>
      </c>
      <c r="C582" s="2" t="s">
        <v>645</v>
      </c>
      <c r="D582" s="2" t="s">
        <v>650</v>
      </c>
      <c r="E582" s="2">
        <v>110</v>
      </c>
    </row>
    <row r="583" spans="1:5" x14ac:dyDescent="0.25">
      <c r="A583" s="2" t="s">
        <v>1464</v>
      </c>
      <c r="B583" s="2" t="s">
        <v>1465</v>
      </c>
      <c r="C583" s="2" t="s">
        <v>645</v>
      </c>
      <c r="D583" s="2" t="s">
        <v>651</v>
      </c>
      <c r="E583" s="2">
        <v>136</v>
      </c>
    </row>
    <row r="584" spans="1:5" x14ac:dyDescent="0.25">
      <c r="A584" s="2" t="s">
        <v>1464</v>
      </c>
      <c r="B584" s="2" t="s">
        <v>1465</v>
      </c>
      <c r="C584" s="2" t="s">
        <v>652</v>
      </c>
      <c r="D584" s="2" t="s">
        <v>653</v>
      </c>
      <c r="E584" s="2">
        <v>17</v>
      </c>
    </row>
    <row r="585" spans="1:5" x14ac:dyDescent="0.25">
      <c r="A585" s="2" t="s">
        <v>1464</v>
      </c>
      <c r="B585" s="2" t="s">
        <v>1465</v>
      </c>
      <c r="C585" s="2" t="s">
        <v>652</v>
      </c>
      <c r="D585" s="2" t="s">
        <v>654</v>
      </c>
      <c r="E585" s="2">
        <v>36</v>
      </c>
    </row>
    <row r="586" spans="1:5" x14ac:dyDescent="0.25">
      <c r="A586" s="2" t="s">
        <v>1464</v>
      </c>
      <c r="B586" s="2" t="s">
        <v>1465</v>
      </c>
      <c r="C586" s="2" t="s">
        <v>652</v>
      </c>
      <c r="D586" s="2" t="s">
        <v>655</v>
      </c>
      <c r="E586" s="2">
        <v>48</v>
      </c>
    </row>
    <row r="587" spans="1:5" x14ac:dyDescent="0.25">
      <c r="A587" s="2" t="s">
        <v>1464</v>
      </c>
      <c r="B587" s="2" t="s">
        <v>1465</v>
      </c>
      <c r="C587" s="2" t="s">
        <v>652</v>
      </c>
      <c r="D587" s="2" t="s">
        <v>656</v>
      </c>
      <c r="E587" s="2">
        <v>66</v>
      </c>
    </row>
    <row r="588" spans="1:5" x14ac:dyDescent="0.25">
      <c r="A588" s="2" t="s">
        <v>1464</v>
      </c>
      <c r="B588" s="2" t="s">
        <v>1465</v>
      </c>
      <c r="C588" s="2" t="s">
        <v>652</v>
      </c>
      <c r="D588" s="2" t="s">
        <v>658</v>
      </c>
      <c r="E588" s="2">
        <v>78</v>
      </c>
    </row>
    <row r="589" spans="1:5" x14ac:dyDescent="0.25">
      <c r="A589" s="2" t="s">
        <v>1464</v>
      </c>
      <c r="B589" s="2" t="s">
        <v>1465</v>
      </c>
      <c r="C589" s="2" t="s">
        <v>652</v>
      </c>
      <c r="D589" s="2" t="s">
        <v>659</v>
      </c>
      <c r="E589" s="2">
        <v>100</v>
      </c>
    </row>
    <row r="590" spans="1:5" x14ac:dyDescent="0.25">
      <c r="A590" s="2" t="s">
        <v>1464</v>
      </c>
      <c r="B590" s="2" t="s">
        <v>1465</v>
      </c>
      <c r="C590" s="2" t="s">
        <v>660</v>
      </c>
      <c r="D590" s="2" t="s">
        <v>630</v>
      </c>
      <c r="E590" s="2">
        <v>23</v>
      </c>
    </row>
    <row r="591" spans="1:5" x14ac:dyDescent="0.25">
      <c r="A591" s="2" t="s">
        <v>1464</v>
      </c>
      <c r="B591" s="2" t="s">
        <v>1465</v>
      </c>
      <c r="C591" s="2" t="s">
        <v>660</v>
      </c>
      <c r="D591" s="2" t="s">
        <v>631</v>
      </c>
      <c r="E591" s="2">
        <v>52</v>
      </c>
    </row>
    <row r="592" spans="1:5" x14ac:dyDescent="0.25">
      <c r="A592" s="2" t="s">
        <v>1464</v>
      </c>
      <c r="B592" s="2" t="s">
        <v>1465</v>
      </c>
      <c r="C592" s="2" t="s">
        <v>660</v>
      </c>
      <c r="D592" s="2" t="s">
        <v>632</v>
      </c>
      <c r="E592" s="2">
        <v>86</v>
      </c>
    </row>
    <row r="593" spans="1:5" x14ac:dyDescent="0.25">
      <c r="A593" s="2" t="s">
        <v>1464</v>
      </c>
      <c r="B593" s="2" t="s">
        <v>1465</v>
      </c>
      <c r="C593" s="2" t="s">
        <v>660</v>
      </c>
      <c r="D593" s="2" t="s">
        <v>633</v>
      </c>
      <c r="E593" s="2">
        <v>100</v>
      </c>
    </row>
    <row r="594" spans="1:5" x14ac:dyDescent="0.25">
      <c r="A594" s="2" t="s">
        <v>1464</v>
      </c>
      <c r="B594" s="2" t="s">
        <v>1465</v>
      </c>
      <c r="C594" s="2" t="s">
        <v>660</v>
      </c>
      <c r="D594" s="2" t="s">
        <v>635</v>
      </c>
      <c r="E594" s="2">
        <v>110</v>
      </c>
    </row>
    <row r="595" spans="1:5" x14ac:dyDescent="0.25">
      <c r="A595" s="2" t="s">
        <v>1464</v>
      </c>
      <c r="B595" s="2" t="s">
        <v>1465</v>
      </c>
      <c r="C595" s="2" t="s">
        <v>660</v>
      </c>
      <c r="D595" s="2" t="s">
        <v>636</v>
      </c>
      <c r="E595" s="2">
        <v>150</v>
      </c>
    </row>
    <row r="596" spans="1:5" x14ac:dyDescent="0.25">
      <c r="A596" s="2" t="s">
        <v>1464</v>
      </c>
      <c r="B596" s="2" t="s">
        <v>1465</v>
      </c>
      <c r="C596" s="2" t="s">
        <v>661</v>
      </c>
      <c r="D596" s="2" t="s">
        <v>630</v>
      </c>
      <c r="E596" s="2">
        <v>23</v>
      </c>
    </row>
    <row r="597" spans="1:5" x14ac:dyDescent="0.25">
      <c r="A597" s="2" t="s">
        <v>1464</v>
      </c>
      <c r="B597" s="2" t="s">
        <v>1465</v>
      </c>
      <c r="C597" s="2" t="s">
        <v>661</v>
      </c>
      <c r="D597" s="2" t="s">
        <v>631</v>
      </c>
      <c r="E597" s="2">
        <v>52</v>
      </c>
    </row>
    <row r="598" spans="1:5" x14ac:dyDescent="0.25">
      <c r="A598" s="2" t="s">
        <v>1464</v>
      </c>
      <c r="B598" s="2" t="s">
        <v>1465</v>
      </c>
      <c r="C598" s="2" t="s">
        <v>661</v>
      </c>
      <c r="D598" s="2" t="s">
        <v>632</v>
      </c>
      <c r="E598" s="2">
        <v>86</v>
      </c>
    </row>
    <row r="599" spans="1:5" x14ac:dyDescent="0.25">
      <c r="A599" s="2" t="s">
        <v>1464</v>
      </c>
      <c r="B599" s="2" t="s">
        <v>1465</v>
      </c>
      <c r="C599" s="2" t="s">
        <v>661</v>
      </c>
      <c r="D599" s="2" t="s">
        <v>633</v>
      </c>
      <c r="E599" s="2">
        <v>100</v>
      </c>
    </row>
    <row r="600" spans="1:5" x14ac:dyDescent="0.25">
      <c r="A600" s="2" t="s">
        <v>1464</v>
      </c>
      <c r="B600" s="2" t="s">
        <v>1465</v>
      </c>
      <c r="C600" s="2" t="s">
        <v>661</v>
      </c>
      <c r="D600" s="2" t="s">
        <v>635</v>
      </c>
      <c r="E600" s="2">
        <v>110</v>
      </c>
    </row>
    <row r="601" spans="1:5" x14ac:dyDescent="0.25">
      <c r="A601" s="2" t="s">
        <v>1464</v>
      </c>
      <c r="B601" s="2" t="s">
        <v>1465</v>
      </c>
      <c r="C601" s="2" t="s">
        <v>661</v>
      </c>
      <c r="D601" s="2" t="s">
        <v>636</v>
      </c>
      <c r="E601" s="2">
        <v>150</v>
      </c>
    </row>
    <row r="602" spans="1:5" x14ac:dyDescent="0.25">
      <c r="A602" s="2" t="s">
        <v>1464</v>
      </c>
      <c r="B602" s="2" t="s">
        <v>1465</v>
      </c>
      <c r="C602" s="2" t="s">
        <v>691</v>
      </c>
      <c r="D602" s="2" t="s">
        <v>693</v>
      </c>
      <c r="E602" s="2">
        <v>143</v>
      </c>
    </row>
    <row r="603" spans="1:5" x14ac:dyDescent="0.25">
      <c r="A603" s="2" t="s">
        <v>1464</v>
      </c>
      <c r="B603" s="2" t="s">
        <v>1465</v>
      </c>
      <c r="C603" s="2" t="s">
        <v>691</v>
      </c>
      <c r="D603" s="2" t="s">
        <v>647</v>
      </c>
      <c r="E603" s="2">
        <v>164</v>
      </c>
    </row>
    <row r="604" spans="1:5" x14ac:dyDescent="0.25">
      <c r="A604" s="2" t="s">
        <v>1464</v>
      </c>
      <c r="B604" s="2" t="s">
        <v>1465</v>
      </c>
      <c r="C604" s="2" t="s">
        <v>691</v>
      </c>
      <c r="D604" s="2" t="s">
        <v>648</v>
      </c>
      <c r="E604" s="2">
        <v>180</v>
      </c>
    </row>
    <row r="605" spans="1:5" x14ac:dyDescent="0.25">
      <c r="A605" s="2" t="s">
        <v>1464</v>
      </c>
      <c r="B605" s="2" t="s">
        <v>1465</v>
      </c>
      <c r="C605" s="2" t="s">
        <v>691</v>
      </c>
      <c r="D605" s="2" t="s">
        <v>634</v>
      </c>
      <c r="E605" s="2">
        <v>212</v>
      </c>
    </row>
    <row r="606" spans="1:5" x14ac:dyDescent="0.25">
      <c r="A606" s="2" t="s">
        <v>1464</v>
      </c>
      <c r="B606" s="2" t="s">
        <v>1465</v>
      </c>
      <c r="C606" s="2" t="s">
        <v>691</v>
      </c>
      <c r="D606" s="2" t="s">
        <v>649</v>
      </c>
      <c r="E606" s="2">
        <v>212</v>
      </c>
    </row>
    <row r="607" spans="1:5" x14ac:dyDescent="0.25">
      <c r="A607" s="2" t="s">
        <v>1464</v>
      </c>
      <c r="B607" s="2" t="s">
        <v>1465</v>
      </c>
      <c r="C607" s="2" t="s">
        <v>691</v>
      </c>
      <c r="D607" s="2" t="s">
        <v>635</v>
      </c>
      <c r="E607" s="2">
        <v>244</v>
      </c>
    </row>
    <row r="608" spans="1:5" x14ac:dyDescent="0.25">
      <c r="A608" s="2" t="s">
        <v>1464</v>
      </c>
      <c r="B608" s="2" t="s">
        <v>1465</v>
      </c>
      <c r="C608" s="2" t="s">
        <v>691</v>
      </c>
      <c r="D608" s="2" t="s">
        <v>650</v>
      </c>
      <c r="E608" s="2">
        <v>244</v>
      </c>
    </row>
    <row r="609" spans="1:5" x14ac:dyDescent="0.25">
      <c r="A609" s="2" t="s">
        <v>1464</v>
      </c>
      <c r="B609" s="2" t="s">
        <v>1465</v>
      </c>
      <c r="C609" s="2" t="s">
        <v>691</v>
      </c>
      <c r="D609" s="2" t="s">
        <v>636</v>
      </c>
      <c r="E609" s="2">
        <v>275</v>
      </c>
    </row>
    <row r="610" spans="1:5" x14ac:dyDescent="0.25">
      <c r="A610" s="2" t="s">
        <v>1464</v>
      </c>
      <c r="B610" s="2" t="s">
        <v>1465</v>
      </c>
      <c r="C610" s="2" t="s">
        <v>691</v>
      </c>
      <c r="D610" s="2" t="s">
        <v>651</v>
      </c>
      <c r="E610" s="2">
        <v>275</v>
      </c>
    </row>
    <row r="611" spans="1:5" x14ac:dyDescent="0.25">
      <c r="A611" s="2" t="s">
        <v>1464</v>
      </c>
      <c r="B611" s="2" t="s">
        <v>1465</v>
      </c>
      <c r="C611" s="2" t="s">
        <v>694</v>
      </c>
      <c r="D611" s="2" t="s">
        <v>693</v>
      </c>
      <c r="E611" s="2">
        <v>143</v>
      </c>
    </row>
    <row r="612" spans="1:5" x14ac:dyDescent="0.25">
      <c r="A612" s="2" t="s">
        <v>1464</v>
      </c>
      <c r="B612" s="2" t="s">
        <v>1465</v>
      </c>
      <c r="C612" s="2" t="s">
        <v>694</v>
      </c>
      <c r="D612" s="2" t="s">
        <v>647</v>
      </c>
      <c r="E612" s="2">
        <v>164</v>
      </c>
    </row>
    <row r="613" spans="1:5" x14ac:dyDescent="0.25">
      <c r="A613" s="2" t="s">
        <v>1464</v>
      </c>
      <c r="B613" s="2" t="s">
        <v>1465</v>
      </c>
      <c r="C613" s="2" t="s">
        <v>694</v>
      </c>
      <c r="D613" s="2" t="s">
        <v>648</v>
      </c>
      <c r="E613" s="2">
        <v>180</v>
      </c>
    </row>
    <row r="614" spans="1:5" x14ac:dyDescent="0.25">
      <c r="A614" s="2" t="s">
        <v>1464</v>
      </c>
      <c r="B614" s="2" t="s">
        <v>1465</v>
      </c>
      <c r="C614" s="2" t="s">
        <v>694</v>
      </c>
      <c r="D614" s="2" t="s">
        <v>634</v>
      </c>
      <c r="E614" s="2">
        <v>212</v>
      </c>
    </row>
    <row r="615" spans="1:5" x14ac:dyDescent="0.25">
      <c r="A615" s="2" t="s">
        <v>1464</v>
      </c>
      <c r="B615" s="2" t="s">
        <v>1465</v>
      </c>
      <c r="C615" s="2" t="s">
        <v>694</v>
      </c>
      <c r="D615" s="2" t="s">
        <v>649</v>
      </c>
      <c r="E615" s="2">
        <v>212</v>
      </c>
    </row>
    <row r="616" spans="1:5" x14ac:dyDescent="0.25">
      <c r="A616" s="2" t="s">
        <v>1464</v>
      </c>
      <c r="B616" s="2" t="s">
        <v>1465</v>
      </c>
      <c r="C616" s="2" t="s">
        <v>694</v>
      </c>
      <c r="D616" s="2" t="s">
        <v>635</v>
      </c>
      <c r="E616" s="2">
        <v>244</v>
      </c>
    </row>
    <row r="617" spans="1:5" x14ac:dyDescent="0.25">
      <c r="A617" s="2" t="s">
        <v>1464</v>
      </c>
      <c r="B617" s="2" t="s">
        <v>1465</v>
      </c>
      <c r="C617" s="2" t="s">
        <v>694</v>
      </c>
      <c r="D617" s="2" t="s">
        <v>650</v>
      </c>
      <c r="E617" s="2">
        <v>244</v>
      </c>
    </row>
    <row r="618" spans="1:5" x14ac:dyDescent="0.25">
      <c r="A618" s="2" t="s">
        <v>1464</v>
      </c>
      <c r="B618" s="2" t="s">
        <v>1465</v>
      </c>
      <c r="C618" s="2" t="s">
        <v>694</v>
      </c>
      <c r="D618" s="2" t="s">
        <v>636</v>
      </c>
      <c r="E618" s="2">
        <v>275</v>
      </c>
    </row>
    <row r="619" spans="1:5" x14ac:dyDescent="0.25">
      <c r="A619" s="2" t="s">
        <v>1464</v>
      </c>
      <c r="B619" s="2" t="s">
        <v>1465</v>
      </c>
      <c r="C619" s="2" t="s">
        <v>694</v>
      </c>
      <c r="D619" s="2" t="s">
        <v>651</v>
      </c>
      <c r="E619" s="2">
        <v>275</v>
      </c>
    </row>
    <row r="620" spans="1:5" x14ac:dyDescent="0.25">
      <c r="A620" s="2" t="s">
        <v>1464</v>
      </c>
      <c r="B620" s="2" t="s">
        <v>1465</v>
      </c>
      <c r="C620" s="2" t="s">
        <v>695</v>
      </c>
      <c r="D620" s="2" t="s">
        <v>696</v>
      </c>
      <c r="E620" s="2">
        <v>308</v>
      </c>
    </row>
    <row r="621" spans="1:5" x14ac:dyDescent="0.25">
      <c r="A621" s="2" t="s">
        <v>1464</v>
      </c>
      <c r="B621" s="2" t="s">
        <v>1465</v>
      </c>
      <c r="C621" s="2" t="s">
        <v>695</v>
      </c>
      <c r="D621" s="2" t="s">
        <v>697</v>
      </c>
      <c r="E621" s="2">
        <v>308</v>
      </c>
    </row>
    <row r="622" spans="1:5" x14ac:dyDescent="0.25">
      <c r="A622" s="2" t="s">
        <v>1464</v>
      </c>
      <c r="B622" s="2" t="s">
        <v>1465</v>
      </c>
      <c r="C622" s="2" t="s">
        <v>695</v>
      </c>
      <c r="D622" s="2" t="s">
        <v>698</v>
      </c>
      <c r="E622" s="2">
        <v>308</v>
      </c>
    </row>
    <row r="623" spans="1:5" x14ac:dyDescent="0.25">
      <c r="A623" s="2" t="s">
        <v>1464</v>
      </c>
      <c r="B623" s="2" t="s">
        <v>1465</v>
      </c>
      <c r="C623" s="2" t="s">
        <v>695</v>
      </c>
      <c r="D623" s="2" t="s">
        <v>699</v>
      </c>
      <c r="E623" s="2">
        <v>308</v>
      </c>
    </row>
    <row r="624" spans="1:5" x14ac:dyDescent="0.25">
      <c r="A624" s="2" t="s">
        <v>1464</v>
      </c>
      <c r="B624" s="2" t="s">
        <v>1465</v>
      </c>
      <c r="C624" s="2" t="s">
        <v>695</v>
      </c>
      <c r="D624" s="2" t="s">
        <v>700</v>
      </c>
      <c r="E624" s="2">
        <v>308</v>
      </c>
    </row>
    <row r="625" spans="1:5" x14ac:dyDescent="0.25">
      <c r="A625" s="2" t="s">
        <v>1464</v>
      </c>
      <c r="B625" s="2" t="s">
        <v>1465</v>
      </c>
      <c r="C625" s="2" t="s">
        <v>695</v>
      </c>
      <c r="D625" s="2" t="s">
        <v>701</v>
      </c>
      <c r="E625" s="2">
        <v>308</v>
      </c>
    </row>
    <row r="626" spans="1:5" x14ac:dyDescent="0.25">
      <c r="A626" s="2" t="s">
        <v>1464</v>
      </c>
      <c r="B626" s="2" t="s">
        <v>1465</v>
      </c>
      <c r="C626" s="2" t="s">
        <v>695</v>
      </c>
      <c r="D626" s="2" t="s">
        <v>702</v>
      </c>
      <c r="E626" s="2">
        <v>308</v>
      </c>
    </row>
    <row r="627" spans="1:5" x14ac:dyDescent="0.25">
      <c r="A627" s="2" t="s">
        <v>1464</v>
      </c>
      <c r="B627" s="2" t="s">
        <v>1465</v>
      </c>
      <c r="C627" s="2" t="s">
        <v>695</v>
      </c>
      <c r="D627" s="2" t="s">
        <v>703</v>
      </c>
      <c r="E627" s="2">
        <v>308</v>
      </c>
    </row>
    <row r="628" spans="1:5" x14ac:dyDescent="0.25">
      <c r="A628" s="2" t="s">
        <v>1464</v>
      </c>
      <c r="B628" s="2" t="s">
        <v>1465</v>
      </c>
      <c r="C628" s="2" t="s">
        <v>695</v>
      </c>
      <c r="D628" s="2" t="s">
        <v>704</v>
      </c>
      <c r="E628" s="2">
        <v>308</v>
      </c>
    </row>
    <row r="629" spans="1:5" x14ac:dyDescent="0.25">
      <c r="A629" s="2" t="s">
        <v>1464</v>
      </c>
      <c r="B629" s="2" t="s">
        <v>1465</v>
      </c>
      <c r="C629" s="2" t="s">
        <v>695</v>
      </c>
      <c r="D629" s="2" t="s">
        <v>705</v>
      </c>
      <c r="E629" s="2">
        <v>308</v>
      </c>
    </row>
    <row r="630" spans="1:5" x14ac:dyDescent="0.25">
      <c r="A630" s="2" t="s">
        <v>1464</v>
      </c>
      <c r="B630" s="2" t="s">
        <v>1465</v>
      </c>
      <c r="C630" s="2" t="s">
        <v>711</v>
      </c>
      <c r="D630" s="2" t="s">
        <v>630</v>
      </c>
      <c r="E630" s="2">
        <v>23</v>
      </c>
    </row>
    <row r="631" spans="1:5" x14ac:dyDescent="0.25">
      <c r="A631" s="2" t="s">
        <v>1464</v>
      </c>
      <c r="B631" s="2" t="s">
        <v>1465</v>
      </c>
      <c r="C631" s="2" t="s">
        <v>711</v>
      </c>
      <c r="D631" s="2" t="s">
        <v>631</v>
      </c>
      <c r="E631" s="2">
        <v>42</v>
      </c>
    </row>
    <row r="632" spans="1:5" x14ac:dyDescent="0.25">
      <c r="A632" s="2" t="s">
        <v>1464</v>
      </c>
      <c r="B632" s="2" t="s">
        <v>1465</v>
      </c>
      <c r="C632" s="2" t="s">
        <v>711</v>
      </c>
      <c r="D632" s="2" t="s">
        <v>632</v>
      </c>
      <c r="E632" s="2">
        <v>73</v>
      </c>
    </row>
    <row r="633" spans="1:5" x14ac:dyDescent="0.25">
      <c r="A633" s="2" t="s">
        <v>1464</v>
      </c>
      <c r="B633" s="2" t="s">
        <v>1465</v>
      </c>
      <c r="C633" s="2" t="s">
        <v>711</v>
      </c>
      <c r="D633" s="2" t="s">
        <v>633</v>
      </c>
      <c r="E633" s="2">
        <v>82</v>
      </c>
    </row>
    <row r="634" spans="1:5" x14ac:dyDescent="0.25">
      <c r="A634" s="2" t="s">
        <v>1464</v>
      </c>
      <c r="B634" s="2" t="s">
        <v>1465</v>
      </c>
      <c r="C634" s="2" t="s">
        <v>711</v>
      </c>
      <c r="D634" s="2" t="s">
        <v>635</v>
      </c>
      <c r="E634" s="2">
        <v>88</v>
      </c>
    </row>
    <row r="635" spans="1:5" x14ac:dyDescent="0.25">
      <c r="A635" s="2" t="s">
        <v>1464</v>
      </c>
      <c r="B635" s="2" t="s">
        <v>1465</v>
      </c>
      <c r="C635" s="2" t="s">
        <v>711</v>
      </c>
      <c r="D635" s="2" t="s">
        <v>636</v>
      </c>
      <c r="E635" s="2">
        <v>108</v>
      </c>
    </row>
    <row r="636" spans="1:5" x14ac:dyDescent="0.25">
      <c r="A636" s="2" t="s">
        <v>1464</v>
      </c>
      <c r="B636" s="2" t="s">
        <v>1465</v>
      </c>
      <c r="C636" s="2" t="s">
        <v>713</v>
      </c>
      <c r="D636" s="2" t="s">
        <v>630</v>
      </c>
      <c r="E636" s="2">
        <v>23</v>
      </c>
    </row>
    <row r="637" spans="1:5" x14ac:dyDescent="0.25">
      <c r="A637" s="2" t="s">
        <v>1464</v>
      </c>
      <c r="B637" s="2" t="s">
        <v>1465</v>
      </c>
      <c r="C637" s="2" t="s">
        <v>713</v>
      </c>
      <c r="D637" s="2" t="s">
        <v>631</v>
      </c>
      <c r="E637" s="2">
        <v>42</v>
      </c>
    </row>
    <row r="638" spans="1:5" x14ac:dyDescent="0.25">
      <c r="A638" s="2" t="s">
        <v>1464</v>
      </c>
      <c r="B638" s="2" t="s">
        <v>1465</v>
      </c>
      <c r="C638" s="2" t="s">
        <v>713</v>
      </c>
      <c r="D638" s="2" t="s">
        <v>632</v>
      </c>
      <c r="E638" s="2">
        <v>73</v>
      </c>
    </row>
    <row r="639" spans="1:5" x14ac:dyDescent="0.25">
      <c r="A639" s="2" t="s">
        <v>1464</v>
      </c>
      <c r="B639" s="2" t="s">
        <v>1465</v>
      </c>
      <c r="C639" s="2" t="s">
        <v>713</v>
      </c>
      <c r="D639" s="2" t="s">
        <v>633</v>
      </c>
      <c r="E639" s="2">
        <v>82</v>
      </c>
    </row>
    <row r="640" spans="1:5" x14ac:dyDescent="0.25">
      <c r="A640" s="2" t="s">
        <v>1464</v>
      </c>
      <c r="B640" s="2" t="s">
        <v>1465</v>
      </c>
      <c r="C640" s="2" t="s">
        <v>713</v>
      </c>
      <c r="D640" s="2" t="s">
        <v>635</v>
      </c>
      <c r="E640" s="2">
        <v>88</v>
      </c>
    </row>
    <row r="641" spans="1:5" x14ac:dyDescent="0.25">
      <c r="A641" s="2" t="s">
        <v>1464</v>
      </c>
      <c r="B641" s="2" t="s">
        <v>1465</v>
      </c>
      <c r="C641" s="2" t="s">
        <v>713</v>
      </c>
      <c r="D641" s="2" t="s">
        <v>636</v>
      </c>
      <c r="E641" s="2">
        <v>108</v>
      </c>
    </row>
    <row r="642" spans="1:5" x14ac:dyDescent="0.25">
      <c r="A642" s="2" t="s">
        <v>1464</v>
      </c>
      <c r="B642" s="2" t="s">
        <v>1465</v>
      </c>
      <c r="C642" s="2" t="s">
        <v>714</v>
      </c>
      <c r="D642" s="2" t="s">
        <v>640</v>
      </c>
      <c r="E642" s="2">
        <v>52</v>
      </c>
    </row>
    <row r="643" spans="1:5" x14ac:dyDescent="0.25">
      <c r="A643" s="2" t="s">
        <v>1464</v>
      </c>
      <c r="B643" s="2" t="s">
        <v>1465</v>
      </c>
      <c r="C643" s="2" t="s">
        <v>714</v>
      </c>
      <c r="D643" s="2" t="s">
        <v>641</v>
      </c>
      <c r="E643" s="2">
        <v>80</v>
      </c>
    </row>
    <row r="644" spans="1:5" x14ac:dyDescent="0.25">
      <c r="A644" s="2" t="s">
        <v>1464</v>
      </c>
      <c r="B644" s="2" t="s">
        <v>1465</v>
      </c>
      <c r="C644" s="2" t="s">
        <v>714</v>
      </c>
      <c r="D644" s="2" t="s">
        <v>642</v>
      </c>
      <c r="E644" s="2">
        <v>100</v>
      </c>
    </row>
    <row r="645" spans="1:5" x14ac:dyDescent="0.25">
      <c r="A645" s="2" t="s">
        <v>1464</v>
      </c>
      <c r="B645" s="2" t="s">
        <v>1465</v>
      </c>
      <c r="C645" s="2" t="s">
        <v>714</v>
      </c>
      <c r="D645" s="2" t="s">
        <v>643</v>
      </c>
      <c r="E645" s="2">
        <v>110</v>
      </c>
    </row>
    <row r="646" spans="1:5" x14ac:dyDescent="0.25">
      <c r="A646" s="2" t="s">
        <v>1464</v>
      </c>
      <c r="B646" s="2" t="s">
        <v>1465</v>
      </c>
      <c r="C646" s="2" t="s">
        <v>714</v>
      </c>
      <c r="D646" s="2" t="s">
        <v>644</v>
      </c>
      <c r="E646" s="2">
        <v>136</v>
      </c>
    </row>
    <row r="647" spans="1:5" x14ac:dyDescent="0.25">
      <c r="A647" s="2" t="s">
        <v>1464</v>
      </c>
      <c r="B647" s="2" t="s">
        <v>1465</v>
      </c>
      <c r="C647" s="2" t="s">
        <v>715</v>
      </c>
      <c r="D647" s="2" t="s">
        <v>647</v>
      </c>
      <c r="E647" s="2">
        <v>52</v>
      </c>
    </row>
    <row r="648" spans="1:5" x14ac:dyDescent="0.25">
      <c r="A648" s="2" t="s">
        <v>1464</v>
      </c>
      <c r="B648" s="2" t="s">
        <v>1465</v>
      </c>
      <c r="C648" s="2" t="s">
        <v>715</v>
      </c>
      <c r="D648" s="2" t="s">
        <v>648</v>
      </c>
      <c r="E648" s="2">
        <v>80</v>
      </c>
    </row>
    <row r="649" spans="1:5" x14ac:dyDescent="0.25">
      <c r="A649" s="2" t="s">
        <v>1464</v>
      </c>
      <c r="B649" s="2" t="s">
        <v>1465</v>
      </c>
      <c r="C649" s="2" t="s">
        <v>715</v>
      </c>
      <c r="D649" s="2" t="s">
        <v>649</v>
      </c>
      <c r="E649" s="2">
        <v>100</v>
      </c>
    </row>
    <row r="650" spans="1:5" x14ac:dyDescent="0.25">
      <c r="A650" s="2" t="s">
        <v>1464</v>
      </c>
      <c r="B650" s="2" t="s">
        <v>1465</v>
      </c>
      <c r="C650" s="2" t="s">
        <v>715</v>
      </c>
      <c r="D650" s="2" t="s">
        <v>650</v>
      </c>
      <c r="E650" s="2">
        <v>110</v>
      </c>
    </row>
    <row r="651" spans="1:5" x14ac:dyDescent="0.25">
      <c r="A651" s="2" t="s">
        <v>1464</v>
      </c>
      <c r="B651" s="2" t="s">
        <v>1465</v>
      </c>
      <c r="C651" s="2" t="s">
        <v>715</v>
      </c>
      <c r="D651" s="2" t="s">
        <v>651</v>
      </c>
      <c r="E651" s="2">
        <v>136</v>
      </c>
    </row>
    <row r="652" spans="1:5" x14ac:dyDescent="0.25">
      <c r="A652" s="2" t="s">
        <v>1464</v>
      </c>
      <c r="B652" s="2" t="s">
        <v>1465</v>
      </c>
      <c r="C652" s="2" t="s">
        <v>716</v>
      </c>
      <c r="D652" s="2" t="s">
        <v>653</v>
      </c>
      <c r="E652" s="2">
        <v>17</v>
      </c>
    </row>
    <row r="653" spans="1:5" x14ac:dyDescent="0.25">
      <c r="A653" s="2" t="s">
        <v>1464</v>
      </c>
      <c r="B653" s="2" t="s">
        <v>1465</v>
      </c>
      <c r="C653" s="2" t="s">
        <v>716</v>
      </c>
      <c r="D653" s="2" t="s">
        <v>654</v>
      </c>
      <c r="E653" s="2">
        <v>36</v>
      </c>
    </row>
    <row r="654" spans="1:5" x14ac:dyDescent="0.25">
      <c r="A654" s="2" t="s">
        <v>1464</v>
      </c>
      <c r="B654" s="2" t="s">
        <v>1465</v>
      </c>
      <c r="C654" s="2" t="s">
        <v>716</v>
      </c>
      <c r="D654" s="2" t="s">
        <v>655</v>
      </c>
      <c r="E654" s="2">
        <v>48</v>
      </c>
    </row>
    <row r="655" spans="1:5" x14ac:dyDescent="0.25">
      <c r="A655" s="2" t="s">
        <v>1464</v>
      </c>
      <c r="B655" s="2" t="s">
        <v>1465</v>
      </c>
      <c r="C655" s="2" t="s">
        <v>716</v>
      </c>
      <c r="D655" s="2" t="s">
        <v>656</v>
      </c>
      <c r="E655" s="2">
        <v>66</v>
      </c>
    </row>
    <row r="656" spans="1:5" x14ac:dyDescent="0.25">
      <c r="A656" s="2" t="s">
        <v>1464</v>
      </c>
      <c r="B656" s="2" t="s">
        <v>1465</v>
      </c>
      <c r="C656" s="2" t="s">
        <v>716</v>
      </c>
      <c r="D656" s="2" t="s">
        <v>658</v>
      </c>
      <c r="E656" s="2">
        <v>78</v>
      </c>
    </row>
    <row r="657" spans="1:5" x14ac:dyDescent="0.25">
      <c r="A657" s="2" t="s">
        <v>1464</v>
      </c>
      <c r="B657" s="2" t="s">
        <v>1465</v>
      </c>
      <c r="C657" s="2" t="s">
        <v>716</v>
      </c>
      <c r="D657" s="2" t="s">
        <v>659</v>
      </c>
      <c r="E657" s="2">
        <v>100</v>
      </c>
    </row>
    <row r="658" spans="1:5" x14ac:dyDescent="0.25">
      <c r="A658" s="2" t="s">
        <v>1464</v>
      </c>
      <c r="B658" s="2" t="s">
        <v>1465</v>
      </c>
      <c r="C658" s="2" t="s">
        <v>717</v>
      </c>
      <c r="D658" s="2" t="s">
        <v>630</v>
      </c>
      <c r="E658" s="2">
        <v>23</v>
      </c>
    </row>
    <row r="659" spans="1:5" x14ac:dyDescent="0.25">
      <c r="A659" s="2" t="s">
        <v>1464</v>
      </c>
      <c r="B659" s="2" t="s">
        <v>1465</v>
      </c>
      <c r="C659" s="2" t="s">
        <v>717</v>
      </c>
      <c r="D659" s="2" t="s">
        <v>631</v>
      </c>
      <c r="E659" s="2">
        <v>52</v>
      </c>
    </row>
    <row r="660" spans="1:5" x14ac:dyDescent="0.25">
      <c r="A660" s="2" t="s">
        <v>1464</v>
      </c>
      <c r="B660" s="2" t="s">
        <v>1465</v>
      </c>
      <c r="C660" s="2" t="s">
        <v>717</v>
      </c>
      <c r="D660" s="2" t="s">
        <v>632</v>
      </c>
      <c r="E660" s="2">
        <v>86</v>
      </c>
    </row>
    <row r="661" spans="1:5" x14ac:dyDescent="0.25">
      <c r="A661" s="2" t="s">
        <v>1464</v>
      </c>
      <c r="B661" s="2" t="s">
        <v>1465</v>
      </c>
      <c r="C661" s="2" t="s">
        <v>717</v>
      </c>
      <c r="D661" s="2" t="s">
        <v>633</v>
      </c>
      <c r="E661" s="2">
        <v>100</v>
      </c>
    </row>
    <row r="662" spans="1:5" x14ac:dyDescent="0.25">
      <c r="A662" s="2" t="s">
        <v>1464</v>
      </c>
      <c r="B662" s="2" t="s">
        <v>1465</v>
      </c>
      <c r="C662" s="2" t="s">
        <v>717</v>
      </c>
      <c r="D662" s="2" t="s">
        <v>635</v>
      </c>
      <c r="E662" s="2">
        <v>110</v>
      </c>
    </row>
    <row r="663" spans="1:5" x14ac:dyDescent="0.25">
      <c r="A663" s="2" t="s">
        <v>1464</v>
      </c>
      <c r="B663" s="2" t="s">
        <v>1465</v>
      </c>
      <c r="C663" s="2" t="s">
        <v>717</v>
      </c>
      <c r="D663" s="2" t="s">
        <v>636</v>
      </c>
      <c r="E663" s="2">
        <v>150</v>
      </c>
    </row>
    <row r="664" spans="1:5" x14ac:dyDescent="0.25">
      <c r="A664" s="2" t="s">
        <v>1464</v>
      </c>
      <c r="B664" s="2" t="s">
        <v>1465</v>
      </c>
      <c r="C664" s="2" t="s">
        <v>718</v>
      </c>
      <c r="D664" s="2" t="s">
        <v>630</v>
      </c>
      <c r="E664" s="2">
        <v>23</v>
      </c>
    </row>
    <row r="665" spans="1:5" x14ac:dyDescent="0.25">
      <c r="A665" s="2" t="s">
        <v>1464</v>
      </c>
      <c r="B665" s="2" t="s">
        <v>1465</v>
      </c>
      <c r="C665" s="2" t="s">
        <v>718</v>
      </c>
      <c r="D665" s="2" t="s">
        <v>631</v>
      </c>
      <c r="E665" s="2">
        <v>52</v>
      </c>
    </row>
    <row r="666" spans="1:5" x14ac:dyDescent="0.25">
      <c r="A666" s="2" t="s">
        <v>1464</v>
      </c>
      <c r="B666" s="2" t="s">
        <v>1465</v>
      </c>
      <c r="C666" s="2" t="s">
        <v>718</v>
      </c>
      <c r="D666" s="2" t="s">
        <v>632</v>
      </c>
      <c r="E666" s="2">
        <v>86</v>
      </c>
    </row>
    <row r="667" spans="1:5" x14ac:dyDescent="0.25">
      <c r="A667" s="2" t="s">
        <v>1464</v>
      </c>
      <c r="B667" s="2" t="s">
        <v>1465</v>
      </c>
      <c r="C667" s="2" t="s">
        <v>718</v>
      </c>
      <c r="D667" s="2" t="s">
        <v>633</v>
      </c>
      <c r="E667" s="2">
        <v>100</v>
      </c>
    </row>
    <row r="668" spans="1:5" x14ac:dyDescent="0.25">
      <c r="A668" s="2" t="s">
        <v>1464</v>
      </c>
      <c r="B668" s="2" t="s">
        <v>1465</v>
      </c>
      <c r="C668" s="2" t="s">
        <v>718</v>
      </c>
      <c r="D668" s="2" t="s">
        <v>635</v>
      </c>
      <c r="E668" s="2">
        <v>110</v>
      </c>
    </row>
    <row r="669" spans="1:5" x14ac:dyDescent="0.25">
      <c r="A669" s="2" t="s">
        <v>1464</v>
      </c>
      <c r="B669" s="2" t="s">
        <v>1465</v>
      </c>
      <c r="C669" s="2" t="s">
        <v>718</v>
      </c>
      <c r="D669" s="2" t="s">
        <v>636</v>
      </c>
      <c r="E669" s="2">
        <v>150</v>
      </c>
    </row>
    <row r="670" spans="1:5" x14ac:dyDescent="0.25">
      <c r="A670" s="2" t="s">
        <v>1462</v>
      </c>
      <c r="B670" s="2" t="s">
        <v>2082</v>
      </c>
      <c r="C670" s="2" t="s">
        <v>603</v>
      </c>
      <c r="D670" s="2" t="s">
        <v>604</v>
      </c>
      <c r="E670" s="2">
        <v>118.45</v>
      </c>
    </row>
    <row r="671" spans="1:5" x14ac:dyDescent="0.25">
      <c r="A671" s="2" t="s">
        <v>1462</v>
      </c>
      <c r="B671" s="2" t="s">
        <v>2082</v>
      </c>
      <c r="C671" s="2" t="s">
        <v>603</v>
      </c>
      <c r="D671" s="2" t="s">
        <v>605</v>
      </c>
      <c r="E671" s="2">
        <v>128.75</v>
      </c>
    </row>
    <row r="672" spans="1:5" x14ac:dyDescent="0.25">
      <c r="A672" s="2" t="s">
        <v>1462</v>
      </c>
      <c r="B672" s="2" t="s">
        <v>2082</v>
      </c>
      <c r="C672" s="2" t="s">
        <v>603</v>
      </c>
      <c r="D672" s="2" t="s">
        <v>606</v>
      </c>
      <c r="E672" s="2">
        <v>139.05000000000001</v>
      </c>
    </row>
    <row r="673" spans="1:5" x14ac:dyDescent="0.25">
      <c r="A673" s="2" t="s">
        <v>1462</v>
      </c>
      <c r="B673" s="2" t="s">
        <v>2082</v>
      </c>
      <c r="C673" s="2" t="s">
        <v>603</v>
      </c>
      <c r="D673" s="2" t="s">
        <v>607</v>
      </c>
      <c r="E673" s="2">
        <v>149.35</v>
      </c>
    </row>
    <row r="674" spans="1:5" x14ac:dyDescent="0.25">
      <c r="A674" s="2" t="s">
        <v>1462</v>
      </c>
      <c r="B674" s="2" t="s">
        <v>2082</v>
      </c>
      <c r="C674" s="2" t="s">
        <v>603</v>
      </c>
      <c r="D674" s="2" t="s">
        <v>608</v>
      </c>
      <c r="E674" s="2">
        <v>154.5</v>
      </c>
    </row>
    <row r="675" spans="1:5" x14ac:dyDescent="0.25">
      <c r="A675" s="2" t="s">
        <v>1462</v>
      </c>
      <c r="B675" s="2" t="s">
        <v>2082</v>
      </c>
      <c r="C675" s="2" t="s">
        <v>603</v>
      </c>
      <c r="D675" s="2" t="s">
        <v>609</v>
      </c>
      <c r="E675" s="2">
        <v>185.4</v>
      </c>
    </row>
    <row r="676" spans="1:5" x14ac:dyDescent="0.25">
      <c r="A676" s="2" t="s">
        <v>1462</v>
      </c>
      <c r="B676" s="2" t="s">
        <v>2082</v>
      </c>
      <c r="C676" s="2" t="s">
        <v>603</v>
      </c>
      <c r="D676" s="2" t="s">
        <v>610</v>
      </c>
      <c r="E676" s="2">
        <v>190.55</v>
      </c>
    </row>
    <row r="677" spans="1:5" x14ac:dyDescent="0.25">
      <c r="A677" s="2" t="s">
        <v>1462</v>
      </c>
      <c r="B677" s="2" t="s">
        <v>2082</v>
      </c>
      <c r="C677" s="2" t="s">
        <v>603</v>
      </c>
      <c r="D677" s="2" t="s">
        <v>611</v>
      </c>
      <c r="E677" s="2">
        <v>216.3</v>
      </c>
    </row>
    <row r="678" spans="1:5" x14ac:dyDescent="0.25">
      <c r="A678" s="2" t="s">
        <v>1462</v>
      </c>
      <c r="B678" s="2" t="s">
        <v>2082</v>
      </c>
      <c r="C678" s="2" t="s">
        <v>603</v>
      </c>
      <c r="D678" s="2" t="s">
        <v>612</v>
      </c>
      <c r="E678" s="2">
        <v>221.45</v>
      </c>
    </row>
    <row r="679" spans="1:5" x14ac:dyDescent="0.25">
      <c r="A679" s="2" t="s">
        <v>1462</v>
      </c>
      <c r="B679" s="2" t="s">
        <v>2082</v>
      </c>
      <c r="C679" s="2" t="s">
        <v>603</v>
      </c>
      <c r="D679" s="2" t="s">
        <v>613</v>
      </c>
      <c r="E679" s="2">
        <v>257.5</v>
      </c>
    </row>
    <row r="680" spans="1:5" x14ac:dyDescent="0.25">
      <c r="A680" s="2" t="s">
        <v>1462</v>
      </c>
      <c r="B680" s="2" t="s">
        <v>2082</v>
      </c>
      <c r="C680" s="2" t="s">
        <v>603</v>
      </c>
      <c r="D680" s="2" t="s">
        <v>614</v>
      </c>
      <c r="E680" s="2">
        <v>278.10000000000002</v>
      </c>
    </row>
    <row r="681" spans="1:5" x14ac:dyDescent="0.25">
      <c r="A681" s="2" t="s">
        <v>1737</v>
      </c>
      <c r="B681" s="2" t="s">
        <v>1739</v>
      </c>
      <c r="C681" s="2" t="s">
        <v>603</v>
      </c>
      <c r="D681" s="2" t="s">
        <v>604</v>
      </c>
      <c r="E681" s="2">
        <v>100</v>
      </c>
    </row>
    <row r="682" spans="1:5" x14ac:dyDescent="0.25">
      <c r="A682" s="2" t="s">
        <v>1737</v>
      </c>
      <c r="B682" s="2" t="s">
        <v>1739</v>
      </c>
      <c r="C682" s="2" t="s">
        <v>603</v>
      </c>
      <c r="D682" s="2" t="s">
        <v>605</v>
      </c>
      <c r="E682" s="2">
        <v>127.5</v>
      </c>
    </row>
    <row r="683" spans="1:5" x14ac:dyDescent="0.25">
      <c r="A683" s="2" t="s">
        <v>1737</v>
      </c>
      <c r="B683" s="2" t="s">
        <v>1739</v>
      </c>
      <c r="C683" s="2" t="s">
        <v>603</v>
      </c>
      <c r="D683" s="2" t="s">
        <v>606</v>
      </c>
      <c r="E683" s="2">
        <v>191.9</v>
      </c>
    </row>
    <row r="684" spans="1:5" x14ac:dyDescent="0.25">
      <c r="A684" s="2" t="s">
        <v>1737</v>
      </c>
      <c r="B684" s="2" t="s">
        <v>1739</v>
      </c>
      <c r="C684" s="2" t="s">
        <v>603</v>
      </c>
      <c r="D684" s="2" t="s">
        <v>607</v>
      </c>
      <c r="E684" s="2">
        <v>308</v>
      </c>
    </row>
    <row r="685" spans="1:5" x14ac:dyDescent="0.25">
      <c r="A685" s="2" t="s">
        <v>1737</v>
      </c>
      <c r="B685" s="2" t="s">
        <v>1739</v>
      </c>
      <c r="C685" s="2" t="s">
        <v>603</v>
      </c>
      <c r="D685" s="2" t="s">
        <v>608</v>
      </c>
      <c r="E685" s="2">
        <v>556</v>
      </c>
    </row>
    <row r="686" spans="1:5" x14ac:dyDescent="0.25">
      <c r="A686" s="2" t="s">
        <v>1737</v>
      </c>
      <c r="B686" s="2" t="s">
        <v>1739</v>
      </c>
      <c r="C686" s="2" t="s">
        <v>603</v>
      </c>
      <c r="D686" s="2" t="s">
        <v>609</v>
      </c>
      <c r="E686" s="2">
        <v>125</v>
      </c>
    </row>
    <row r="687" spans="1:5" x14ac:dyDescent="0.25">
      <c r="A687" s="2" t="s">
        <v>1737</v>
      </c>
      <c r="B687" s="2" t="s">
        <v>1739</v>
      </c>
      <c r="C687" s="2" t="s">
        <v>603</v>
      </c>
      <c r="D687" s="2" t="s">
        <v>610</v>
      </c>
      <c r="E687" s="2">
        <v>185</v>
      </c>
    </row>
    <row r="688" spans="1:5" x14ac:dyDescent="0.25">
      <c r="A688" s="2" t="s">
        <v>1737</v>
      </c>
      <c r="B688" s="2" t="s">
        <v>1739</v>
      </c>
      <c r="C688" s="2" t="s">
        <v>603</v>
      </c>
      <c r="D688" s="2" t="s">
        <v>611</v>
      </c>
      <c r="E688" s="2">
        <v>245</v>
      </c>
    </row>
    <row r="689" spans="1:5" x14ac:dyDescent="0.25">
      <c r="A689" s="2" t="s">
        <v>1737</v>
      </c>
      <c r="B689" s="2" t="s">
        <v>1739</v>
      </c>
      <c r="C689" s="2" t="s">
        <v>603</v>
      </c>
      <c r="D689" s="2" t="s">
        <v>612</v>
      </c>
      <c r="E689" s="2">
        <v>315</v>
      </c>
    </row>
    <row r="690" spans="1:5" x14ac:dyDescent="0.25">
      <c r="A690" s="2" t="s">
        <v>1737</v>
      </c>
      <c r="B690" s="2" t="s">
        <v>1739</v>
      </c>
      <c r="C690" s="2" t="s">
        <v>603</v>
      </c>
      <c r="D690" s="2" t="s">
        <v>613</v>
      </c>
      <c r="E690" s="2">
        <v>475</v>
      </c>
    </row>
  </sheetData>
  <autoFilter ref="A7:E690" xr:uid="{435E0F1A-88EC-4B4C-89D2-61306DE57036}"/>
  <mergeCells count="7">
    <mergeCell ref="AD7:AE7"/>
    <mergeCell ref="AF7:AG7"/>
    <mergeCell ref="A1:C2"/>
    <mergeCell ref="A3:G3"/>
    <mergeCell ref="X7:Y7"/>
    <mergeCell ref="Z7:AA7"/>
    <mergeCell ref="AB7:AC7"/>
  </mergeCells>
  <phoneticPr fontId="33"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4B3A9-7399-4A07-B079-B91E261E15FF}">
  <dimension ref="A1:E97"/>
  <sheetViews>
    <sheetView workbookViewId="0">
      <pane ySplit="1" topLeftCell="A2" activePane="bottomLeft" state="frozen"/>
      <selection pane="bottomLeft" activeCell="B1" sqref="B1:B1048576"/>
    </sheetView>
  </sheetViews>
  <sheetFormatPr defaultColWidth="7.21875" defaultRowHeight="10.199999999999999" x14ac:dyDescent="0.2"/>
  <cols>
    <col min="1" max="1" width="31.5546875" style="1586" customWidth="1"/>
    <col min="2" max="2" width="170.44140625" style="1586" bestFit="1" customWidth="1"/>
    <col min="3" max="3" width="9.21875" style="1586" customWidth="1"/>
    <col min="4" max="5" width="11.77734375" style="1586" customWidth="1"/>
    <col min="6" max="16384" width="7.21875" style="1586"/>
  </cols>
  <sheetData>
    <row r="1" spans="1:5" ht="18.75" customHeight="1" x14ac:dyDescent="0.2">
      <c r="A1" s="1592" t="s">
        <v>3603</v>
      </c>
      <c r="B1" s="1592" t="s">
        <v>3602</v>
      </c>
      <c r="C1" s="1592" t="s">
        <v>3601</v>
      </c>
      <c r="D1" s="1591"/>
      <c r="E1" s="1591"/>
    </row>
    <row r="2" spans="1:5" ht="12.75" customHeight="1" x14ac:dyDescent="0.2">
      <c r="A2" s="1590" t="s">
        <v>3600</v>
      </c>
      <c r="B2" s="1590" t="s">
        <v>3597</v>
      </c>
      <c r="C2" s="1589" t="b">
        <v>0</v>
      </c>
      <c r="D2" s="1587"/>
      <c r="E2" s="1587"/>
    </row>
    <row r="3" spans="1:5" ht="12.75" customHeight="1" x14ac:dyDescent="0.2">
      <c r="A3" s="1590" t="s">
        <v>3599</v>
      </c>
      <c r="B3" s="1590" t="s">
        <v>3597</v>
      </c>
      <c r="C3" s="1589" t="b">
        <v>0</v>
      </c>
      <c r="D3" s="1587"/>
      <c r="E3" s="1587"/>
    </row>
    <row r="4" spans="1:5" ht="12.75" customHeight="1" x14ac:dyDescent="0.2">
      <c r="A4" s="1590" t="s">
        <v>3598</v>
      </c>
      <c r="B4" s="1590" t="s">
        <v>3597</v>
      </c>
      <c r="C4" s="1589" t="b">
        <v>0</v>
      </c>
      <c r="D4" s="1587"/>
      <c r="E4" s="1587"/>
    </row>
    <row r="5" spans="1:5" ht="12.75" customHeight="1" x14ac:dyDescent="0.2">
      <c r="A5" s="1590" t="s">
        <v>258</v>
      </c>
      <c r="B5" s="1590" t="s">
        <v>3604</v>
      </c>
      <c r="C5" s="1589" t="b">
        <v>1</v>
      </c>
      <c r="D5" s="1587"/>
      <c r="E5" s="1587"/>
    </row>
    <row r="6" spans="1:5" ht="12.75" customHeight="1" x14ac:dyDescent="0.2">
      <c r="A6" s="1590" t="s">
        <v>270</v>
      </c>
      <c r="B6" s="1590" t="s">
        <v>3605</v>
      </c>
      <c r="C6" s="1589" t="b">
        <v>1</v>
      </c>
      <c r="D6" s="1587"/>
      <c r="E6" s="1587"/>
    </row>
    <row r="7" spans="1:5" ht="12.75" customHeight="1" x14ac:dyDescent="0.2">
      <c r="A7" s="1590" t="s">
        <v>284</v>
      </c>
      <c r="B7" s="1590" t="s">
        <v>3606</v>
      </c>
      <c r="C7" s="1589" t="b">
        <v>1</v>
      </c>
      <c r="D7" s="1587"/>
      <c r="E7" s="1587"/>
    </row>
    <row r="8" spans="1:5" ht="12.75" customHeight="1" x14ac:dyDescent="0.2">
      <c r="A8" s="1590" t="s">
        <v>177</v>
      </c>
      <c r="B8" s="1590" t="s">
        <v>3607</v>
      </c>
      <c r="C8" s="1589" t="b">
        <v>1</v>
      </c>
      <c r="D8" s="1587"/>
      <c r="E8" s="1587"/>
    </row>
    <row r="9" spans="1:5" ht="12.75" customHeight="1" x14ac:dyDescent="0.2">
      <c r="A9" s="1590" t="s">
        <v>302</v>
      </c>
      <c r="B9" s="1590" t="s">
        <v>3608</v>
      </c>
      <c r="C9" s="1589" t="b">
        <v>1</v>
      </c>
      <c r="D9" s="1587"/>
      <c r="E9" s="1587"/>
    </row>
    <row r="10" spans="1:5" ht="12.75" customHeight="1" x14ac:dyDescent="0.2">
      <c r="A10" s="1590" t="s">
        <v>309</v>
      </c>
      <c r="B10" s="1590" t="s">
        <v>3609</v>
      </c>
      <c r="C10" s="1589" t="b">
        <v>1</v>
      </c>
      <c r="D10" s="1587"/>
      <c r="E10" s="1587"/>
    </row>
    <row r="11" spans="1:5" ht="12.75" customHeight="1" x14ac:dyDescent="0.2">
      <c r="A11" s="1590" t="s">
        <v>315</v>
      </c>
      <c r="B11" s="1590" t="s">
        <v>3610</v>
      </c>
      <c r="C11" s="1589" t="b">
        <v>1</v>
      </c>
      <c r="D11" s="1587"/>
      <c r="E11" s="1587"/>
    </row>
    <row r="12" spans="1:5" ht="12.75" customHeight="1" x14ac:dyDescent="0.2">
      <c r="A12" s="1590" t="s">
        <v>320</v>
      </c>
      <c r="B12" s="1590" t="s">
        <v>3611</v>
      </c>
      <c r="C12" s="1589" t="b">
        <v>1</v>
      </c>
      <c r="D12" s="1587"/>
      <c r="E12" s="1587"/>
    </row>
    <row r="13" spans="1:5" ht="12.75" customHeight="1" x14ac:dyDescent="0.2">
      <c r="A13" s="1590" t="s">
        <v>323</v>
      </c>
      <c r="B13" s="1590" t="s">
        <v>3612</v>
      </c>
      <c r="C13" s="1589" t="b">
        <v>1</v>
      </c>
      <c r="D13" s="1587"/>
      <c r="E13" s="1587"/>
    </row>
    <row r="14" spans="1:5" ht="12.75" customHeight="1" x14ac:dyDescent="0.2">
      <c r="A14" s="1590" t="s">
        <v>327</v>
      </c>
      <c r="B14" s="1590" t="s">
        <v>3613</v>
      </c>
      <c r="C14" s="1589" t="b">
        <v>1</v>
      </c>
      <c r="D14" s="1587"/>
      <c r="E14" s="1587"/>
    </row>
    <row r="15" spans="1:5" ht="12.75" customHeight="1" x14ac:dyDescent="0.2">
      <c r="A15" s="1590" t="s">
        <v>329</v>
      </c>
      <c r="B15" s="1590" t="s">
        <v>3614</v>
      </c>
      <c r="C15" s="1589" t="b">
        <v>1</v>
      </c>
      <c r="D15" s="1587"/>
      <c r="E15" s="1587"/>
    </row>
    <row r="16" spans="1:5" ht="12.75" customHeight="1" x14ac:dyDescent="0.2">
      <c r="A16" s="1590" t="s">
        <v>332</v>
      </c>
      <c r="B16" s="1590" t="s">
        <v>3615</v>
      </c>
      <c r="C16" s="1589" t="b">
        <v>1</v>
      </c>
      <c r="D16" s="1587"/>
      <c r="E16" s="1587"/>
    </row>
    <row r="17" spans="1:5" ht="12.75" customHeight="1" x14ac:dyDescent="0.2">
      <c r="A17" s="1590" t="s">
        <v>333</v>
      </c>
      <c r="B17" s="1590" t="s">
        <v>3616</v>
      </c>
      <c r="C17" s="1589" t="b">
        <v>1</v>
      </c>
      <c r="D17" s="1587"/>
      <c r="E17" s="1587"/>
    </row>
    <row r="18" spans="1:5" ht="12.75" customHeight="1" x14ac:dyDescent="0.2">
      <c r="A18" s="1590" t="s">
        <v>335</v>
      </c>
      <c r="B18" s="1590" t="s">
        <v>3617</v>
      </c>
      <c r="C18" s="1589" t="b">
        <v>1</v>
      </c>
      <c r="D18" s="1587"/>
      <c r="E18" s="1587"/>
    </row>
    <row r="19" spans="1:5" ht="12.75" customHeight="1" x14ac:dyDescent="0.2">
      <c r="A19" s="1590" t="s">
        <v>337</v>
      </c>
      <c r="B19" s="1590" t="s">
        <v>3618</v>
      </c>
      <c r="C19" s="1589" t="b">
        <v>1</v>
      </c>
      <c r="D19" s="1587"/>
      <c r="E19" s="1587"/>
    </row>
    <row r="20" spans="1:5" ht="12.75" customHeight="1" x14ac:dyDescent="0.2">
      <c r="A20" s="1590" t="s">
        <v>339</v>
      </c>
      <c r="B20" s="1590" t="s">
        <v>339</v>
      </c>
      <c r="C20" s="1589" t="b">
        <v>1</v>
      </c>
      <c r="D20" s="1587"/>
      <c r="E20" s="1587"/>
    </row>
    <row r="21" spans="1:5" ht="12.75" customHeight="1" x14ac:dyDescent="0.2">
      <c r="A21" s="1590" t="s">
        <v>341</v>
      </c>
      <c r="B21" s="1590" t="s">
        <v>3619</v>
      </c>
      <c r="C21" s="1589" t="b">
        <v>1</v>
      </c>
      <c r="D21" s="1587"/>
      <c r="E21" s="1587"/>
    </row>
    <row r="22" spans="1:5" ht="12.75" customHeight="1" x14ac:dyDescent="0.2">
      <c r="A22" s="1590" t="s">
        <v>343</v>
      </c>
      <c r="B22" s="1590" t="s">
        <v>3620</v>
      </c>
      <c r="C22" s="1589" t="b">
        <v>1</v>
      </c>
      <c r="D22" s="1587"/>
      <c r="E22" s="1587"/>
    </row>
    <row r="23" spans="1:5" ht="12.75" customHeight="1" x14ac:dyDescent="0.2">
      <c r="A23" s="1590" t="s">
        <v>345</v>
      </c>
      <c r="B23" s="1590" t="s">
        <v>3621</v>
      </c>
      <c r="C23" s="1589" t="b">
        <v>1</v>
      </c>
      <c r="D23" s="1587"/>
      <c r="E23" s="1587"/>
    </row>
    <row r="24" spans="1:5" ht="12.75" customHeight="1" x14ac:dyDescent="0.2">
      <c r="A24" s="1590" t="s">
        <v>348</v>
      </c>
      <c r="B24" s="1590" t="s">
        <v>3622</v>
      </c>
      <c r="C24" s="1589" t="b">
        <v>1</v>
      </c>
      <c r="D24" s="1587"/>
      <c r="E24" s="1587"/>
    </row>
    <row r="25" spans="1:5" ht="12.75" customHeight="1" x14ac:dyDescent="0.2">
      <c r="A25" s="1590" t="s">
        <v>350</v>
      </c>
      <c r="B25" s="1590" t="s">
        <v>3623</v>
      </c>
      <c r="C25" s="1589" t="b">
        <v>1</v>
      </c>
      <c r="D25" s="1587"/>
      <c r="E25" s="1587"/>
    </row>
    <row r="26" spans="1:5" ht="12.75" customHeight="1" x14ac:dyDescent="0.2">
      <c r="A26" s="1590" t="s">
        <v>352</v>
      </c>
      <c r="B26" s="1590" t="s">
        <v>3624</v>
      </c>
      <c r="C26" s="1589" t="b">
        <v>1</v>
      </c>
      <c r="D26" s="1587"/>
      <c r="E26" s="1587"/>
    </row>
    <row r="27" spans="1:5" ht="12.75" customHeight="1" x14ac:dyDescent="0.2">
      <c r="A27" s="1590" t="s">
        <v>355</v>
      </c>
      <c r="B27" s="1590" t="s">
        <v>3625</v>
      </c>
      <c r="C27" s="1589" t="b">
        <v>1</v>
      </c>
      <c r="D27" s="1587"/>
      <c r="E27" s="1587"/>
    </row>
    <row r="28" spans="1:5" ht="12.75" customHeight="1" x14ac:dyDescent="0.2">
      <c r="A28" s="1590" t="s">
        <v>357</v>
      </c>
      <c r="B28" s="1590" t="s">
        <v>3626</v>
      </c>
      <c r="C28" s="1589" t="b">
        <v>1</v>
      </c>
      <c r="D28" s="1587"/>
      <c r="E28" s="1587"/>
    </row>
    <row r="29" spans="1:5" ht="12.75" customHeight="1" x14ac:dyDescent="0.2">
      <c r="A29" s="1590" t="s">
        <v>359</v>
      </c>
      <c r="B29" s="1590" t="s">
        <v>3627</v>
      </c>
      <c r="C29" s="1589" t="b">
        <v>1</v>
      </c>
      <c r="D29" s="1587"/>
      <c r="E29" s="1587"/>
    </row>
    <row r="30" spans="1:5" ht="12.75" customHeight="1" x14ac:dyDescent="0.2">
      <c r="A30" s="1590" t="s">
        <v>361</v>
      </c>
      <c r="B30" s="1590" t="s">
        <v>3628</v>
      </c>
      <c r="C30" s="1589" t="b">
        <v>1</v>
      </c>
      <c r="D30" s="1587"/>
      <c r="E30" s="1587"/>
    </row>
    <row r="31" spans="1:5" ht="12.75" customHeight="1" x14ac:dyDescent="0.2">
      <c r="A31" s="1590" t="s">
        <v>363</v>
      </c>
      <c r="B31" s="1590" t="s">
        <v>3629</v>
      </c>
      <c r="C31" s="1589" t="b">
        <v>1</v>
      </c>
      <c r="D31" s="1587"/>
      <c r="E31" s="1587"/>
    </row>
    <row r="32" spans="1:5" ht="12.75" customHeight="1" x14ac:dyDescent="0.2">
      <c r="A32" s="1590" t="s">
        <v>365</v>
      </c>
      <c r="B32" s="1590" t="s">
        <v>3630</v>
      </c>
      <c r="C32" s="1589" t="b">
        <v>1</v>
      </c>
      <c r="D32" s="1587"/>
      <c r="E32" s="1587"/>
    </row>
    <row r="33" spans="1:5" ht="12.75" customHeight="1" x14ac:dyDescent="0.2">
      <c r="A33" s="1590" t="s">
        <v>367</v>
      </c>
      <c r="B33" s="1590" t="s">
        <v>3631</v>
      </c>
      <c r="C33" s="1589" t="b">
        <v>1</v>
      </c>
      <c r="D33" s="1587"/>
      <c r="E33" s="1587"/>
    </row>
    <row r="34" spans="1:5" ht="12.75" customHeight="1" x14ac:dyDescent="0.2">
      <c r="A34" s="1590" t="s">
        <v>369</v>
      </c>
      <c r="B34" s="1590" t="s">
        <v>3632</v>
      </c>
      <c r="C34" s="1589" t="b">
        <v>1</v>
      </c>
      <c r="D34" s="1587"/>
      <c r="E34" s="1587"/>
    </row>
    <row r="35" spans="1:5" ht="12.75" customHeight="1" x14ac:dyDescent="0.2">
      <c r="A35" s="1590" t="s">
        <v>370</v>
      </c>
      <c r="B35" s="1590" t="s">
        <v>3633</v>
      </c>
      <c r="C35" s="1589" t="b">
        <v>1</v>
      </c>
      <c r="D35" s="1587"/>
      <c r="E35" s="1587"/>
    </row>
    <row r="36" spans="1:5" ht="12.75" customHeight="1" x14ac:dyDescent="0.2">
      <c r="A36" s="1590" t="s">
        <v>371</v>
      </c>
      <c r="B36" s="1590" t="s">
        <v>371</v>
      </c>
      <c r="C36" s="1589" t="b">
        <v>1</v>
      </c>
      <c r="D36" s="1587"/>
      <c r="E36" s="1587"/>
    </row>
    <row r="37" spans="1:5" ht="12.75" customHeight="1" x14ac:dyDescent="0.2">
      <c r="A37" s="1590" t="s">
        <v>372</v>
      </c>
      <c r="B37" s="1590" t="s">
        <v>3634</v>
      </c>
      <c r="C37" s="1589" t="b">
        <v>1</v>
      </c>
      <c r="D37" s="1587"/>
      <c r="E37" s="1587"/>
    </row>
    <row r="38" spans="1:5" ht="12.75" customHeight="1" x14ac:dyDescent="0.2">
      <c r="A38" s="1590" t="s">
        <v>373</v>
      </c>
      <c r="B38" s="1590" t="s">
        <v>3635</v>
      </c>
      <c r="C38" s="1589" t="b">
        <v>1</v>
      </c>
      <c r="D38" s="1587"/>
      <c r="E38" s="1587"/>
    </row>
    <row r="39" spans="1:5" ht="12.75" customHeight="1" x14ac:dyDescent="0.2">
      <c r="A39" s="1590" t="s">
        <v>374</v>
      </c>
      <c r="B39" s="1590" t="s">
        <v>3636</v>
      </c>
      <c r="C39" s="1589" t="b">
        <v>1</v>
      </c>
      <c r="D39" s="1587"/>
      <c r="E39" s="1587"/>
    </row>
    <row r="40" spans="1:5" ht="12.75" customHeight="1" x14ac:dyDescent="0.2">
      <c r="A40" s="1590" t="s">
        <v>375</v>
      </c>
      <c r="B40" s="1590" t="s">
        <v>3637</v>
      </c>
      <c r="C40" s="1589" t="b">
        <v>1</v>
      </c>
      <c r="D40" s="1587"/>
      <c r="E40" s="1587"/>
    </row>
    <row r="41" spans="1:5" ht="12.75" customHeight="1" x14ac:dyDescent="0.2">
      <c r="A41" s="1590" t="s">
        <v>376</v>
      </c>
      <c r="B41" s="1590" t="s">
        <v>3638</v>
      </c>
      <c r="C41" s="1589" t="b">
        <v>1</v>
      </c>
      <c r="D41" s="1587"/>
      <c r="E41" s="1587"/>
    </row>
    <row r="42" spans="1:5" ht="12.75" customHeight="1" x14ac:dyDescent="0.2">
      <c r="A42" s="1590" t="s">
        <v>377</v>
      </c>
      <c r="B42" s="1590" t="s">
        <v>377</v>
      </c>
      <c r="C42" s="1589" t="b">
        <v>1</v>
      </c>
      <c r="D42" s="1587"/>
      <c r="E42" s="1587"/>
    </row>
    <row r="43" spans="1:5" ht="12.75" customHeight="1" x14ac:dyDescent="0.2">
      <c r="A43" s="1590" t="s">
        <v>378</v>
      </c>
      <c r="B43" s="1590" t="s">
        <v>3639</v>
      </c>
      <c r="C43" s="1589" t="b">
        <v>1</v>
      </c>
      <c r="D43" s="1587"/>
      <c r="E43" s="1587"/>
    </row>
    <row r="44" spans="1:5" ht="12.75" customHeight="1" x14ac:dyDescent="0.2">
      <c r="A44" s="1590" t="s">
        <v>380</v>
      </c>
      <c r="B44" s="1590" t="s">
        <v>3640</v>
      </c>
      <c r="C44" s="1589" t="b">
        <v>1</v>
      </c>
      <c r="D44" s="1587"/>
      <c r="E44" s="1587"/>
    </row>
    <row r="45" spans="1:5" ht="12.75" customHeight="1" x14ac:dyDescent="0.2">
      <c r="A45" s="1590" t="s">
        <v>381</v>
      </c>
      <c r="B45" s="1590" t="s">
        <v>3641</v>
      </c>
      <c r="C45" s="1589" t="b">
        <v>1</v>
      </c>
      <c r="D45" s="1587"/>
      <c r="E45" s="1587"/>
    </row>
    <row r="46" spans="1:5" ht="12.75" customHeight="1" x14ac:dyDescent="0.2">
      <c r="A46" s="1590" t="s">
        <v>383</v>
      </c>
      <c r="B46" s="1590" t="s">
        <v>3642</v>
      </c>
      <c r="C46" s="1589" t="b">
        <v>1</v>
      </c>
      <c r="D46" s="1587"/>
      <c r="E46" s="1587"/>
    </row>
    <row r="47" spans="1:5" ht="12.75" customHeight="1" x14ac:dyDescent="0.2">
      <c r="A47" s="1590" t="s">
        <v>384</v>
      </c>
      <c r="B47" s="1590" t="s">
        <v>3643</v>
      </c>
      <c r="C47" s="1589" t="b">
        <v>1</v>
      </c>
      <c r="D47" s="1587"/>
      <c r="E47" s="1587"/>
    </row>
    <row r="48" spans="1:5" ht="12.75" customHeight="1" x14ac:dyDescent="0.2">
      <c r="A48" s="1590" t="s">
        <v>386</v>
      </c>
      <c r="B48" s="1590" t="s">
        <v>3644</v>
      </c>
      <c r="C48" s="1589" t="b">
        <v>1</v>
      </c>
      <c r="D48" s="1587"/>
      <c r="E48" s="1587"/>
    </row>
    <row r="49" spans="1:5" ht="12.75" customHeight="1" x14ac:dyDescent="0.2">
      <c r="A49" s="1590" t="s">
        <v>387</v>
      </c>
      <c r="B49" s="1590" t="s">
        <v>387</v>
      </c>
      <c r="C49" s="1589" t="b">
        <v>1</v>
      </c>
      <c r="D49" s="1587"/>
      <c r="E49" s="1587"/>
    </row>
    <row r="50" spans="1:5" ht="12.75" customHeight="1" x14ac:dyDescent="0.2">
      <c r="A50" s="1590" t="s">
        <v>388</v>
      </c>
      <c r="B50" s="1590" t="s">
        <v>3645</v>
      </c>
      <c r="C50" s="1589" t="b">
        <v>1</v>
      </c>
      <c r="D50" s="1587"/>
      <c r="E50" s="1587"/>
    </row>
    <row r="51" spans="1:5" ht="12.75" customHeight="1" x14ac:dyDescent="0.2">
      <c r="A51" s="1590" t="s">
        <v>389</v>
      </c>
      <c r="B51" s="1590" t="s">
        <v>3646</v>
      </c>
      <c r="C51" s="1589" t="b">
        <v>1</v>
      </c>
      <c r="D51" s="1587"/>
      <c r="E51" s="1587"/>
    </row>
    <row r="52" spans="1:5" ht="12.75" customHeight="1" x14ac:dyDescent="0.2">
      <c r="A52" s="1590" t="s">
        <v>390</v>
      </c>
      <c r="B52" s="1590" t="s">
        <v>3647</v>
      </c>
      <c r="C52" s="1589" t="b">
        <v>1</v>
      </c>
      <c r="D52" s="1587"/>
      <c r="E52" s="1587"/>
    </row>
    <row r="53" spans="1:5" ht="12.75" customHeight="1" x14ac:dyDescent="0.2">
      <c r="A53" s="1590" t="s">
        <v>391</v>
      </c>
      <c r="B53" s="1590" t="s">
        <v>3648</v>
      </c>
      <c r="C53" s="1589" t="b">
        <v>1</v>
      </c>
      <c r="D53" s="1587"/>
      <c r="E53" s="1587"/>
    </row>
    <row r="54" spans="1:5" ht="12.75" customHeight="1" x14ac:dyDescent="0.2">
      <c r="A54" s="1590" t="s">
        <v>392</v>
      </c>
      <c r="B54" s="1590" t="s">
        <v>3649</v>
      </c>
      <c r="C54" s="1589" t="b">
        <v>1</v>
      </c>
      <c r="D54" s="1587"/>
      <c r="E54" s="1587"/>
    </row>
    <row r="55" spans="1:5" ht="12.75" customHeight="1" x14ac:dyDescent="0.2">
      <c r="A55" s="1590" t="s">
        <v>393</v>
      </c>
      <c r="B55" s="1590" t="s">
        <v>3650</v>
      </c>
      <c r="C55" s="1589" t="b">
        <v>1</v>
      </c>
      <c r="D55" s="1587"/>
      <c r="E55" s="1587"/>
    </row>
    <row r="56" spans="1:5" ht="12.75" customHeight="1" x14ac:dyDescent="0.2">
      <c r="A56" s="1590" t="s">
        <v>394</v>
      </c>
      <c r="B56" s="1590" t="s">
        <v>3651</v>
      </c>
      <c r="C56" s="1589" t="b">
        <v>1</v>
      </c>
      <c r="D56" s="1587"/>
      <c r="E56" s="1587"/>
    </row>
    <row r="57" spans="1:5" ht="12.75" customHeight="1" x14ac:dyDescent="0.2">
      <c r="A57" s="1590" t="s">
        <v>395</v>
      </c>
      <c r="B57" s="1590" t="s">
        <v>395</v>
      </c>
      <c r="C57" s="1589" t="b">
        <v>1</v>
      </c>
      <c r="D57" s="1587"/>
      <c r="E57" s="1587"/>
    </row>
    <row r="58" spans="1:5" ht="12.75" customHeight="1" x14ac:dyDescent="0.2">
      <c r="A58" s="1590" t="s">
        <v>396</v>
      </c>
      <c r="B58" s="1590" t="s">
        <v>3652</v>
      </c>
      <c r="C58" s="1589" t="b">
        <v>1</v>
      </c>
      <c r="D58" s="1587"/>
      <c r="E58" s="1587"/>
    </row>
    <row r="59" spans="1:5" ht="12.75" customHeight="1" x14ac:dyDescent="0.2">
      <c r="A59" s="1590" t="s">
        <v>397</v>
      </c>
      <c r="B59" s="1590" t="s">
        <v>3653</v>
      </c>
      <c r="C59" s="1589" t="b">
        <v>1</v>
      </c>
      <c r="D59" s="1587"/>
      <c r="E59" s="1587"/>
    </row>
    <row r="60" spans="1:5" ht="12.75" customHeight="1" x14ac:dyDescent="0.2">
      <c r="A60" s="1590" t="s">
        <v>398</v>
      </c>
      <c r="B60" s="1590" t="s">
        <v>398</v>
      </c>
      <c r="C60" s="1589" t="b">
        <v>1</v>
      </c>
      <c r="D60" s="1587"/>
      <c r="E60" s="1587"/>
    </row>
    <row r="61" spans="1:5" ht="12.75" customHeight="1" x14ac:dyDescent="0.2">
      <c r="A61" s="1590" t="s">
        <v>399</v>
      </c>
      <c r="B61" s="1590" t="s">
        <v>3654</v>
      </c>
      <c r="C61" s="1589" t="b">
        <v>1</v>
      </c>
      <c r="D61" s="1587"/>
      <c r="E61" s="1587"/>
    </row>
    <row r="62" spans="1:5" ht="12.75" customHeight="1" x14ac:dyDescent="0.2">
      <c r="A62" s="1590" t="s">
        <v>400</v>
      </c>
      <c r="B62" s="1590" t="s">
        <v>400</v>
      </c>
      <c r="C62" s="1589" t="b">
        <v>1</v>
      </c>
      <c r="D62" s="1587"/>
      <c r="E62" s="1587"/>
    </row>
    <row r="63" spans="1:5" ht="12.75" customHeight="1" x14ac:dyDescent="0.2">
      <c r="A63" s="1590" t="s">
        <v>401</v>
      </c>
      <c r="B63" s="1590" t="s">
        <v>401</v>
      </c>
      <c r="C63" s="1589" t="b">
        <v>1</v>
      </c>
      <c r="D63" s="1587"/>
      <c r="E63" s="1587"/>
    </row>
    <row r="64" spans="1:5" ht="12.75" customHeight="1" x14ac:dyDescent="0.2">
      <c r="A64" s="1590" t="s">
        <v>402</v>
      </c>
      <c r="B64" s="1590" t="s">
        <v>3655</v>
      </c>
      <c r="C64" s="1589" t="b">
        <v>1</v>
      </c>
      <c r="D64" s="1587"/>
      <c r="E64" s="1587"/>
    </row>
    <row r="65" spans="1:5" ht="12.75" customHeight="1" x14ac:dyDescent="0.2">
      <c r="A65" s="1590" t="s">
        <v>403</v>
      </c>
      <c r="B65" s="1590" t="s">
        <v>3656</v>
      </c>
      <c r="C65" s="1589" t="b">
        <v>1</v>
      </c>
      <c r="D65" s="1587"/>
      <c r="E65" s="1587"/>
    </row>
    <row r="66" spans="1:5" ht="12.75" customHeight="1" x14ac:dyDescent="0.2">
      <c r="A66" s="1590" t="s">
        <v>404</v>
      </c>
      <c r="B66" s="1590" t="s">
        <v>3657</v>
      </c>
      <c r="C66" s="1589" t="b">
        <v>1</v>
      </c>
      <c r="D66" s="1587"/>
      <c r="E66" s="1587"/>
    </row>
    <row r="67" spans="1:5" ht="12.75" customHeight="1" x14ac:dyDescent="0.2">
      <c r="A67" s="1590" t="s">
        <v>405</v>
      </c>
      <c r="B67" s="1590" t="s">
        <v>3658</v>
      </c>
      <c r="C67" s="1589" t="b">
        <v>1</v>
      </c>
      <c r="D67" s="1587"/>
      <c r="E67" s="1587"/>
    </row>
    <row r="68" spans="1:5" ht="12.75" customHeight="1" x14ac:dyDescent="0.2">
      <c r="A68" s="1590" t="s">
        <v>406</v>
      </c>
      <c r="B68" s="1590" t="s">
        <v>3659</v>
      </c>
      <c r="C68" s="1589" t="b">
        <v>1</v>
      </c>
      <c r="D68" s="1587"/>
      <c r="E68" s="1587"/>
    </row>
    <row r="69" spans="1:5" ht="12.75" customHeight="1" x14ac:dyDescent="0.2">
      <c r="A69" s="1590" t="s">
        <v>407</v>
      </c>
      <c r="B69" s="1590" t="s">
        <v>3660</v>
      </c>
      <c r="C69" s="1589" t="b">
        <v>1</v>
      </c>
      <c r="D69" s="1587"/>
      <c r="E69" s="1587"/>
    </row>
    <row r="70" spans="1:5" ht="12.75" customHeight="1" x14ac:dyDescent="0.2">
      <c r="A70" s="1590" t="s">
        <v>408</v>
      </c>
      <c r="B70" s="1590" t="s">
        <v>3661</v>
      </c>
      <c r="C70" s="1589" t="b">
        <v>1</v>
      </c>
      <c r="D70" s="1587"/>
      <c r="E70" s="1587"/>
    </row>
    <row r="71" spans="1:5" ht="12.75" customHeight="1" x14ac:dyDescent="0.2">
      <c r="A71" s="1590" t="s">
        <v>409</v>
      </c>
      <c r="B71" s="1590" t="s">
        <v>3662</v>
      </c>
      <c r="C71" s="1589" t="b">
        <v>1</v>
      </c>
      <c r="D71" s="1587"/>
      <c r="E71" s="1587"/>
    </row>
    <row r="72" spans="1:5" ht="12.75" customHeight="1" x14ac:dyDescent="0.2">
      <c r="A72" s="1590" t="s">
        <v>410</v>
      </c>
      <c r="B72" s="1590" t="s">
        <v>3663</v>
      </c>
      <c r="C72" s="1589" t="b">
        <v>1</v>
      </c>
      <c r="D72" s="1587"/>
      <c r="E72" s="1587"/>
    </row>
    <row r="73" spans="1:5" ht="12.75" customHeight="1" x14ac:dyDescent="0.2">
      <c r="A73" s="1590" t="s">
        <v>411</v>
      </c>
      <c r="B73" s="1590" t="s">
        <v>3664</v>
      </c>
      <c r="C73" s="1589" t="b">
        <v>1</v>
      </c>
      <c r="D73" s="1587"/>
      <c r="E73" s="1587"/>
    </row>
    <row r="74" spans="1:5" ht="12.75" customHeight="1" x14ac:dyDescent="0.2">
      <c r="A74" s="1590" t="s">
        <v>3596</v>
      </c>
      <c r="B74" s="1590" t="s">
        <v>3665</v>
      </c>
      <c r="C74" s="1589" t="b">
        <v>0</v>
      </c>
      <c r="D74" s="1587"/>
      <c r="E74" s="1587"/>
    </row>
    <row r="75" spans="1:5" ht="12.75" customHeight="1" x14ac:dyDescent="0.2">
      <c r="A75" s="1590" t="s">
        <v>3595</v>
      </c>
      <c r="B75" s="1590" t="s">
        <v>3666</v>
      </c>
      <c r="C75" s="1589" t="b">
        <v>0</v>
      </c>
      <c r="D75" s="1587"/>
      <c r="E75" s="1587"/>
    </row>
    <row r="76" spans="1:5" ht="12.75" customHeight="1" x14ac:dyDescent="0.2">
      <c r="A76" s="1590" t="s">
        <v>3594</v>
      </c>
      <c r="B76" s="1590" t="s">
        <v>3667</v>
      </c>
      <c r="C76" s="1589" t="b">
        <v>0</v>
      </c>
      <c r="D76" s="1587"/>
      <c r="E76" s="1587"/>
    </row>
    <row r="77" spans="1:5" ht="12.75" customHeight="1" x14ac:dyDescent="0.2">
      <c r="A77" s="1590" t="s">
        <v>412</v>
      </c>
      <c r="B77" s="1590" t="s">
        <v>3668</v>
      </c>
      <c r="C77" s="1589" t="b">
        <v>1</v>
      </c>
      <c r="D77" s="1587"/>
      <c r="E77" s="1587"/>
    </row>
    <row r="78" spans="1:5" ht="12.75" customHeight="1" x14ac:dyDescent="0.2">
      <c r="A78" s="1590" t="s">
        <v>413</v>
      </c>
      <c r="B78" s="1590" t="s">
        <v>3669</v>
      </c>
      <c r="C78" s="1589" t="b">
        <v>1</v>
      </c>
      <c r="D78" s="1587"/>
      <c r="E78" s="1587"/>
    </row>
    <row r="79" spans="1:5" ht="12.75" customHeight="1" x14ac:dyDescent="0.2">
      <c r="A79" s="1590" t="s">
        <v>3593</v>
      </c>
      <c r="B79" s="1590" t="s">
        <v>3670</v>
      </c>
      <c r="C79" s="1589" t="b">
        <v>0</v>
      </c>
      <c r="D79" s="1587"/>
      <c r="E79" s="1587"/>
    </row>
    <row r="80" spans="1:5" ht="12.75" customHeight="1" x14ac:dyDescent="0.2">
      <c r="A80" s="1590" t="s">
        <v>414</v>
      </c>
      <c r="B80" s="1590" t="s">
        <v>3671</v>
      </c>
      <c r="C80" s="1589" t="b">
        <v>1</v>
      </c>
      <c r="D80" s="1587"/>
      <c r="E80" s="1587"/>
    </row>
    <row r="81" spans="1:5" ht="12.75" customHeight="1" x14ac:dyDescent="0.2">
      <c r="A81" s="1590" t="s">
        <v>415</v>
      </c>
      <c r="B81" s="1590" t="s">
        <v>3672</v>
      </c>
      <c r="C81" s="1589" t="b">
        <v>1</v>
      </c>
      <c r="D81" s="1587"/>
      <c r="E81" s="1587"/>
    </row>
    <row r="82" spans="1:5" ht="12.75" customHeight="1" x14ac:dyDescent="0.2">
      <c r="A82" s="1590" t="s">
        <v>416</v>
      </c>
      <c r="B82" s="1590" t="s">
        <v>3673</v>
      </c>
      <c r="C82" s="1589" t="b">
        <v>1</v>
      </c>
      <c r="D82" s="1587"/>
      <c r="E82" s="1587"/>
    </row>
    <row r="83" spans="1:5" ht="12.75" customHeight="1" x14ac:dyDescent="0.2">
      <c r="A83" s="1590" t="s">
        <v>417</v>
      </c>
      <c r="B83" s="1590" t="s">
        <v>3674</v>
      </c>
      <c r="C83" s="1589" t="b">
        <v>1</v>
      </c>
      <c r="D83" s="1587"/>
      <c r="E83" s="1587"/>
    </row>
    <row r="84" spans="1:5" ht="12.75" customHeight="1" x14ac:dyDescent="0.2">
      <c r="A84" s="1590" t="s">
        <v>3592</v>
      </c>
      <c r="B84" s="1590" t="s">
        <v>3591</v>
      </c>
      <c r="C84" s="1589" t="b">
        <v>0</v>
      </c>
      <c r="D84" s="1587"/>
      <c r="E84" s="1587"/>
    </row>
    <row r="85" spans="1:5" ht="12.75" customHeight="1" x14ac:dyDescent="0.2">
      <c r="A85" s="1590" t="s">
        <v>418</v>
      </c>
      <c r="B85" s="1590" t="s">
        <v>3590</v>
      </c>
      <c r="C85" s="1589" t="b">
        <v>1</v>
      </c>
      <c r="D85" s="1587"/>
      <c r="E85" s="1587"/>
    </row>
    <row r="86" spans="1:5" ht="12.75" customHeight="1" x14ac:dyDescent="0.2">
      <c r="A86" s="1590" t="s">
        <v>426</v>
      </c>
      <c r="B86" s="1590" t="s">
        <v>3675</v>
      </c>
      <c r="C86" s="1589" t="b">
        <v>1</v>
      </c>
      <c r="D86" s="1587"/>
      <c r="E86" s="1587"/>
    </row>
    <row r="87" spans="1:5" ht="12.75" customHeight="1" x14ac:dyDescent="0.2">
      <c r="A87" s="1590" t="s">
        <v>427</v>
      </c>
      <c r="B87" s="1590" t="s">
        <v>3676</v>
      </c>
      <c r="C87" s="1589" t="b">
        <v>1</v>
      </c>
      <c r="D87" s="1587"/>
      <c r="E87" s="1587"/>
    </row>
    <row r="88" spans="1:5" ht="12.75" customHeight="1" x14ac:dyDescent="0.2">
      <c r="A88" s="1590" t="s">
        <v>428</v>
      </c>
      <c r="B88" s="1590" t="s">
        <v>3677</v>
      </c>
      <c r="C88" s="1589" t="b">
        <v>1</v>
      </c>
      <c r="D88" s="1587"/>
      <c r="E88" s="1587"/>
    </row>
    <row r="89" spans="1:5" ht="12.75" customHeight="1" x14ac:dyDescent="0.2">
      <c r="A89" s="1590" t="s">
        <v>567</v>
      </c>
      <c r="B89" s="1590" t="s">
        <v>3678</v>
      </c>
      <c r="C89" s="1589" t="b">
        <v>1</v>
      </c>
      <c r="D89" s="1587"/>
      <c r="E89" s="1587"/>
    </row>
    <row r="90" spans="1:5" ht="12.75" customHeight="1" x14ac:dyDescent="0.2">
      <c r="A90" s="1590" t="s">
        <v>429</v>
      </c>
      <c r="B90" s="1590" t="s">
        <v>3589</v>
      </c>
      <c r="C90" s="1589" t="b">
        <v>1</v>
      </c>
      <c r="D90" s="1587"/>
      <c r="E90" s="1587"/>
    </row>
    <row r="91" spans="1:5" ht="12.75" customHeight="1" x14ac:dyDescent="0.2">
      <c r="A91" s="1590" t="s">
        <v>419</v>
      </c>
      <c r="B91" s="1590" t="s">
        <v>3588</v>
      </c>
      <c r="C91" s="1589" t="b">
        <v>1</v>
      </c>
      <c r="D91" s="1587"/>
      <c r="E91" s="1587"/>
    </row>
    <row r="92" spans="1:5" ht="12.75" customHeight="1" x14ac:dyDescent="0.2">
      <c r="A92" s="1590" t="s">
        <v>425</v>
      </c>
      <c r="B92" s="1590" t="s">
        <v>3587</v>
      </c>
      <c r="C92" s="1589" t="b">
        <v>1</v>
      </c>
      <c r="D92" s="1587"/>
      <c r="E92" s="1587"/>
    </row>
    <row r="93" spans="1:5" ht="12.75" customHeight="1" x14ac:dyDescent="0.2">
      <c r="A93" s="1590" t="s">
        <v>424</v>
      </c>
      <c r="B93" s="1590" t="s">
        <v>3586</v>
      </c>
      <c r="C93" s="1589" t="b">
        <v>1</v>
      </c>
      <c r="D93" s="1587"/>
      <c r="E93" s="1587"/>
    </row>
    <row r="94" spans="1:5" ht="12.75" customHeight="1" x14ac:dyDescent="0.2">
      <c r="A94" s="1590" t="s">
        <v>422</v>
      </c>
      <c r="B94" s="1590" t="s">
        <v>3585</v>
      </c>
      <c r="C94" s="1589" t="b">
        <v>1</v>
      </c>
      <c r="D94" s="1587"/>
      <c r="E94" s="1587"/>
    </row>
    <row r="95" spans="1:5" ht="12.75" customHeight="1" x14ac:dyDescent="0.2">
      <c r="A95" s="1590" t="s">
        <v>421</v>
      </c>
      <c r="B95" s="1590" t="s">
        <v>3584</v>
      </c>
      <c r="C95" s="1589" t="b">
        <v>1</v>
      </c>
      <c r="D95" s="1587"/>
      <c r="E95" s="1587"/>
    </row>
    <row r="96" spans="1:5" ht="12.75" customHeight="1" x14ac:dyDescent="0.2">
      <c r="A96" s="1590" t="s">
        <v>252</v>
      </c>
      <c r="B96" s="1590" t="s">
        <v>3583</v>
      </c>
      <c r="C96" s="1589" t="b">
        <v>1</v>
      </c>
      <c r="D96" s="1587"/>
      <c r="E96" s="1587"/>
    </row>
    <row r="97" spans="1:5" ht="12.75" customHeight="1" x14ac:dyDescent="0.2">
      <c r="A97" s="1588"/>
      <c r="B97" s="1587"/>
      <c r="C97" s="1587"/>
      <c r="D97" s="1587"/>
      <c r="E97" s="1587"/>
    </row>
  </sheetData>
  <autoFilter ref="A1:E1" xr:uid="{2004B3A9-7399-4A07-B079-B91E261E15FF}"/>
  <pageMargins left="0.75" right="0.75" top="1" bottom="1" header="0.5" footer="0.5"/>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F4113-221E-5F4A-836C-7150C494C586}">
  <sheetPr codeName="Sheet6"/>
  <dimension ref="B2:I9"/>
  <sheetViews>
    <sheetView showGridLines="0" workbookViewId="0">
      <selection activeCell="C3" sqref="C3:F3"/>
    </sheetView>
  </sheetViews>
  <sheetFormatPr defaultColWidth="11.44140625" defaultRowHeight="14.4" x14ac:dyDescent="0.3"/>
  <cols>
    <col min="2" max="2" width="13.44140625" bestFit="1" customWidth="1"/>
    <col min="3" max="3" width="32.44140625" customWidth="1"/>
    <col min="4" max="4" width="48" customWidth="1"/>
    <col min="5" max="5" width="44" customWidth="1"/>
    <col min="6" max="6" width="62" customWidth="1"/>
    <col min="7" max="7" width="55.21875" customWidth="1"/>
    <col min="8" max="8" width="56.21875" customWidth="1"/>
    <col min="9" max="9" width="62.44140625" customWidth="1"/>
  </cols>
  <sheetData>
    <row r="2" spans="2:9" ht="15" x14ac:dyDescent="0.3">
      <c r="B2" s="2048" t="s">
        <v>1111</v>
      </c>
      <c r="C2" s="2048"/>
      <c r="D2" s="2048"/>
      <c r="E2" s="2048"/>
      <c r="F2" s="2048" t="s">
        <v>1112</v>
      </c>
      <c r="G2" s="2048"/>
      <c r="H2" s="24" t="s">
        <v>1113</v>
      </c>
      <c r="I2" s="24" t="s">
        <v>1114</v>
      </c>
    </row>
    <row r="3" spans="2:9" x14ac:dyDescent="0.3">
      <c r="B3" s="25" t="s">
        <v>1115</v>
      </c>
      <c r="C3" s="25" t="s">
        <v>264</v>
      </c>
      <c r="D3" s="26" t="s">
        <v>290</v>
      </c>
      <c r="E3" s="26" t="s">
        <v>279</v>
      </c>
      <c r="F3" s="27" t="s">
        <v>265</v>
      </c>
      <c r="G3" s="27" t="s">
        <v>280</v>
      </c>
      <c r="H3" s="28" t="s">
        <v>282</v>
      </c>
      <c r="I3" s="28" t="s">
        <v>1116</v>
      </c>
    </row>
    <row r="4" spans="2:9" ht="110.4" x14ac:dyDescent="0.3">
      <c r="B4" s="29" t="s">
        <v>41</v>
      </c>
      <c r="C4" s="7" t="s">
        <v>1117</v>
      </c>
      <c r="D4" s="7" t="s">
        <v>1118</v>
      </c>
      <c r="E4" s="7" t="s">
        <v>1119</v>
      </c>
      <c r="F4" s="7" t="s">
        <v>1120</v>
      </c>
      <c r="G4" s="7" t="s">
        <v>1121</v>
      </c>
      <c r="H4" s="7" t="s">
        <v>1122</v>
      </c>
      <c r="I4" s="7" t="s">
        <v>1123</v>
      </c>
    </row>
    <row r="5" spans="2:9" ht="110.4" x14ac:dyDescent="0.3">
      <c r="B5" s="29" t="s">
        <v>39</v>
      </c>
      <c r="C5" s="7" t="s">
        <v>1124</v>
      </c>
      <c r="D5" s="7" t="s">
        <v>1125</v>
      </c>
      <c r="E5" s="7" t="s">
        <v>1126</v>
      </c>
      <c r="F5" s="7" t="s">
        <v>1127</v>
      </c>
      <c r="G5" s="7" t="s">
        <v>1128</v>
      </c>
      <c r="H5" s="7" t="s">
        <v>1129</v>
      </c>
      <c r="I5" s="7" t="s">
        <v>1130</v>
      </c>
    </row>
    <row r="6" spans="2:9" ht="165.6" x14ac:dyDescent="0.3">
      <c r="B6" s="29" t="s">
        <v>37</v>
      </c>
      <c r="C6" s="7" t="s">
        <v>1131</v>
      </c>
      <c r="D6" s="7" t="s">
        <v>1132</v>
      </c>
      <c r="E6" s="7" t="s">
        <v>1133</v>
      </c>
      <c r="F6" s="7" t="s">
        <v>1134</v>
      </c>
      <c r="G6" s="7" t="s">
        <v>1135</v>
      </c>
      <c r="H6" s="7" t="s">
        <v>1136</v>
      </c>
      <c r="I6" s="7" t="s">
        <v>1137</v>
      </c>
    </row>
    <row r="7" spans="2:9" ht="193.2" x14ac:dyDescent="0.3">
      <c r="B7" s="29" t="s">
        <v>35</v>
      </c>
      <c r="C7" s="7" t="s">
        <v>1138</v>
      </c>
      <c r="D7" s="7" t="s">
        <v>1139</v>
      </c>
      <c r="E7" s="7" t="s">
        <v>1140</v>
      </c>
      <c r="F7" s="7" t="s">
        <v>1141</v>
      </c>
      <c r="G7" s="7" t="s">
        <v>1142</v>
      </c>
      <c r="H7" s="7" t="s">
        <v>1143</v>
      </c>
      <c r="I7" s="7" t="s">
        <v>1144</v>
      </c>
    </row>
    <row r="8" spans="2:9" ht="124.2" x14ac:dyDescent="0.3">
      <c r="B8" s="29" t="s">
        <v>33</v>
      </c>
      <c r="C8" s="7" t="s">
        <v>1145</v>
      </c>
      <c r="D8" s="7" t="s">
        <v>1146</v>
      </c>
      <c r="E8" s="7" t="s">
        <v>1147</v>
      </c>
      <c r="F8" s="7" t="s">
        <v>1148</v>
      </c>
      <c r="G8" s="7" t="s">
        <v>1149</v>
      </c>
      <c r="H8" s="7" t="s">
        <v>1150</v>
      </c>
      <c r="I8" s="7" t="s">
        <v>1151</v>
      </c>
    </row>
    <row r="9" spans="2:9" ht="179.4" x14ac:dyDescent="0.3">
      <c r="B9" s="29" t="s">
        <v>31</v>
      </c>
      <c r="C9" s="7" t="s">
        <v>1152</v>
      </c>
      <c r="D9" s="7" t="s">
        <v>1153</v>
      </c>
      <c r="E9" s="7" t="s">
        <v>1154</v>
      </c>
      <c r="F9" s="7" t="s">
        <v>1155</v>
      </c>
      <c r="G9" s="7" t="s">
        <v>1156</v>
      </c>
      <c r="H9" s="7" t="s">
        <v>1157</v>
      </c>
      <c r="I9" s="7" t="s">
        <v>1158</v>
      </c>
    </row>
  </sheetData>
  <mergeCells count="2">
    <mergeCell ref="B2:E2"/>
    <mergeCell ref="F2:G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ADA0C-86FC-174E-B4CF-1A3909F94D0F}">
  <sheetPr codeName="Sheet9">
    <tabColor rgb="FF92D050"/>
  </sheetPr>
  <dimension ref="B2:I101"/>
  <sheetViews>
    <sheetView topLeftCell="E1" workbookViewId="0">
      <selection activeCell="I32" sqref="I32"/>
    </sheetView>
  </sheetViews>
  <sheetFormatPr defaultColWidth="10.77734375" defaultRowHeight="13.8" x14ac:dyDescent="0.25"/>
  <cols>
    <col min="1" max="2" width="10.77734375" style="2"/>
    <col min="3" max="3" width="37" style="2" customWidth="1"/>
    <col min="4" max="4" width="31.44140625" style="2" bestFit="1" customWidth="1"/>
    <col min="5" max="5" width="37.44140625" style="2" bestFit="1" customWidth="1"/>
    <col min="6" max="7" width="10.77734375" style="2"/>
    <col min="8" max="8" width="11.21875" style="2" bestFit="1" customWidth="1"/>
    <col min="9" max="9" width="34.21875" style="2" bestFit="1" customWidth="1"/>
    <col min="10" max="16384" width="10.77734375" style="2"/>
  </cols>
  <sheetData>
    <row r="2" spans="2:9" x14ac:dyDescent="0.25">
      <c r="B2" s="30" t="s">
        <v>1159</v>
      </c>
      <c r="C2" s="30" t="s">
        <v>1160</v>
      </c>
      <c r="D2" s="30" t="s">
        <v>1161</v>
      </c>
      <c r="E2" s="30" t="s">
        <v>1162</v>
      </c>
      <c r="H2" s="2049" t="s">
        <v>1163</v>
      </c>
      <c r="I2" s="2049"/>
    </row>
    <row r="3" spans="2:9" x14ac:dyDescent="0.25">
      <c r="B3" s="3" t="s">
        <v>1164</v>
      </c>
      <c r="C3" s="3" t="s">
        <v>1165</v>
      </c>
      <c r="D3" s="3" t="s">
        <v>254</v>
      </c>
      <c r="E3" s="3" t="s">
        <v>1166</v>
      </c>
      <c r="H3" s="33" t="s">
        <v>1167</v>
      </c>
      <c r="I3" s="33" t="s">
        <v>264</v>
      </c>
    </row>
    <row r="4" spans="2:9" x14ac:dyDescent="0.25">
      <c r="B4" s="29" t="s">
        <v>1164</v>
      </c>
      <c r="C4" s="29" t="s">
        <v>1165</v>
      </c>
      <c r="D4" s="29" t="s">
        <v>254</v>
      </c>
      <c r="E4" s="29" t="s">
        <v>1168</v>
      </c>
      <c r="H4" s="33" t="s">
        <v>1167</v>
      </c>
      <c r="I4" s="29" t="s">
        <v>290</v>
      </c>
    </row>
    <row r="5" spans="2:9" x14ac:dyDescent="0.25">
      <c r="B5" s="29" t="s">
        <v>1164</v>
      </c>
      <c r="C5" s="29" t="s">
        <v>1165</v>
      </c>
      <c r="D5" s="29" t="s">
        <v>254</v>
      </c>
      <c r="E5" s="29" t="s">
        <v>1169</v>
      </c>
      <c r="H5" s="33" t="s">
        <v>1167</v>
      </c>
      <c r="I5" s="29" t="s">
        <v>279</v>
      </c>
    </row>
    <row r="6" spans="2:9" x14ac:dyDescent="0.25">
      <c r="B6" s="29" t="s">
        <v>1164</v>
      </c>
      <c r="C6" s="29" t="s">
        <v>1165</v>
      </c>
      <c r="D6" s="29" t="s">
        <v>254</v>
      </c>
      <c r="E6" s="29" t="s">
        <v>1170</v>
      </c>
      <c r="H6" s="33" t="s">
        <v>1171</v>
      </c>
      <c r="I6" s="29" t="s">
        <v>265</v>
      </c>
    </row>
    <row r="7" spans="2:9" x14ac:dyDescent="0.25">
      <c r="B7" s="29" t="s">
        <v>1164</v>
      </c>
      <c r="C7" s="29" t="s">
        <v>1165</v>
      </c>
      <c r="D7" s="29" t="s">
        <v>261</v>
      </c>
      <c r="E7" s="29" t="s">
        <v>1172</v>
      </c>
      <c r="H7" s="33" t="s">
        <v>1171</v>
      </c>
      <c r="I7" s="29" t="s">
        <v>280</v>
      </c>
    </row>
    <row r="8" spans="2:9" x14ac:dyDescent="0.25">
      <c r="B8" s="29" t="s">
        <v>1164</v>
      </c>
      <c r="C8" s="29" t="s">
        <v>1165</v>
      </c>
      <c r="D8" s="29" t="s">
        <v>261</v>
      </c>
      <c r="E8" s="29" t="s">
        <v>336</v>
      </c>
      <c r="H8" s="33" t="s">
        <v>282</v>
      </c>
      <c r="I8" s="29" t="s">
        <v>1173</v>
      </c>
    </row>
    <row r="9" spans="2:9" x14ac:dyDescent="0.25">
      <c r="B9" s="29" t="s">
        <v>1164</v>
      </c>
      <c r="C9" s="29" t="s">
        <v>1165</v>
      </c>
      <c r="D9" s="29" t="s">
        <v>261</v>
      </c>
      <c r="E9" s="29" t="s">
        <v>1174</v>
      </c>
      <c r="H9" s="71" t="s">
        <v>267</v>
      </c>
      <c r="I9" s="72" t="s">
        <v>1175</v>
      </c>
    </row>
    <row r="10" spans="2:9" x14ac:dyDescent="0.25">
      <c r="B10" s="29" t="s">
        <v>1164</v>
      </c>
      <c r="C10" s="29" t="s">
        <v>1165</v>
      </c>
      <c r="D10" s="29" t="s">
        <v>261</v>
      </c>
      <c r="E10" s="29" t="s">
        <v>1176</v>
      </c>
      <c r="H10" s="73" t="s">
        <v>16</v>
      </c>
      <c r="I10" s="73" t="s">
        <v>1177</v>
      </c>
    </row>
    <row r="11" spans="2:9" x14ac:dyDescent="0.25">
      <c r="B11" s="29" t="s">
        <v>1164</v>
      </c>
      <c r="C11" s="29" t="s">
        <v>1165</v>
      </c>
      <c r="D11" s="29" t="s">
        <v>261</v>
      </c>
      <c r="E11" s="29" t="s">
        <v>1178</v>
      </c>
      <c r="H11" s="73"/>
      <c r="I11" s="73" t="s">
        <v>1179</v>
      </c>
    </row>
    <row r="12" spans="2:9" x14ac:dyDescent="0.25">
      <c r="B12" s="29" t="s">
        <v>1164</v>
      </c>
      <c r="C12" s="29" t="s">
        <v>1165</v>
      </c>
      <c r="D12" s="29" t="s">
        <v>274</v>
      </c>
      <c r="E12" s="29" t="s">
        <v>1180</v>
      </c>
      <c r="H12" s="73"/>
      <c r="I12" s="73" t="s">
        <v>1181</v>
      </c>
    </row>
    <row r="13" spans="2:9" x14ac:dyDescent="0.25">
      <c r="B13" s="29" t="s">
        <v>1164</v>
      </c>
      <c r="C13" s="29" t="s">
        <v>1165</v>
      </c>
      <c r="D13" s="29" t="s">
        <v>274</v>
      </c>
      <c r="E13" s="29" t="s">
        <v>1182</v>
      </c>
      <c r="H13" s="73"/>
      <c r="I13" s="73" t="s">
        <v>1183</v>
      </c>
    </row>
    <row r="14" spans="2:9" x14ac:dyDescent="0.25">
      <c r="B14" s="29" t="s">
        <v>1164</v>
      </c>
      <c r="C14" s="29" t="s">
        <v>1165</v>
      </c>
      <c r="D14" s="29" t="s">
        <v>274</v>
      </c>
      <c r="E14" s="29" t="s">
        <v>1184</v>
      </c>
      <c r="H14" s="73"/>
      <c r="I14" s="73" t="s">
        <v>1185</v>
      </c>
    </row>
    <row r="15" spans="2:9" x14ac:dyDescent="0.25">
      <c r="B15" s="29" t="s">
        <v>1164</v>
      </c>
      <c r="C15" s="29" t="s">
        <v>1165</v>
      </c>
      <c r="D15" s="29" t="s">
        <v>274</v>
      </c>
      <c r="E15" s="29" t="s">
        <v>1186</v>
      </c>
      <c r="H15" s="73"/>
      <c r="I15" s="73" t="s">
        <v>1187</v>
      </c>
    </row>
    <row r="16" spans="2:9" x14ac:dyDescent="0.25">
      <c r="B16" s="29" t="s">
        <v>1164</v>
      </c>
      <c r="C16" s="29" t="s">
        <v>1165</v>
      </c>
      <c r="D16" s="29" t="s">
        <v>274</v>
      </c>
      <c r="E16" s="29" t="s">
        <v>1188</v>
      </c>
      <c r="H16" s="73"/>
      <c r="I16" s="73" t="s">
        <v>1189</v>
      </c>
    </row>
    <row r="17" spans="2:9" x14ac:dyDescent="0.25">
      <c r="B17" s="29" t="s">
        <v>1164</v>
      </c>
      <c r="C17" s="29" t="s">
        <v>1190</v>
      </c>
      <c r="D17" s="29" t="s">
        <v>287</v>
      </c>
      <c r="E17" s="34"/>
      <c r="H17" s="73"/>
      <c r="I17" s="73" t="s">
        <v>1191</v>
      </c>
    </row>
    <row r="18" spans="2:9" x14ac:dyDescent="0.25">
      <c r="B18" s="29" t="s">
        <v>1192</v>
      </c>
      <c r="C18" s="29" t="s">
        <v>1193</v>
      </c>
      <c r="D18" s="29" t="s">
        <v>296</v>
      </c>
      <c r="E18" s="29" t="s">
        <v>1194</v>
      </c>
      <c r="H18" s="73"/>
      <c r="I18" s="73" t="s">
        <v>1195</v>
      </c>
    </row>
    <row r="19" spans="2:9" x14ac:dyDescent="0.25">
      <c r="B19" s="29" t="s">
        <v>1192</v>
      </c>
      <c r="C19" s="29" t="s">
        <v>1193</v>
      </c>
      <c r="D19" s="29" t="s">
        <v>296</v>
      </c>
      <c r="E19" s="29" t="s">
        <v>1196</v>
      </c>
      <c r="H19" s="73" t="s">
        <v>1197</v>
      </c>
      <c r="I19" s="73" t="s">
        <v>1198</v>
      </c>
    </row>
    <row r="20" spans="2:9" x14ac:dyDescent="0.25">
      <c r="B20" s="29" t="s">
        <v>1192</v>
      </c>
      <c r="C20" s="29" t="s">
        <v>1193</v>
      </c>
      <c r="D20" s="29" t="s">
        <v>304</v>
      </c>
      <c r="E20" s="29" t="s">
        <v>1199</v>
      </c>
      <c r="H20" s="73" t="s">
        <v>16</v>
      </c>
      <c r="I20" s="73" t="s">
        <v>1200</v>
      </c>
    </row>
    <row r="21" spans="2:9" x14ac:dyDescent="0.25">
      <c r="B21" s="29" t="s">
        <v>1192</v>
      </c>
      <c r="C21" s="29" t="s">
        <v>1193</v>
      </c>
      <c r="D21" s="29" t="s">
        <v>304</v>
      </c>
      <c r="E21" s="29" t="s">
        <v>1201</v>
      </c>
      <c r="H21" s="73" t="s">
        <v>1197</v>
      </c>
      <c r="I21" s="73" t="s">
        <v>1202</v>
      </c>
    </row>
    <row r="22" spans="2:9" x14ac:dyDescent="0.25">
      <c r="B22" s="29" t="s">
        <v>204</v>
      </c>
      <c r="C22" s="29"/>
      <c r="D22" s="35" t="s">
        <v>262</v>
      </c>
      <c r="E22" s="36" t="s">
        <v>1203</v>
      </c>
      <c r="H22" s="33" t="s">
        <v>1171</v>
      </c>
      <c r="I22" s="73" t="s">
        <v>1204</v>
      </c>
    </row>
    <row r="23" spans="2:9" x14ac:dyDescent="0.25">
      <c r="B23" s="29" t="s">
        <v>204</v>
      </c>
      <c r="C23" s="29"/>
      <c r="D23" s="35" t="s">
        <v>262</v>
      </c>
      <c r="E23" s="36" t="s">
        <v>1205</v>
      </c>
      <c r="H23" s="33" t="s">
        <v>1171</v>
      </c>
      <c r="I23" s="73" t="s">
        <v>1206</v>
      </c>
    </row>
    <row r="24" spans="2:9" x14ac:dyDescent="0.25">
      <c r="B24" s="29" t="s">
        <v>204</v>
      </c>
      <c r="C24" s="29"/>
      <c r="D24" s="35" t="s">
        <v>262</v>
      </c>
      <c r="E24" s="36" t="s">
        <v>1207</v>
      </c>
      <c r="H24" s="73"/>
      <c r="I24" s="73"/>
    </row>
    <row r="25" spans="2:9" x14ac:dyDescent="0.25">
      <c r="B25" s="29" t="s">
        <v>204</v>
      </c>
      <c r="C25" s="29"/>
      <c r="D25" s="35" t="s">
        <v>262</v>
      </c>
      <c r="E25" s="36" t="s">
        <v>1208</v>
      </c>
    </row>
    <row r="26" spans="2:9" x14ac:dyDescent="0.25">
      <c r="B26" s="29" t="s">
        <v>204</v>
      </c>
      <c r="C26" s="29"/>
      <c r="D26" s="35" t="s">
        <v>262</v>
      </c>
      <c r="E26" s="36" t="s">
        <v>1209</v>
      </c>
    </row>
    <row r="27" spans="2:9" x14ac:dyDescent="0.25">
      <c r="B27" s="29" t="s">
        <v>204</v>
      </c>
      <c r="C27" s="29"/>
      <c r="D27" s="35" t="s">
        <v>262</v>
      </c>
      <c r="E27" s="36" t="s">
        <v>1210</v>
      </c>
    </row>
    <row r="28" spans="2:9" x14ac:dyDescent="0.25">
      <c r="B28" s="29" t="s">
        <v>204</v>
      </c>
      <c r="C28" s="29"/>
      <c r="D28" s="35" t="s">
        <v>262</v>
      </c>
      <c r="E28" s="36" t="s">
        <v>1211</v>
      </c>
    </row>
    <row r="29" spans="2:9" x14ac:dyDescent="0.25">
      <c r="B29" s="29" t="s">
        <v>204</v>
      </c>
      <c r="C29" s="29"/>
      <c r="D29" s="35" t="s">
        <v>262</v>
      </c>
      <c r="E29" s="36" t="s">
        <v>1212</v>
      </c>
    </row>
    <row r="30" spans="2:9" x14ac:dyDescent="0.25">
      <c r="B30" s="29" t="s">
        <v>204</v>
      </c>
      <c r="C30" s="29"/>
      <c r="D30" s="35" t="s">
        <v>262</v>
      </c>
      <c r="E30" s="36" t="s">
        <v>1213</v>
      </c>
    </row>
    <row r="31" spans="2:9" x14ac:dyDescent="0.25">
      <c r="B31" s="29" t="s">
        <v>204</v>
      </c>
      <c r="C31" s="29"/>
      <c r="D31" s="35" t="s">
        <v>317</v>
      </c>
      <c r="E31" s="36" t="s">
        <v>1214</v>
      </c>
    </row>
    <row r="32" spans="2:9" x14ac:dyDescent="0.25">
      <c r="B32" s="29" t="s">
        <v>204</v>
      </c>
      <c r="C32" s="29"/>
      <c r="D32" s="35" t="s">
        <v>317</v>
      </c>
      <c r="E32" s="36" t="s">
        <v>1215</v>
      </c>
    </row>
    <row r="33" spans="2:5" x14ac:dyDescent="0.25">
      <c r="B33" s="29" t="s">
        <v>204</v>
      </c>
      <c r="C33" s="29"/>
      <c r="D33" s="35" t="s">
        <v>317</v>
      </c>
      <c r="E33" s="36" t="s">
        <v>1216</v>
      </c>
    </row>
    <row r="34" spans="2:5" x14ac:dyDescent="0.25">
      <c r="B34" s="29" t="s">
        <v>204</v>
      </c>
      <c r="C34" s="29"/>
      <c r="D34" s="35" t="s">
        <v>317</v>
      </c>
      <c r="E34" s="36" t="s">
        <v>1217</v>
      </c>
    </row>
    <row r="35" spans="2:5" x14ac:dyDescent="0.25">
      <c r="B35" s="29" t="s">
        <v>204</v>
      </c>
      <c r="C35" s="29"/>
      <c r="D35" s="35" t="s">
        <v>317</v>
      </c>
      <c r="E35" s="36" t="s">
        <v>1218</v>
      </c>
    </row>
    <row r="36" spans="2:5" x14ac:dyDescent="0.25">
      <c r="B36" s="29" t="s">
        <v>204</v>
      </c>
      <c r="C36" s="29"/>
      <c r="D36" s="35" t="s">
        <v>317</v>
      </c>
      <c r="E36" s="36" t="s">
        <v>290</v>
      </c>
    </row>
    <row r="37" spans="2:5" x14ac:dyDescent="0.25">
      <c r="B37" s="29" t="s">
        <v>204</v>
      </c>
      <c r="C37" s="29"/>
      <c r="D37" s="35" t="s">
        <v>317</v>
      </c>
      <c r="E37" s="36" t="s">
        <v>1219</v>
      </c>
    </row>
    <row r="38" spans="2:5" x14ac:dyDescent="0.25">
      <c r="B38" s="29" t="s">
        <v>204</v>
      </c>
      <c r="C38" s="29"/>
      <c r="D38" s="35" t="s">
        <v>317</v>
      </c>
      <c r="E38" s="36" t="s">
        <v>1220</v>
      </c>
    </row>
    <row r="39" spans="2:5" x14ac:dyDescent="0.25">
      <c r="B39" s="29" t="s">
        <v>204</v>
      </c>
      <c r="C39" s="29" t="s">
        <v>1221</v>
      </c>
      <c r="D39" s="37" t="s">
        <v>322</v>
      </c>
      <c r="E39" s="37" t="s">
        <v>322</v>
      </c>
    </row>
    <row r="40" spans="2:5" x14ac:dyDescent="0.25">
      <c r="B40" s="29" t="s">
        <v>204</v>
      </c>
      <c r="C40" s="29" t="s">
        <v>1222</v>
      </c>
      <c r="D40" s="37" t="s">
        <v>325</v>
      </c>
      <c r="E40" s="37" t="s">
        <v>1178</v>
      </c>
    </row>
    <row r="41" spans="2:5" x14ac:dyDescent="0.25">
      <c r="B41" s="29" t="s">
        <v>204</v>
      </c>
      <c r="C41" s="29" t="s">
        <v>1222</v>
      </c>
      <c r="D41" s="37" t="s">
        <v>325</v>
      </c>
      <c r="E41" s="37" t="s">
        <v>1223</v>
      </c>
    </row>
    <row r="42" spans="2:5" x14ac:dyDescent="0.25">
      <c r="B42" s="29" t="s">
        <v>204</v>
      </c>
      <c r="C42" s="29" t="s">
        <v>1222</v>
      </c>
      <c r="D42" s="37" t="s">
        <v>325</v>
      </c>
      <c r="E42" s="37" t="s">
        <v>1174</v>
      </c>
    </row>
    <row r="43" spans="2:5" x14ac:dyDescent="0.25">
      <c r="B43" s="29" t="s">
        <v>204</v>
      </c>
      <c r="C43" s="29" t="s">
        <v>1222</v>
      </c>
      <c r="D43" s="37" t="s">
        <v>325</v>
      </c>
      <c r="E43" s="37" t="s">
        <v>1172</v>
      </c>
    </row>
    <row r="44" spans="2:5" x14ac:dyDescent="0.25">
      <c r="B44" s="29" t="s">
        <v>204</v>
      </c>
      <c r="C44" s="29"/>
      <c r="D44" s="35" t="s">
        <v>288</v>
      </c>
      <c r="E44" s="36" t="s">
        <v>1224</v>
      </c>
    </row>
    <row r="45" spans="2:5" x14ac:dyDescent="0.25">
      <c r="B45" s="29" t="s">
        <v>204</v>
      </c>
      <c r="C45" s="29"/>
      <c r="D45" s="35" t="s">
        <v>288</v>
      </c>
      <c r="E45" s="36" t="s">
        <v>1225</v>
      </c>
    </row>
    <row r="46" spans="2:5" x14ac:dyDescent="0.25">
      <c r="B46" s="29" t="s">
        <v>204</v>
      </c>
      <c r="C46" s="29"/>
      <c r="D46" s="35" t="s">
        <v>288</v>
      </c>
      <c r="E46" s="36" t="s">
        <v>1226</v>
      </c>
    </row>
    <row r="47" spans="2:5" x14ac:dyDescent="0.25">
      <c r="B47" s="29" t="s">
        <v>204</v>
      </c>
      <c r="C47" s="29"/>
      <c r="D47" s="35" t="s">
        <v>288</v>
      </c>
      <c r="E47" s="36" t="s">
        <v>1227</v>
      </c>
    </row>
    <row r="48" spans="2:5" x14ac:dyDescent="0.25">
      <c r="B48" s="29" t="s">
        <v>204</v>
      </c>
      <c r="C48" s="29"/>
      <c r="D48" s="35" t="s">
        <v>288</v>
      </c>
      <c r="E48" s="36" t="s">
        <v>1228</v>
      </c>
    </row>
    <row r="49" spans="2:5" x14ac:dyDescent="0.25">
      <c r="B49" s="29" t="s">
        <v>204</v>
      </c>
      <c r="C49" s="29"/>
      <c r="D49" s="35" t="s">
        <v>288</v>
      </c>
      <c r="E49" s="36" t="s">
        <v>1229</v>
      </c>
    </row>
    <row r="50" spans="2:5" x14ac:dyDescent="0.25">
      <c r="B50" s="29" t="s">
        <v>204</v>
      </c>
      <c r="C50" s="29"/>
      <c r="D50" s="35" t="s">
        <v>288</v>
      </c>
      <c r="E50" s="36" t="s">
        <v>1230</v>
      </c>
    </row>
    <row r="51" spans="2:5" x14ac:dyDescent="0.25">
      <c r="B51" s="29" t="s">
        <v>204</v>
      </c>
      <c r="C51" s="29"/>
      <c r="D51" s="35" t="s">
        <v>288</v>
      </c>
      <c r="E51" s="36" t="s">
        <v>318</v>
      </c>
    </row>
    <row r="52" spans="2:5" x14ac:dyDescent="0.25">
      <c r="B52" s="29" t="s">
        <v>204</v>
      </c>
      <c r="C52" s="29" t="s">
        <v>1222</v>
      </c>
      <c r="D52" s="37" t="s">
        <v>331</v>
      </c>
      <c r="E52" s="38" t="s">
        <v>1231</v>
      </c>
    </row>
    <row r="53" spans="2:5" x14ac:dyDescent="0.25">
      <c r="B53" s="29" t="s">
        <v>204</v>
      </c>
      <c r="C53" s="29"/>
      <c r="D53" s="35" t="s">
        <v>276</v>
      </c>
      <c r="E53" s="35" t="s">
        <v>1232</v>
      </c>
    </row>
    <row r="54" spans="2:5" x14ac:dyDescent="0.25">
      <c r="B54" s="29" t="s">
        <v>204</v>
      </c>
      <c r="C54" s="29"/>
      <c r="D54" s="35" t="s">
        <v>276</v>
      </c>
      <c r="E54" s="35" t="s">
        <v>1233</v>
      </c>
    </row>
    <row r="55" spans="2:5" x14ac:dyDescent="0.25">
      <c r="B55" s="29" t="s">
        <v>204</v>
      </c>
      <c r="C55" s="29"/>
      <c r="D55" s="35" t="s">
        <v>276</v>
      </c>
      <c r="E55" s="35" t="s">
        <v>1234</v>
      </c>
    </row>
    <row r="56" spans="2:5" x14ac:dyDescent="0.25">
      <c r="B56" s="29" t="s">
        <v>204</v>
      </c>
      <c r="C56" s="29"/>
      <c r="D56" s="35" t="s">
        <v>276</v>
      </c>
      <c r="E56" s="35" t="s">
        <v>1235</v>
      </c>
    </row>
    <row r="57" spans="2:5" x14ac:dyDescent="0.25">
      <c r="B57" s="29" t="s">
        <v>204</v>
      </c>
      <c r="C57" s="29"/>
      <c r="D57" s="35" t="s">
        <v>276</v>
      </c>
      <c r="E57" s="35" t="s">
        <v>1236</v>
      </c>
    </row>
    <row r="58" spans="2:5" x14ac:dyDescent="0.25">
      <c r="B58" s="29" t="s">
        <v>204</v>
      </c>
      <c r="C58" s="29"/>
      <c r="D58" s="35" t="s">
        <v>276</v>
      </c>
      <c r="E58" s="35" t="s">
        <v>1237</v>
      </c>
    </row>
    <row r="59" spans="2:5" x14ac:dyDescent="0.25">
      <c r="B59" s="29" t="s">
        <v>204</v>
      </c>
      <c r="C59" s="29"/>
      <c r="D59" s="35" t="s">
        <v>276</v>
      </c>
      <c r="E59" s="35" t="s">
        <v>1238</v>
      </c>
    </row>
    <row r="60" spans="2:5" x14ac:dyDescent="0.25">
      <c r="B60" s="29" t="s">
        <v>204</v>
      </c>
      <c r="C60" s="29"/>
      <c r="D60" s="35" t="s">
        <v>276</v>
      </c>
      <c r="E60" s="35" t="s">
        <v>1239</v>
      </c>
    </row>
    <row r="61" spans="2:5" x14ac:dyDescent="0.25">
      <c r="B61" s="29" t="s">
        <v>204</v>
      </c>
      <c r="C61" s="29"/>
      <c r="D61" s="35" t="s">
        <v>276</v>
      </c>
      <c r="E61" s="35" t="s">
        <v>1240</v>
      </c>
    </row>
    <row r="62" spans="2:5" x14ac:dyDescent="0.25">
      <c r="B62" s="29" t="s">
        <v>204</v>
      </c>
      <c r="C62" s="29" t="s">
        <v>1222</v>
      </c>
      <c r="D62" s="37" t="s">
        <v>334</v>
      </c>
      <c r="E62" s="37" t="s">
        <v>1186</v>
      </c>
    </row>
    <row r="63" spans="2:5" x14ac:dyDescent="0.25">
      <c r="B63" s="29" t="s">
        <v>204</v>
      </c>
      <c r="C63" s="29" t="s">
        <v>1222</v>
      </c>
      <c r="D63" s="37" t="s">
        <v>334</v>
      </c>
      <c r="E63" s="37" t="s">
        <v>1188</v>
      </c>
    </row>
    <row r="64" spans="2:5" x14ac:dyDescent="0.25">
      <c r="B64" s="29" t="s">
        <v>204</v>
      </c>
      <c r="C64" s="29" t="s">
        <v>1222</v>
      </c>
      <c r="D64" s="37" t="s">
        <v>334</v>
      </c>
      <c r="E64" s="37" t="s">
        <v>1184</v>
      </c>
    </row>
    <row r="65" spans="2:5" x14ac:dyDescent="0.25">
      <c r="B65" s="29" t="s">
        <v>204</v>
      </c>
      <c r="C65" s="29" t="s">
        <v>1222</v>
      </c>
      <c r="D65" s="37" t="s">
        <v>334</v>
      </c>
      <c r="E65" s="37" t="s">
        <v>1241</v>
      </c>
    </row>
    <row r="66" spans="2:5" x14ac:dyDescent="0.25">
      <c r="B66" s="29" t="s">
        <v>204</v>
      </c>
      <c r="C66" s="29" t="s">
        <v>1222</v>
      </c>
      <c r="D66" s="37" t="s">
        <v>334</v>
      </c>
      <c r="E66" s="37" t="s">
        <v>1242</v>
      </c>
    </row>
    <row r="67" spans="2:5" x14ac:dyDescent="0.25">
      <c r="B67" s="29" t="s">
        <v>204</v>
      </c>
      <c r="C67" s="29"/>
      <c r="D67" s="35" t="s">
        <v>336</v>
      </c>
      <c r="E67" s="36" t="s">
        <v>336</v>
      </c>
    </row>
    <row r="68" spans="2:5" x14ac:dyDescent="0.25">
      <c r="B68" s="29" t="s">
        <v>1243</v>
      </c>
      <c r="C68" s="29" t="s">
        <v>1244</v>
      </c>
      <c r="D68" s="29" t="s">
        <v>1245</v>
      </c>
      <c r="E68" s="29" t="s">
        <v>1246</v>
      </c>
    </row>
    <row r="69" spans="2:5" x14ac:dyDescent="0.25">
      <c r="B69" s="29" t="s">
        <v>1243</v>
      </c>
      <c r="C69" s="29" t="s">
        <v>1244</v>
      </c>
      <c r="D69" s="29" t="s">
        <v>1245</v>
      </c>
      <c r="E69" s="29" t="s">
        <v>1247</v>
      </c>
    </row>
    <row r="70" spans="2:5" x14ac:dyDescent="0.25">
      <c r="B70" s="29" t="s">
        <v>1243</v>
      </c>
      <c r="C70" s="29" t="s">
        <v>1244</v>
      </c>
      <c r="D70" s="29" t="s">
        <v>1245</v>
      </c>
      <c r="E70" s="29" t="s">
        <v>1248</v>
      </c>
    </row>
    <row r="71" spans="2:5" x14ac:dyDescent="0.25">
      <c r="B71" s="29" t="s">
        <v>1243</v>
      </c>
      <c r="C71" s="29" t="s">
        <v>1244</v>
      </c>
      <c r="D71" s="29" t="s">
        <v>1249</v>
      </c>
      <c r="E71" s="29"/>
    </row>
    <row r="72" spans="2:5" x14ac:dyDescent="0.25">
      <c r="B72" s="29" t="s">
        <v>1243</v>
      </c>
      <c r="C72" s="29" t="s">
        <v>1244</v>
      </c>
      <c r="D72" s="29" t="s">
        <v>1250</v>
      </c>
      <c r="E72" s="29"/>
    </row>
    <row r="73" spans="2:5" x14ac:dyDescent="0.25">
      <c r="B73" s="29" t="s">
        <v>1164</v>
      </c>
      <c r="C73" s="29" t="s">
        <v>1251</v>
      </c>
      <c r="D73" s="29" t="s">
        <v>338</v>
      </c>
      <c r="E73" s="34"/>
    </row>
    <row r="74" spans="2:5" x14ac:dyDescent="0.25">
      <c r="B74" s="29" t="s">
        <v>1164</v>
      </c>
      <c r="C74" s="29" t="s">
        <v>1251</v>
      </c>
      <c r="D74" s="29" t="s">
        <v>340</v>
      </c>
      <c r="E74" s="34"/>
    </row>
    <row r="75" spans="2:5" x14ac:dyDescent="0.25">
      <c r="B75" s="29" t="s">
        <v>1164</v>
      </c>
      <c r="C75" s="29" t="s">
        <v>1251</v>
      </c>
      <c r="D75" s="29" t="s">
        <v>342</v>
      </c>
      <c r="E75" s="34"/>
    </row>
    <row r="76" spans="2:5" x14ac:dyDescent="0.25">
      <c r="B76" s="29" t="s">
        <v>1164</v>
      </c>
      <c r="C76" s="29" t="s">
        <v>1251</v>
      </c>
      <c r="D76" s="29" t="s">
        <v>344</v>
      </c>
      <c r="E76" s="34"/>
    </row>
    <row r="77" spans="2:5" x14ac:dyDescent="0.25">
      <c r="B77" s="29" t="s">
        <v>1164</v>
      </c>
      <c r="C77" s="29" t="s">
        <v>1251</v>
      </c>
      <c r="D77" s="29" t="s">
        <v>347</v>
      </c>
      <c r="E77" s="34"/>
    </row>
    <row r="78" spans="2:5" x14ac:dyDescent="0.25">
      <c r="B78" s="29" t="s">
        <v>1164</v>
      </c>
      <c r="C78" s="29" t="s">
        <v>1251</v>
      </c>
      <c r="D78" s="29" t="s">
        <v>349</v>
      </c>
      <c r="E78" s="34"/>
    </row>
    <row r="79" spans="2:5" x14ac:dyDescent="0.25">
      <c r="B79" s="29" t="s">
        <v>1164</v>
      </c>
      <c r="C79" s="29" t="s">
        <v>1251</v>
      </c>
      <c r="D79" s="29" t="s">
        <v>351</v>
      </c>
      <c r="E79" s="34"/>
    </row>
    <row r="80" spans="2:5" x14ac:dyDescent="0.25">
      <c r="B80" s="29" t="s">
        <v>1252</v>
      </c>
      <c r="C80" s="29" t="s">
        <v>1222</v>
      </c>
      <c r="D80" s="29" t="s">
        <v>354</v>
      </c>
      <c r="E80" s="29" t="s">
        <v>1253</v>
      </c>
    </row>
    <row r="81" spans="2:5" x14ac:dyDescent="0.25">
      <c r="B81" s="29" t="s">
        <v>1252</v>
      </c>
      <c r="C81" s="29" t="s">
        <v>1222</v>
      </c>
      <c r="D81" s="29" t="s">
        <v>354</v>
      </c>
      <c r="E81" s="29" t="s">
        <v>336</v>
      </c>
    </row>
    <row r="82" spans="2:5" x14ac:dyDescent="0.25">
      <c r="B82" s="29" t="s">
        <v>1252</v>
      </c>
      <c r="C82" s="29" t="s">
        <v>1222</v>
      </c>
      <c r="D82" s="29" t="s">
        <v>354</v>
      </c>
      <c r="E82" s="29" t="s">
        <v>1174</v>
      </c>
    </row>
    <row r="83" spans="2:5" x14ac:dyDescent="0.25">
      <c r="B83" s="29" t="s">
        <v>1252</v>
      </c>
      <c r="C83" s="29" t="s">
        <v>1222</v>
      </c>
      <c r="D83" s="29" t="s">
        <v>354</v>
      </c>
      <c r="E83" s="29" t="s">
        <v>1176</v>
      </c>
    </row>
    <row r="84" spans="2:5" x14ac:dyDescent="0.25">
      <c r="B84" s="29" t="s">
        <v>1252</v>
      </c>
      <c r="C84" s="29" t="s">
        <v>1222</v>
      </c>
      <c r="D84" s="29" t="s">
        <v>354</v>
      </c>
      <c r="E84" s="29" t="s">
        <v>1178</v>
      </c>
    </row>
    <row r="85" spans="2:5" x14ac:dyDescent="0.25">
      <c r="B85" s="29" t="s">
        <v>1252</v>
      </c>
      <c r="C85" s="29" t="s">
        <v>1222</v>
      </c>
      <c r="D85" s="29" t="s">
        <v>356</v>
      </c>
      <c r="E85" s="29" t="s">
        <v>1170</v>
      </c>
    </row>
    <row r="86" spans="2:5" x14ac:dyDescent="0.25">
      <c r="B86" s="29" t="s">
        <v>1192</v>
      </c>
      <c r="C86" s="29" t="s">
        <v>1254</v>
      </c>
      <c r="D86" s="29" t="s">
        <v>358</v>
      </c>
      <c r="E86" s="29" t="s">
        <v>1255</v>
      </c>
    </row>
    <row r="87" spans="2:5" x14ac:dyDescent="0.25">
      <c r="B87" s="29" t="s">
        <v>1192</v>
      </c>
      <c r="C87" s="29" t="s">
        <v>1254</v>
      </c>
      <c r="D87" s="29" t="s">
        <v>358</v>
      </c>
      <c r="E87" s="29" t="s">
        <v>1256</v>
      </c>
    </row>
    <row r="88" spans="2:5" x14ac:dyDescent="0.25">
      <c r="B88" s="29" t="s">
        <v>1192</v>
      </c>
      <c r="C88" s="29" t="s">
        <v>1254</v>
      </c>
      <c r="D88" s="29" t="s">
        <v>358</v>
      </c>
      <c r="E88" s="29" t="s">
        <v>1257</v>
      </c>
    </row>
    <row r="89" spans="2:5" x14ac:dyDescent="0.25">
      <c r="B89" s="29" t="s">
        <v>1192</v>
      </c>
      <c r="C89" s="29" t="s">
        <v>1254</v>
      </c>
      <c r="D89" s="29" t="s">
        <v>360</v>
      </c>
      <c r="E89" s="29" t="s">
        <v>1258</v>
      </c>
    </row>
    <row r="90" spans="2:5" x14ac:dyDescent="0.25">
      <c r="B90" s="29" t="s">
        <v>1192</v>
      </c>
      <c r="C90" s="29" t="s">
        <v>1254</v>
      </c>
      <c r="D90" s="29" t="s">
        <v>360</v>
      </c>
      <c r="E90" s="29" t="s">
        <v>1259</v>
      </c>
    </row>
    <row r="91" spans="2:5" x14ac:dyDescent="0.25">
      <c r="B91" s="29" t="s">
        <v>1192</v>
      </c>
      <c r="C91" s="29" t="s">
        <v>1254</v>
      </c>
      <c r="D91" s="29" t="s">
        <v>362</v>
      </c>
      <c r="E91" s="29" t="s">
        <v>1260</v>
      </c>
    </row>
    <row r="92" spans="2:5" x14ac:dyDescent="0.25">
      <c r="B92" s="29" t="s">
        <v>1192</v>
      </c>
      <c r="C92" s="29" t="s">
        <v>1254</v>
      </c>
      <c r="D92" s="29" t="s">
        <v>362</v>
      </c>
      <c r="E92" s="29" t="s">
        <v>1261</v>
      </c>
    </row>
    <row r="93" spans="2:5" x14ac:dyDescent="0.25">
      <c r="B93" s="29" t="s">
        <v>1192</v>
      </c>
      <c r="C93" s="29" t="s">
        <v>1254</v>
      </c>
      <c r="D93" s="29" t="s">
        <v>362</v>
      </c>
      <c r="E93" s="29" t="s">
        <v>1262</v>
      </c>
    </row>
    <row r="94" spans="2:5" x14ac:dyDescent="0.25">
      <c r="B94" s="29" t="s">
        <v>1192</v>
      </c>
      <c r="C94" s="29" t="s">
        <v>1254</v>
      </c>
      <c r="D94" s="29" t="s">
        <v>364</v>
      </c>
      <c r="E94" s="29" t="s">
        <v>1263</v>
      </c>
    </row>
    <row r="95" spans="2:5" x14ac:dyDescent="0.25">
      <c r="B95" s="29" t="s">
        <v>1192</v>
      </c>
      <c r="C95" s="29" t="s">
        <v>1254</v>
      </c>
      <c r="D95" s="29" t="s">
        <v>364</v>
      </c>
      <c r="E95" s="29" t="s">
        <v>1264</v>
      </c>
    </row>
    <row r="96" spans="2:5" x14ac:dyDescent="0.25">
      <c r="B96" s="29" t="s">
        <v>1192</v>
      </c>
      <c r="C96" s="29" t="s">
        <v>1254</v>
      </c>
      <c r="D96" s="29" t="s">
        <v>366</v>
      </c>
      <c r="E96" s="29" t="s">
        <v>1265</v>
      </c>
    </row>
    <row r="97" spans="2:5" x14ac:dyDescent="0.25">
      <c r="B97" s="29" t="s">
        <v>1192</v>
      </c>
      <c r="C97" s="29" t="s">
        <v>1254</v>
      </c>
      <c r="D97" s="29" t="s">
        <v>366</v>
      </c>
      <c r="E97" s="29" t="s">
        <v>1266</v>
      </c>
    </row>
    <row r="98" spans="2:5" x14ac:dyDescent="0.25">
      <c r="B98" s="29" t="s">
        <v>1192</v>
      </c>
      <c r="C98" s="29" t="s">
        <v>1254</v>
      </c>
      <c r="D98" s="29" t="s">
        <v>366</v>
      </c>
      <c r="E98" s="29" t="s">
        <v>1267</v>
      </c>
    </row>
    <row r="99" spans="2:5" x14ac:dyDescent="0.25">
      <c r="B99" s="29" t="s">
        <v>1192</v>
      </c>
      <c r="C99" s="29" t="s">
        <v>1254</v>
      </c>
      <c r="D99" s="29" t="s">
        <v>368</v>
      </c>
      <c r="E99" s="29" t="s">
        <v>1268</v>
      </c>
    </row>
    <row r="100" spans="2:5" x14ac:dyDescent="0.25">
      <c r="B100" s="29" t="s">
        <v>1192</v>
      </c>
      <c r="C100" s="29" t="s">
        <v>1254</v>
      </c>
      <c r="D100" s="29" t="s">
        <v>368</v>
      </c>
      <c r="E100" s="29" t="s">
        <v>1269</v>
      </c>
    </row>
    <row r="101" spans="2:5" x14ac:dyDescent="0.25">
      <c r="B101" s="29" t="s">
        <v>1192</v>
      </c>
      <c r="C101" s="29" t="s">
        <v>1254</v>
      </c>
      <c r="D101" s="29" t="s">
        <v>368</v>
      </c>
      <c r="E101" s="29" t="s">
        <v>1270</v>
      </c>
    </row>
  </sheetData>
  <mergeCells count="1">
    <mergeCell ref="H2:I2"/>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2E7BE-8A51-5045-94E6-5508CC4360BC}">
  <sheetPr codeName="Sheet11">
    <tabColor rgb="FF92D050"/>
    <pageSetUpPr autoPageBreaks="0"/>
  </sheetPr>
  <dimension ref="A1:I82"/>
  <sheetViews>
    <sheetView showGridLines="0" topLeftCell="A22" zoomScale="95" zoomScaleNormal="95" workbookViewId="0">
      <selection activeCell="E31" sqref="E31"/>
    </sheetView>
  </sheetViews>
  <sheetFormatPr defaultColWidth="8.77734375" defaultRowHeight="13.8" x14ac:dyDescent="0.25"/>
  <cols>
    <col min="1" max="1" width="6.44140625" style="2" customWidth="1"/>
    <col min="2" max="2" width="30" style="2" bestFit="1" customWidth="1"/>
    <col min="3" max="3" width="36.44140625" style="2" bestFit="1" customWidth="1"/>
    <col min="4" max="7" width="35.44140625" style="2" customWidth="1"/>
    <col min="8" max="8" width="19.44140625" style="1" customWidth="1"/>
    <col min="9" max="9" width="25.77734375" style="1" customWidth="1"/>
    <col min="10" max="10" width="41.21875" style="2" customWidth="1"/>
    <col min="11" max="11" width="32.21875" style="2" customWidth="1"/>
    <col min="12" max="12" width="18.44140625" style="2" customWidth="1"/>
    <col min="13" max="13" width="29.44140625" style="2" customWidth="1"/>
    <col min="14" max="14" width="35.77734375" style="2" customWidth="1"/>
    <col min="15" max="15" width="28.44140625" style="2" customWidth="1"/>
    <col min="16" max="16" width="26.44140625" style="2" customWidth="1"/>
    <col min="17" max="16384" width="8.77734375" style="2"/>
  </cols>
  <sheetData>
    <row r="1" spans="1:9" ht="14.25" customHeight="1" x14ac:dyDescent="0.25">
      <c r="A1" s="2059"/>
      <c r="B1" s="2059"/>
      <c r="C1" s="2059"/>
      <c r="D1" s="134"/>
      <c r="E1" s="134"/>
      <c r="F1" s="134"/>
      <c r="G1" s="134"/>
    </row>
    <row r="2" spans="1:9" ht="14.25" customHeight="1" x14ac:dyDescent="0.25">
      <c r="A2" s="2059"/>
      <c r="B2" s="2059"/>
      <c r="C2" s="2059"/>
      <c r="D2" s="134"/>
      <c r="E2" s="134"/>
      <c r="F2" s="134"/>
      <c r="G2" s="134"/>
    </row>
    <row r="3" spans="1:9" ht="24.6" x14ac:dyDescent="0.4">
      <c r="B3" s="78" t="s">
        <v>1271</v>
      </c>
      <c r="C3" s="79"/>
      <c r="D3" s="79"/>
      <c r="E3" s="70"/>
      <c r="F3" s="70"/>
      <c r="G3" s="70"/>
    </row>
    <row r="4" spans="1:9" x14ac:dyDescent="0.25">
      <c r="B4" s="79"/>
      <c r="C4" s="79"/>
      <c r="D4" s="79"/>
      <c r="E4" s="69"/>
      <c r="F4" s="69"/>
      <c r="G4" s="69"/>
    </row>
    <row r="5" spans="1:9" x14ac:dyDescent="0.25">
      <c r="B5" s="79"/>
      <c r="C5" s="79"/>
      <c r="D5" s="79"/>
      <c r="E5" s="69"/>
      <c r="F5" s="69"/>
      <c r="G5" s="69"/>
    </row>
    <row r="6" spans="1:9" ht="17.399999999999999" x14ac:dyDescent="0.3">
      <c r="B6" s="80" t="s">
        <v>1272</v>
      </c>
      <c r="C6" s="79"/>
      <c r="D6" s="79"/>
    </row>
    <row r="7" spans="1:9" x14ac:dyDescent="0.25">
      <c r="B7" s="358"/>
      <c r="C7" s="79"/>
      <c r="D7" s="79"/>
    </row>
    <row r="8" spans="1:9" ht="17.399999999999999" x14ac:dyDescent="0.3">
      <c r="B8" s="81"/>
      <c r="C8" s="81"/>
      <c r="D8" s="80" t="s">
        <v>1273</v>
      </c>
      <c r="E8" s="64"/>
      <c r="H8" s="2"/>
      <c r="I8" s="2"/>
    </row>
    <row r="9" spans="1:9" ht="15" customHeight="1" thickBot="1" x14ac:dyDescent="0.3">
      <c r="B9" s="1"/>
      <c r="C9" s="1"/>
      <c r="H9" s="2"/>
      <c r="I9" s="2"/>
    </row>
    <row r="10" spans="1:9" ht="15" customHeight="1" thickBot="1" x14ac:dyDescent="0.3">
      <c r="B10" s="2051" t="s">
        <v>28</v>
      </c>
      <c r="C10" s="2055"/>
      <c r="D10" s="2055"/>
      <c r="E10" s="2052"/>
      <c r="F10" s="103"/>
      <c r="H10" s="2050"/>
      <c r="I10" s="2050"/>
    </row>
    <row r="11" spans="1:9" ht="15" customHeight="1" thickBot="1" x14ac:dyDescent="0.3">
      <c r="B11" s="89" t="s">
        <v>29</v>
      </c>
      <c r="C11" s="90" t="s">
        <v>1274</v>
      </c>
      <c r="D11" s="90" t="s">
        <v>301</v>
      </c>
      <c r="E11" s="90" t="s">
        <v>1275</v>
      </c>
      <c r="G11" s="83"/>
      <c r="H11" s="84"/>
      <c r="I11" s="2"/>
    </row>
    <row r="12" spans="1:9" ht="15" customHeight="1" x14ac:dyDescent="0.25">
      <c r="B12" s="92" t="s">
        <v>31</v>
      </c>
      <c r="C12" s="91">
        <v>13</v>
      </c>
      <c r="D12" s="95" t="s">
        <v>31</v>
      </c>
      <c r="E12" s="91">
        <v>20</v>
      </c>
      <c r="G12" s="4"/>
      <c r="H12" s="85"/>
      <c r="I12" s="2"/>
    </row>
    <row r="13" spans="1:9" ht="15" customHeight="1" x14ac:dyDescent="0.25">
      <c r="B13" s="93" t="s">
        <v>33</v>
      </c>
      <c r="C13" s="87">
        <v>8</v>
      </c>
      <c r="D13" s="96" t="s">
        <v>35</v>
      </c>
      <c r="E13" s="87">
        <v>10</v>
      </c>
      <c r="G13" s="4"/>
      <c r="H13" s="85"/>
      <c r="I13" s="2"/>
    </row>
    <row r="14" spans="1:9" ht="15" customHeight="1" x14ac:dyDescent="0.25">
      <c r="B14" s="93" t="s">
        <v>35</v>
      </c>
      <c r="C14" s="87">
        <v>5</v>
      </c>
      <c r="D14" s="96" t="s">
        <v>37</v>
      </c>
      <c r="E14" s="87">
        <v>5.25</v>
      </c>
      <c r="G14" s="4"/>
      <c r="H14" s="85"/>
      <c r="I14" s="2"/>
    </row>
    <row r="15" spans="1:9" ht="15" customHeight="1" x14ac:dyDescent="0.25">
      <c r="B15" s="93" t="s">
        <v>37</v>
      </c>
      <c r="C15" s="87">
        <v>3</v>
      </c>
      <c r="D15" s="96" t="s">
        <v>39</v>
      </c>
      <c r="E15" s="87">
        <v>3</v>
      </c>
      <c r="G15" s="4"/>
      <c r="H15" s="85"/>
      <c r="I15" s="2"/>
    </row>
    <row r="16" spans="1:9" ht="15" customHeight="1" x14ac:dyDescent="0.25">
      <c r="B16" s="93" t="s">
        <v>39</v>
      </c>
      <c r="C16" s="87">
        <v>3</v>
      </c>
      <c r="D16" s="96" t="s">
        <v>42</v>
      </c>
      <c r="E16" s="87">
        <v>0</v>
      </c>
      <c r="G16" s="4"/>
      <c r="H16" s="85"/>
      <c r="I16" s="2"/>
    </row>
    <row r="17" spans="2:9" ht="15" customHeight="1" x14ac:dyDescent="0.25">
      <c r="B17" s="93" t="s">
        <v>41</v>
      </c>
      <c r="C17" s="87">
        <v>1</v>
      </c>
      <c r="D17" s="96"/>
      <c r="E17" s="87"/>
      <c r="G17" s="4"/>
      <c r="H17" s="85"/>
      <c r="I17" s="2"/>
    </row>
    <row r="18" spans="2:9" ht="15" customHeight="1" thickBot="1" x14ac:dyDescent="0.3">
      <c r="B18" s="94" t="s">
        <v>42</v>
      </c>
      <c r="C18" s="88">
        <v>0</v>
      </c>
      <c r="D18" s="97"/>
      <c r="E18" s="88"/>
      <c r="G18" s="4"/>
      <c r="H18" s="85"/>
      <c r="I18" s="2"/>
    </row>
    <row r="19" spans="2:9" ht="36" customHeight="1" x14ac:dyDescent="0.25">
      <c r="B19" s="1"/>
      <c r="C19" s="39"/>
      <c r="H19" s="4"/>
      <c r="I19" s="85"/>
    </row>
    <row r="20" spans="2:9" ht="15" customHeight="1" x14ac:dyDescent="0.25">
      <c r="B20" s="1"/>
      <c r="C20" s="39"/>
      <c r="H20" s="4"/>
      <c r="I20" s="85"/>
    </row>
    <row r="21" spans="2:9" ht="16.05" customHeight="1" thickBot="1" x14ac:dyDescent="0.3">
      <c r="B21" s="1"/>
      <c r="C21" s="1"/>
      <c r="H21" s="4"/>
      <c r="I21" s="85"/>
    </row>
    <row r="22" spans="2:9" ht="15" customHeight="1" thickBot="1" x14ac:dyDescent="0.3">
      <c r="B22" s="2051" t="s">
        <v>1276</v>
      </c>
      <c r="C22" s="2052"/>
      <c r="H22" s="39"/>
      <c r="I22" s="2"/>
    </row>
    <row r="23" spans="2:9" ht="27.6" x14ac:dyDescent="0.25">
      <c r="B23" s="9" t="s">
        <v>30</v>
      </c>
      <c r="C23" s="10" t="s">
        <v>1277</v>
      </c>
      <c r="H23" s="39"/>
      <c r="I23" s="2"/>
    </row>
    <row r="24" spans="2:9" ht="17.25" customHeight="1" x14ac:dyDescent="0.25">
      <c r="B24" s="98" t="s">
        <v>32</v>
      </c>
      <c r="C24" s="99">
        <v>0.25</v>
      </c>
      <c r="H24" s="2"/>
      <c r="I24" s="2"/>
    </row>
    <row r="25" spans="2:9" x14ac:dyDescent="0.25">
      <c r="B25" s="98" t="s">
        <v>34</v>
      </c>
      <c r="C25" s="99">
        <v>0.15</v>
      </c>
      <c r="H25" s="2"/>
      <c r="I25" s="2"/>
    </row>
    <row r="26" spans="2:9" ht="15" customHeight="1" x14ac:dyDescent="0.25">
      <c r="B26" s="98" t="s">
        <v>36</v>
      </c>
      <c r="C26" s="99">
        <v>0.05</v>
      </c>
      <c r="H26" s="2"/>
      <c r="I26" s="2"/>
    </row>
    <row r="27" spans="2:9" x14ac:dyDescent="0.25">
      <c r="B27" s="98" t="s">
        <v>38</v>
      </c>
      <c r="C27" s="99">
        <v>0</v>
      </c>
      <c r="H27" s="2"/>
      <c r="I27" s="2"/>
    </row>
    <row r="28" spans="2:9" ht="16.05" customHeight="1" thickBot="1" x14ac:dyDescent="0.3">
      <c r="B28" s="100" t="s">
        <v>40</v>
      </c>
      <c r="C28" s="101">
        <v>0</v>
      </c>
      <c r="H28" s="2"/>
      <c r="I28" s="2"/>
    </row>
    <row r="29" spans="2:9" ht="16.05" customHeight="1" thickBot="1" x14ac:dyDescent="0.3">
      <c r="B29" s="1"/>
      <c r="C29" s="1"/>
      <c r="D29" s="64"/>
      <c r="H29" s="2"/>
      <c r="I29" s="2"/>
    </row>
    <row r="30" spans="2:9" ht="14.4" thickBot="1" x14ac:dyDescent="0.3">
      <c r="B30" s="2051" t="s">
        <v>1278</v>
      </c>
      <c r="C30" s="2052"/>
      <c r="H30" s="2"/>
      <c r="I30" s="2"/>
    </row>
    <row r="31" spans="2:9" x14ac:dyDescent="0.25">
      <c r="B31" s="44" t="s">
        <v>1279</v>
      </c>
      <c r="C31" s="45" t="s">
        <v>1280</v>
      </c>
      <c r="H31" s="2"/>
      <c r="I31" s="2"/>
    </row>
    <row r="32" spans="2:9" x14ac:dyDescent="0.25">
      <c r="B32" s="12">
        <v>1</v>
      </c>
      <c r="C32" s="61">
        <v>0.2</v>
      </c>
      <c r="H32" s="2"/>
      <c r="I32" s="2"/>
    </row>
    <row r="33" spans="2:9" x14ac:dyDescent="0.25">
      <c r="B33" s="13">
        <v>2</v>
      </c>
      <c r="C33" s="62">
        <v>0.3</v>
      </c>
      <c r="H33" s="2"/>
      <c r="I33" s="2"/>
    </row>
    <row r="34" spans="2:9" x14ac:dyDescent="0.25">
      <c r="B34" s="14">
        <v>3</v>
      </c>
      <c r="C34" s="61">
        <v>0.4</v>
      </c>
      <c r="H34" s="2"/>
      <c r="I34" s="2"/>
    </row>
    <row r="35" spans="2:9" ht="16.05" customHeight="1" x14ac:dyDescent="0.25">
      <c r="B35" s="14">
        <v>4</v>
      </c>
      <c r="C35" s="61">
        <v>0.7</v>
      </c>
      <c r="H35" s="2"/>
      <c r="I35" s="2"/>
    </row>
    <row r="36" spans="2:9" ht="14.4" thickBot="1" x14ac:dyDescent="0.3">
      <c r="B36" s="15">
        <v>5</v>
      </c>
      <c r="C36" s="63">
        <v>0.9</v>
      </c>
      <c r="H36" s="2"/>
      <c r="I36" s="2"/>
    </row>
    <row r="37" spans="2:9" x14ac:dyDescent="0.25">
      <c r="B37" s="1"/>
      <c r="C37" s="1"/>
      <c r="H37" s="2"/>
      <c r="I37" s="2"/>
    </row>
    <row r="38" spans="2:9" ht="14.4" thickBot="1" x14ac:dyDescent="0.3">
      <c r="B38" s="1"/>
      <c r="C38" s="1"/>
      <c r="D38" s="64" t="s">
        <v>1281</v>
      </c>
      <c r="H38" s="2"/>
      <c r="I38" s="2"/>
    </row>
    <row r="39" spans="2:9" ht="14.4" thickBot="1" x14ac:dyDescent="0.3">
      <c r="B39" s="2053" t="s">
        <v>1282</v>
      </c>
      <c r="C39" s="2054"/>
      <c r="D39" s="2054"/>
      <c r="E39" s="2054"/>
      <c r="F39" s="86"/>
      <c r="I39" s="2"/>
    </row>
    <row r="40" spans="2:9" x14ac:dyDescent="0.25">
      <c r="B40" s="23" t="s">
        <v>1283</v>
      </c>
      <c r="C40" s="46" t="s">
        <v>1167</v>
      </c>
      <c r="D40" s="46" t="s">
        <v>282</v>
      </c>
      <c r="E40" s="47" t="s">
        <v>307</v>
      </c>
      <c r="I40" s="2"/>
    </row>
    <row r="41" spans="2:9" x14ac:dyDescent="0.25">
      <c r="B41" s="11" t="s">
        <v>264</v>
      </c>
      <c r="C41" s="49">
        <v>2.0099999999999998</v>
      </c>
      <c r="D41" s="49">
        <v>1.71</v>
      </c>
      <c r="E41" s="50"/>
      <c r="I41" s="2"/>
    </row>
    <row r="42" spans="2:9" x14ac:dyDescent="0.25">
      <c r="B42" s="11" t="s">
        <v>279</v>
      </c>
      <c r="C42" s="49">
        <v>3.14</v>
      </c>
      <c r="D42" s="49">
        <v>1.61</v>
      </c>
      <c r="E42" s="50"/>
      <c r="I42" s="2"/>
    </row>
    <row r="43" spans="2:9" x14ac:dyDescent="0.25">
      <c r="B43" s="11" t="s">
        <v>290</v>
      </c>
      <c r="C43" s="49">
        <v>1.72</v>
      </c>
      <c r="D43" s="49">
        <v>1.96</v>
      </c>
      <c r="E43" s="50"/>
      <c r="I43" s="2"/>
    </row>
    <row r="44" spans="2:9" x14ac:dyDescent="0.25">
      <c r="B44" s="11" t="s">
        <v>267</v>
      </c>
      <c r="C44" s="49">
        <v>1.5</v>
      </c>
      <c r="D44" s="49"/>
      <c r="E44" s="50"/>
      <c r="I44" s="2"/>
    </row>
    <row r="45" spans="2:9" x14ac:dyDescent="0.25">
      <c r="B45" s="11" t="s">
        <v>265</v>
      </c>
      <c r="C45" s="51"/>
      <c r="D45" s="51"/>
      <c r="E45" s="52">
        <v>2.9</v>
      </c>
      <c r="I45" s="2"/>
    </row>
    <row r="46" spans="2:9" ht="14.4" thickBot="1" x14ac:dyDescent="0.3">
      <c r="B46" s="6" t="s">
        <v>280</v>
      </c>
      <c r="C46" s="53"/>
      <c r="D46" s="48"/>
      <c r="E46" s="54">
        <v>2.9</v>
      </c>
      <c r="I46" s="2"/>
    </row>
    <row r="47" spans="2:9" ht="14.4" thickBot="1" x14ac:dyDescent="0.3">
      <c r="B47" s="1"/>
      <c r="C47" s="1"/>
      <c r="D47" s="64" t="s">
        <v>1281</v>
      </c>
      <c r="H47" s="2"/>
      <c r="I47" s="2"/>
    </row>
    <row r="48" spans="2:9" ht="14.4" thickBot="1" x14ac:dyDescent="0.3">
      <c r="B48" s="2051" t="s">
        <v>1284</v>
      </c>
      <c r="C48" s="2052"/>
      <c r="H48" s="2"/>
      <c r="I48" s="2"/>
    </row>
    <row r="49" spans="2:9" x14ac:dyDescent="0.25">
      <c r="B49" s="58" t="s">
        <v>1285</v>
      </c>
      <c r="C49" s="59" t="s">
        <v>1286</v>
      </c>
      <c r="H49" s="2"/>
      <c r="I49" s="2"/>
    </row>
    <row r="50" spans="2:9" x14ac:dyDescent="0.25">
      <c r="B50" s="42" t="s">
        <v>279</v>
      </c>
      <c r="C50" s="61">
        <v>0.35</v>
      </c>
      <c r="H50" s="2"/>
      <c r="I50" s="2"/>
    </row>
    <row r="51" spans="2:9" x14ac:dyDescent="0.25">
      <c r="B51" s="42" t="s">
        <v>264</v>
      </c>
      <c r="C51" s="62">
        <v>0.2</v>
      </c>
      <c r="H51" s="2"/>
      <c r="I51" s="2"/>
    </row>
    <row r="52" spans="2:9" x14ac:dyDescent="0.25">
      <c r="B52" s="42" t="s">
        <v>290</v>
      </c>
      <c r="C52" s="61">
        <v>0.3</v>
      </c>
      <c r="H52" s="2"/>
      <c r="I52" s="2"/>
    </row>
    <row r="53" spans="2:9" x14ac:dyDescent="0.25">
      <c r="B53" s="11" t="s">
        <v>307</v>
      </c>
      <c r="C53" s="61">
        <v>0.35</v>
      </c>
      <c r="H53" s="2"/>
      <c r="I53" s="2"/>
    </row>
    <row r="54" spans="2:9" ht="14.4" thickBot="1" x14ac:dyDescent="0.3">
      <c r="B54" s="6" t="s">
        <v>282</v>
      </c>
      <c r="C54" s="63">
        <v>0.3</v>
      </c>
      <c r="H54" s="2"/>
      <c r="I54" s="2"/>
    </row>
    <row r="55" spans="2:9" ht="14.4" thickBot="1" x14ac:dyDescent="0.3">
      <c r="B55" s="64" t="s">
        <v>1281</v>
      </c>
      <c r="D55" s="40"/>
      <c r="G55" s="40"/>
      <c r="H55" s="2"/>
      <c r="I55" s="2"/>
    </row>
    <row r="56" spans="2:9" ht="14.4" thickBot="1" x14ac:dyDescent="0.3">
      <c r="B56" s="2051" t="s">
        <v>1287</v>
      </c>
      <c r="C56" s="2052"/>
      <c r="D56" s="41"/>
      <c r="G56" s="41"/>
      <c r="H56" s="2"/>
      <c r="I56" s="2"/>
    </row>
    <row r="57" spans="2:9" x14ac:dyDescent="0.25">
      <c r="B57" s="60" t="s">
        <v>1288</v>
      </c>
      <c r="C57" s="18"/>
      <c r="H57" s="2"/>
      <c r="I57" s="2"/>
    </row>
    <row r="58" spans="2:9" x14ac:dyDescent="0.25">
      <c r="B58" s="19" t="s">
        <v>1289</v>
      </c>
      <c r="C58" s="20">
        <v>0</v>
      </c>
      <c r="H58" s="2"/>
      <c r="I58" s="2"/>
    </row>
    <row r="59" spans="2:9" x14ac:dyDescent="0.25">
      <c r="B59" s="19" t="s">
        <v>39</v>
      </c>
      <c r="C59" s="20">
        <v>3</v>
      </c>
      <c r="H59" s="2"/>
      <c r="I59" s="2"/>
    </row>
    <row r="60" spans="2:9" x14ac:dyDescent="0.25">
      <c r="B60" s="19" t="s">
        <v>37</v>
      </c>
      <c r="C60" s="20">
        <v>5.25</v>
      </c>
      <c r="H60" s="2"/>
      <c r="I60" s="2"/>
    </row>
    <row r="61" spans="2:9" x14ac:dyDescent="0.25">
      <c r="B61" s="19" t="s">
        <v>35</v>
      </c>
      <c r="C61" s="20">
        <v>10</v>
      </c>
      <c r="H61" s="2"/>
      <c r="I61" s="2"/>
    </row>
    <row r="62" spans="2:9" ht="14.4" thickBot="1" x14ac:dyDescent="0.3">
      <c r="B62" s="21" t="s">
        <v>31</v>
      </c>
      <c r="C62" s="22">
        <v>20</v>
      </c>
      <c r="H62" s="2"/>
      <c r="I62" s="2"/>
    </row>
    <row r="63" spans="2:9" ht="14.4" thickBot="1" x14ac:dyDescent="0.3">
      <c r="B63" s="64" t="s">
        <v>1281</v>
      </c>
      <c r="F63" s="4"/>
      <c r="G63" s="4"/>
      <c r="H63" s="4"/>
      <c r="I63" s="2"/>
    </row>
    <row r="64" spans="2:9" ht="15.6" thickBot="1" x14ac:dyDescent="0.3">
      <c r="B64" s="2056" t="s">
        <v>1290</v>
      </c>
      <c r="C64" s="2057"/>
      <c r="D64" s="2058"/>
      <c r="F64" s="4"/>
      <c r="G64" s="104"/>
      <c r="H64" s="4"/>
      <c r="I64" s="2"/>
    </row>
    <row r="65" spans="2:9" ht="27.6" x14ac:dyDescent="0.25">
      <c r="B65" s="55" t="s">
        <v>1291</v>
      </c>
      <c r="C65" s="56" t="s">
        <v>1292</v>
      </c>
      <c r="D65" s="57" t="s">
        <v>1293</v>
      </c>
      <c r="F65" s="4"/>
      <c r="G65" s="105"/>
      <c r="H65" s="4"/>
      <c r="I65" s="2"/>
    </row>
    <row r="66" spans="2:9" x14ac:dyDescent="0.25">
      <c r="B66" s="16">
        <v>1</v>
      </c>
      <c r="C66" s="7" t="s">
        <v>1294</v>
      </c>
      <c r="D66" s="61">
        <v>0.2</v>
      </c>
      <c r="F66" s="4"/>
      <c r="G66" s="102"/>
      <c r="H66" s="4"/>
      <c r="I66" s="2"/>
    </row>
    <row r="67" spans="2:9" ht="27.6" x14ac:dyDescent="0.25">
      <c r="B67" s="16">
        <v>2</v>
      </c>
      <c r="C67" s="7" t="s">
        <v>1295</v>
      </c>
      <c r="D67" s="61">
        <v>0.3</v>
      </c>
      <c r="G67" s="82"/>
      <c r="H67" s="2"/>
      <c r="I67" s="2"/>
    </row>
    <row r="68" spans="2:9" ht="27.6" x14ac:dyDescent="0.25">
      <c r="B68" s="16">
        <v>3</v>
      </c>
      <c r="C68" s="7" t="s">
        <v>1296</v>
      </c>
      <c r="D68" s="61">
        <v>0.4</v>
      </c>
      <c r="G68" s="82"/>
      <c r="H68" s="2"/>
      <c r="I68" s="2"/>
    </row>
    <row r="69" spans="2:9" ht="41.4" x14ac:dyDescent="0.25">
      <c r="B69" s="16">
        <v>4</v>
      </c>
      <c r="C69" s="7" t="s">
        <v>1297</v>
      </c>
      <c r="D69" s="61">
        <v>0.7</v>
      </c>
      <c r="G69" s="82"/>
      <c r="H69" s="2"/>
      <c r="I69" s="2"/>
    </row>
    <row r="70" spans="2:9" ht="42" thickBot="1" x14ac:dyDescent="0.3">
      <c r="B70" s="17">
        <v>5</v>
      </c>
      <c r="C70" s="8" t="s">
        <v>1298</v>
      </c>
      <c r="D70" s="63">
        <v>0.9</v>
      </c>
      <c r="G70" s="82"/>
      <c r="H70" s="2"/>
      <c r="I70" s="2"/>
    </row>
    <row r="71" spans="2:9" x14ac:dyDescent="0.25">
      <c r="B71" s="1"/>
      <c r="C71" s="1"/>
      <c r="H71" s="2"/>
      <c r="I71" s="2"/>
    </row>
    <row r="72" spans="2:9" ht="14.4" thickBot="1" x14ac:dyDescent="0.3">
      <c r="B72" s="1"/>
      <c r="C72" s="1"/>
      <c r="H72" s="2"/>
      <c r="I72" s="2"/>
    </row>
    <row r="73" spans="2:9" x14ac:dyDescent="0.25">
      <c r="B73" s="359" t="s">
        <v>1285</v>
      </c>
      <c r="C73" s="360" t="s">
        <v>279</v>
      </c>
      <c r="D73" s="361" t="s">
        <v>264</v>
      </c>
      <c r="E73" s="361" t="s">
        <v>290</v>
      </c>
      <c r="F73" s="362" t="s">
        <v>307</v>
      </c>
      <c r="G73" s="363" t="s">
        <v>282</v>
      </c>
      <c r="H73" s="2"/>
      <c r="I73" s="2"/>
    </row>
    <row r="74" spans="2:9" ht="14.4" thickBot="1" x14ac:dyDescent="0.3">
      <c r="B74" s="6" t="s">
        <v>1286</v>
      </c>
      <c r="C74" s="364">
        <v>0.35</v>
      </c>
      <c r="D74" s="364">
        <v>0.2</v>
      </c>
      <c r="E74" s="364">
        <v>0.3</v>
      </c>
      <c r="F74" s="364">
        <v>0.35</v>
      </c>
      <c r="G74" s="365">
        <v>0.3</v>
      </c>
      <c r="H74" s="2"/>
      <c r="I74" s="2"/>
    </row>
    <row r="75" spans="2:9" x14ac:dyDescent="0.25">
      <c r="B75" s="1"/>
      <c r="C75" s="1"/>
      <c r="D75" s="66"/>
      <c r="H75" s="2"/>
      <c r="I75" s="2"/>
    </row>
    <row r="76" spans="2:9" x14ac:dyDescent="0.25">
      <c r="B76" s="1"/>
      <c r="C76" s="1"/>
      <c r="D76" s="66"/>
      <c r="H76" s="2"/>
      <c r="I76" s="2"/>
    </row>
    <row r="77" spans="2:9" x14ac:dyDescent="0.25">
      <c r="B77" s="1"/>
      <c r="C77" s="1"/>
      <c r="H77" s="2"/>
      <c r="I77" s="2"/>
    </row>
    <row r="78" spans="2:9" x14ac:dyDescent="0.25">
      <c r="B78" s="1"/>
      <c r="C78" s="1"/>
      <c r="H78" s="2"/>
      <c r="I78" s="2"/>
    </row>
    <row r="79" spans="2:9" x14ac:dyDescent="0.25">
      <c r="B79" s="1"/>
      <c r="C79" s="1"/>
      <c r="H79" s="2"/>
      <c r="I79" s="2"/>
    </row>
    <row r="80" spans="2:9" x14ac:dyDescent="0.25">
      <c r="B80" s="1"/>
      <c r="C80" s="1"/>
      <c r="H80" s="2"/>
      <c r="I80" s="2"/>
    </row>
    <row r="81" spans="2:9" x14ac:dyDescent="0.25">
      <c r="B81" s="1"/>
      <c r="C81" s="1"/>
      <c r="H81" s="2"/>
      <c r="I81" s="2"/>
    </row>
    <row r="82" spans="2:9" x14ac:dyDescent="0.25">
      <c r="B82" s="1"/>
      <c r="C82" s="1"/>
      <c r="H82" s="2"/>
      <c r="I82" s="2"/>
    </row>
  </sheetData>
  <mergeCells count="9">
    <mergeCell ref="A1:C2"/>
    <mergeCell ref="B30:C30"/>
    <mergeCell ref="H10:I10"/>
    <mergeCell ref="B22:C22"/>
    <mergeCell ref="B39:E39"/>
    <mergeCell ref="B10:E10"/>
    <mergeCell ref="B64:D64"/>
    <mergeCell ref="B56:C56"/>
    <mergeCell ref="B48:C48"/>
  </mergeCells>
  <hyperlinks>
    <hyperlink ref="B57" r:id="rId1" location="Definitions!A1" display="applewebdata://0354CD68-BF9E-4F10-A378-5260E0C63CDB/ - Definitions!A1" xr:uid="{8658920B-CEAD-1B41-B5C2-94534E678845}"/>
    <hyperlink ref="C57" r:id="rId2" location="Definitions!A1" display="applewebdata://0354CD68-BF9E-4F10-A378-5260E0C63CDB/ - Definitions!A1" xr:uid="{53B0E675-638E-AA4C-AE8B-0A8D9A16C490}"/>
  </hyperlinks>
  <pageMargins left="0.7" right="0.7" top="0.75" bottom="0.75" header="0.3" footer="0.3"/>
  <pageSetup orientation="portrait" r:id="rId3"/>
  <headerFooter>
    <oddFooter>&amp;C_x000D_&amp;1#&amp;"Calibri"&amp;10&amp;K000000 Confidential - Not for Public Consumption or Distribution</oddFooter>
  </headerFooter>
  <legacy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66F84FD2DBED04EAD640DB09E9E1768" ma:contentTypeVersion="15" ma:contentTypeDescription="Create a new document." ma:contentTypeScope="" ma:versionID="904f0ca6ea510528d257ca407c787867">
  <xsd:schema xmlns:xsd="http://www.w3.org/2001/XMLSchema" xmlns:xs="http://www.w3.org/2001/XMLSchema" xmlns:p="http://schemas.microsoft.com/office/2006/metadata/properties" xmlns:ns2="7aed3216-910a-484f-a365-81a19ea86421" xmlns:ns3="6bd710b9-a5f5-4a4c-bb04-668c0da27e70" targetNamespace="http://schemas.microsoft.com/office/2006/metadata/properties" ma:root="true" ma:fieldsID="c066729321df534985b1209c6d2fbc59" ns2:_="" ns3:_="">
    <xsd:import namespace="7aed3216-910a-484f-a365-81a19ea86421"/>
    <xsd:import namespace="6bd710b9-a5f5-4a4c-bb04-668c0da27e70"/>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ed3216-910a-484f-a365-81a19ea864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6a257fb-28f5-49c4-92c3-d49665e8e1d3"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BillingMetadata" ma:index="22"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bd710b9-a5f5-4a4c-bb04-668c0da27e7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556bb361-1673-4ccf-921c-20ee6beac742}" ma:internalName="TaxCatchAll" ma:showField="CatchAllData" ma:web="6bd710b9-a5f5-4a4c-bb04-668c0da27e7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aed3216-910a-484f-a365-81a19ea86421">
      <Terms xmlns="http://schemas.microsoft.com/office/infopath/2007/PartnerControls"/>
    </lcf76f155ced4ddcb4097134ff3c332f>
    <TaxCatchAll xmlns="6bd710b9-a5f5-4a4c-bb04-668c0da27e70" xsi:nil="true"/>
    <SharedWithUsers xmlns="6bd710b9-a5f5-4a4c-bb04-668c0da27e70">
      <UserInfo>
        <DisplayName/>
        <AccountId xsi:nil="true"/>
        <AccountType/>
      </UserInfo>
    </SharedWithUsers>
  </documentManagement>
</p:properties>
</file>

<file path=customXml/itemProps1.xml><?xml version="1.0" encoding="utf-8"?>
<ds:datastoreItem xmlns:ds="http://schemas.openxmlformats.org/officeDocument/2006/customXml" ds:itemID="{29D3B5C3-E695-4278-AA11-11CA1F6EA064}">
  <ds:schemaRefs>
    <ds:schemaRef ds:uri="http://schemas.microsoft.com/sharepoint/v3/contenttype/forms"/>
  </ds:schemaRefs>
</ds:datastoreItem>
</file>

<file path=customXml/itemProps2.xml><?xml version="1.0" encoding="utf-8"?>
<ds:datastoreItem xmlns:ds="http://schemas.openxmlformats.org/officeDocument/2006/customXml" ds:itemID="{2D066B4A-9782-4AE8-B5D6-7EE916AEC5A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ed3216-910a-484f-a365-81a19ea86421"/>
    <ds:schemaRef ds:uri="6bd710b9-a5f5-4a4c-bb04-668c0da27e7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C8B1313-E43C-465C-90F2-F00A6834322D}">
  <ds:schemaRefs>
    <ds:schemaRef ds:uri="http://schemas.microsoft.com/office/2006/documentManagement/types"/>
    <ds:schemaRef ds:uri="http://purl.org/dc/elements/1.1/"/>
    <ds:schemaRef ds:uri="http://schemas.microsoft.com/office/infopath/2007/PartnerControls"/>
    <ds:schemaRef ds:uri="http://purl.org/dc/dcmitype/"/>
    <ds:schemaRef ds:uri="7aed3216-910a-484f-a365-81a19ea86421"/>
    <ds:schemaRef ds:uri="http://schemas.microsoft.com/office/2006/metadata/properties"/>
    <ds:schemaRef ds:uri="http://www.w3.org/XML/1998/namespace"/>
    <ds:schemaRef ds:uri="http://schemas.openxmlformats.org/package/2006/metadata/core-properties"/>
    <ds:schemaRef ds:uri="6bd710b9-a5f5-4a4c-bb04-668c0da27e70"/>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185</vt:i4>
      </vt:variant>
    </vt:vector>
  </HeadingPairs>
  <TitlesOfParts>
    <vt:vector size="208" baseType="lpstr">
      <vt:lpstr>How to Use Guide</vt:lpstr>
      <vt:lpstr>1. Project Inputs</vt:lpstr>
      <vt:lpstr>Rates &amp; Drop Downs INT</vt:lpstr>
      <vt:lpstr>2. Roles &amp; Pricing</vt:lpstr>
      <vt:lpstr>FORMULA REFS</vt:lpstr>
      <vt:lpstr>Resource Loading</vt:lpstr>
      <vt:lpstr>3. Financial Inputs</vt:lpstr>
      <vt:lpstr>4. Summary &amp; Totals</vt:lpstr>
      <vt:lpstr>5. Import Checklist</vt:lpstr>
      <vt:lpstr>6. Commercial Review</vt:lpstr>
      <vt:lpstr>KPI Sheet</vt:lpstr>
      <vt:lpstr>Optional - Scope Estimation</vt:lpstr>
      <vt:lpstr>Optional - Scope Options Review</vt:lpstr>
      <vt:lpstr>Hidden -&gt;</vt:lpstr>
      <vt:lpstr>Optional Pricing Scenarios Eval</vt:lpstr>
      <vt:lpstr>Standard Roles and Rates</vt:lpstr>
      <vt:lpstr>Updated Rate Card Import</vt:lpstr>
      <vt:lpstr>Digital Resource Roster</vt:lpstr>
      <vt:lpstr>Client Rate Cards</vt:lpstr>
      <vt:lpstr>Role Descriptions</vt:lpstr>
      <vt:lpstr>Definitions</vt:lpstr>
      <vt:lpstr>hTAD Info</vt:lpstr>
      <vt:lpstr>Complexity Factors</vt:lpstr>
      <vt:lpstr>_2023_AllStar_Auto_Parts_Rate_Card</vt:lpstr>
      <vt:lpstr>_2023_Army_Rate_Card</vt:lpstr>
      <vt:lpstr>_2023_Army_Strategy_Rate_Card</vt:lpstr>
      <vt:lpstr>_2023_Becton_Dickinson_Rate_Card</vt:lpstr>
      <vt:lpstr>_2023_BGSF_Rate_Card</vt:lpstr>
      <vt:lpstr>_2023_Brinker_Rate_Card</vt:lpstr>
      <vt:lpstr>_2023_C_Spire_Rate_Card</vt:lpstr>
      <vt:lpstr>_2023_EmployBridge_Rate_Card</vt:lpstr>
      <vt:lpstr>_2023_Hilton_Worldwide_Rate_Card</vt:lpstr>
      <vt:lpstr>_2023_MBUSA_team_X_Rate_Card</vt:lpstr>
      <vt:lpstr>_2023_Motion_Recruitment_Partners_Rate_Card</vt:lpstr>
      <vt:lpstr>_2023_Novartis_Rate_Card</vt:lpstr>
      <vt:lpstr>_2023_NRG_Rate_Card</vt:lpstr>
      <vt:lpstr>_2023_Path_Tec_Rate_Card</vt:lpstr>
      <vt:lpstr>_2023_Pro_Frac_Rate_Card</vt:lpstr>
      <vt:lpstr>_2023_Red_Lobster_Rate_Card</vt:lpstr>
      <vt:lpstr>_2023_Stuller_Rate_Card</vt:lpstr>
      <vt:lpstr>_2023_Triumph_Factoring_Division_Rate_Card</vt:lpstr>
      <vt:lpstr>_2023_Valvoline_Retail_Services_Rate_Card</vt:lpstr>
      <vt:lpstr>_2023_Windows_USA_Rate_Card</vt:lpstr>
      <vt:lpstr>_2024_Eli_Lilly_Rate_Card</vt:lpstr>
      <vt:lpstr>_2024_Intuit_Rate_Card</vt:lpstr>
      <vt:lpstr>_2024_Southwest_Airlines_Rate_Card</vt:lpstr>
      <vt:lpstr>_2025_Ford_Rate_Card</vt:lpstr>
      <vt:lpstr>_2025_McDonalds_COLA_Rate_Card</vt:lpstr>
      <vt:lpstr>Acquia</vt:lpstr>
      <vt:lpstr>Acquia_BA</vt:lpstr>
      <vt:lpstr>Acquia_CDP</vt:lpstr>
      <vt:lpstr>Acquia_DevOps</vt:lpstr>
      <vt:lpstr>Acquia_Drupal</vt:lpstr>
      <vt:lpstr>Acquia_Personalization</vt:lpstr>
      <vt:lpstr>Acquia_QA</vt:lpstr>
      <vt:lpstr>Acquia_UI</vt:lpstr>
      <vt:lpstr>Acquia_Wordpress</vt:lpstr>
      <vt:lpstr>ACQUIABASP</vt:lpstr>
      <vt:lpstr>ACQUIACDPSP</vt:lpstr>
      <vt:lpstr>ACQUIADECOPSSP</vt:lpstr>
      <vt:lpstr>ACQUIAQASP</vt:lpstr>
      <vt:lpstr>ACQUIAUISP</vt:lpstr>
      <vt:lpstr>Adobe</vt:lpstr>
      <vt:lpstr>Adobe_Adobe_DevOps</vt:lpstr>
      <vt:lpstr>Adobe_Adobe_QA</vt:lpstr>
      <vt:lpstr>Adobe_Adobe_UI</vt:lpstr>
      <vt:lpstr>Adobe_BA</vt:lpstr>
      <vt:lpstr>Adobe_Commerce</vt:lpstr>
      <vt:lpstr>Adobe_Content</vt:lpstr>
      <vt:lpstr>Adobe_Data_and_Analytics</vt:lpstr>
      <vt:lpstr>Adobe_DevOps</vt:lpstr>
      <vt:lpstr>Adobe_Experience_Management</vt:lpstr>
      <vt:lpstr>Adobe_Marketing_Automation</vt:lpstr>
      <vt:lpstr>Adobe_QA</vt:lpstr>
      <vt:lpstr>Adobe_UI</vt:lpstr>
      <vt:lpstr>Adobe_Work_Management</vt:lpstr>
      <vt:lpstr>ADOBEBASP</vt:lpstr>
      <vt:lpstr>ADOBECOMMERCESP</vt:lpstr>
      <vt:lpstr>ADOBEDEVOPSSP</vt:lpstr>
      <vt:lpstr>ADOBEQASP</vt:lpstr>
      <vt:lpstr>ADOBEUISP</vt:lpstr>
      <vt:lpstr>Assumptions</vt:lpstr>
      <vt:lpstr>Automation</vt:lpstr>
      <vt:lpstr>ClientRateCards</vt:lpstr>
      <vt:lpstr>Cloud</vt:lpstr>
      <vt:lpstr>CLOUDCLOUDSP</vt:lpstr>
      <vt:lpstr>COMMERCECLOUDSP</vt:lpstr>
      <vt:lpstr>'Optional - Scope Estimation'!Confidence</vt:lpstr>
      <vt:lpstr>CONTENTCONTENTSP</vt:lpstr>
      <vt:lpstr>COVEOSP</vt:lpstr>
      <vt:lpstr>CrederaIndia</vt:lpstr>
      <vt:lpstr>CrederaLATAM</vt:lpstr>
      <vt:lpstr>CrederaUS</vt:lpstr>
      <vt:lpstr>Data_and_AI</vt:lpstr>
      <vt:lpstr>Data_Mangaement</vt:lpstr>
      <vt:lpstr>DATAAISP</vt:lpstr>
      <vt:lpstr>DATAANALYTICSSP</vt:lpstr>
      <vt:lpstr>DATACLOUDSP</vt:lpstr>
      <vt:lpstr>Delivery</vt:lpstr>
      <vt:lpstr>Delivery_Delivery</vt:lpstr>
      <vt:lpstr>DELIVERYDELIVERYSP</vt:lpstr>
      <vt:lpstr>Design</vt:lpstr>
      <vt:lpstr>DESIGNDESIGNSP</vt:lpstr>
      <vt:lpstr>DOTNET</vt:lpstr>
      <vt:lpstr>DOTNET_BA</vt:lpstr>
      <vt:lpstr>DOTNET_CDP</vt:lpstr>
      <vt:lpstr>DOTNET_Coveo</vt:lpstr>
      <vt:lpstr>DOTNET_DevOps</vt:lpstr>
      <vt:lpstr>DOTNET_DOTNET</vt:lpstr>
      <vt:lpstr>DOTNET_MS_Dynamics</vt:lpstr>
      <vt:lpstr>DOTNET_Optimizely_CMS</vt:lpstr>
      <vt:lpstr>DOTNET_QA</vt:lpstr>
      <vt:lpstr>DOTNET_Sitecore</vt:lpstr>
      <vt:lpstr>DOTNET_Sitecore_Search</vt:lpstr>
      <vt:lpstr>DOTNET_UI</vt:lpstr>
      <vt:lpstr>DOTNETBASP</vt:lpstr>
      <vt:lpstr>DOTNETCDPSP</vt:lpstr>
      <vt:lpstr>DOTNETDOSP</vt:lpstr>
      <vt:lpstr>DOTNETQASP</vt:lpstr>
      <vt:lpstr>DOTNETSP</vt:lpstr>
      <vt:lpstr>DOTNETUISP</vt:lpstr>
      <vt:lpstr>DRUPALDRUPALSP</vt:lpstr>
      <vt:lpstr>'Optional - Scope Estimation'!Effort_Days</vt:lpstr>
      <vt:lpstr>Environments</vt:lpstr>
      <vt:lpstr>Epic</vt:lpstr>
      <vt:lpstr>Experience_Design</vt:lpstr>
      <vt:lpstr>EXPERIENCEMANAGEMENTSP</vt:lpstr>
      <vt:lpstr>Frontend_Development</vt:lpstr>
      <vt:lpstr>FRONTENDDEVELOPMENTSP</vt:lpstr>
      <vt:lpstr>Functional</vt:lpstr>
      <vt:lpstr>'1. Project Inputs'!Hour_Bucket</vt:lpstr>
      <vt:lpstr>Hour_Bucket</vt:lpstr>
      <vt:lpstr>Insights_and_Strategy</vt:lpstr>
      <vt:lpstr>INSIGHTSSTRATEGYSP</vt:lpstr>
      <vt:lpstr>Integrations</vt:lpstr>
      <vt:lpstr>Location</vt:lpstr>
      <vt:lpstr>MACH</vt:lpstr>
      <vt:lpstr>MACH_BA</vt:lpstr>
      <vt:lpstr>MACH_Commerce</vt:lpstr>
      <vt:lpstr>MACH_Content</vt:lpstr>
      <vt:lpstr>MACH_DevOps</vt:lpstr>
      <vt:lpstr>MACH_Middleware</vt:lpstr>
      <vt:lpstr>MACH_QA</vt:lpstr>
      <vt:lpstr>MACH_Tealium</vt:lpstr>
      <vt:lpstr>MACH_UI</vt:lpstr>
      <vt:lpstr>MACHBASP</vt:lpstr>
      <vt:lpstr>MACHCOMMERCESP</vt:lpstr>
      <vt:lpstr>MACHCONTENTSP</vt:lpstr>
      <vt:lpstr>MACHDEVOPSSP</vt:lpstr>
      <vt:lpstr>MACHQASP</vt:lpstr>
      <vt:lpstr>MACHUISP</vt:lpstr>
      <vt:lpstr>Management_Consulting</vt:lpstr>
      <vt:lpstr>MAREKTINGCLOUDSP</vt:lpstr>
      <vt:lpstr>MARKETINGAUTOMATIONSP</vt:lpstr>
      <vt:lpstr>MIDDLEWAREMIDDLEWARESP</vt:lpstr>
      <vt:lpstr>Mobile</vt:lpstr>
      <vt:lpstr>MOBILEMOBILESP</vt:lpstr>
      <vt:lpstr>MSDYNAMICSSP</vt:lpstr>
      <vt:lpstr>Multi_Tenant</vt:lpstr>
      <vt:lpstr>'Optional - Scope Estimation'!Multiplication_factor</vt:lpstr>
      <vt:lpstr>Non_Functional</vt:lpstr>
      <vt:lpstr>NonDevList</vt:lpstr>
      <vt:lpstr>Offshore</vt:lpstr>
      <vt:lpstr>Onshore</vt:lpstr>
      <vt:lpstr>OPTIMIZELYCMSSP</vt:lpstr>
      <vt:lpstr>Option___1_3</vt:lpstr>
      <vt:lpstr>Organizations</vt:lpstr>
      <vt:lpstr>PERSONALIZATIONPERSONALIZATIONSP</vt:lpstr>
      <vt:lpstr>Product_Innovation</vt:lpstr>
      <vt:lpstr>PRODUCTINNOVATIONSP</vt:lpstr>
      <vt:lpstr>Reporting</vt:lpstr>
      <vt:lpstr>RequirementType</vt:lpstr>
      <vt:lpstr>Sales_Cloud</vt:lpstr>
      <vt:lpstr>SALESCLOUDSP</vt:lpstr>
      <vt:lpstr>Salesforce</vt:lpstr>
      <vt:lpstr>Salesforce_BA</vt:lpstr>
      <vt:lpstr>Salesforce_Commerce_Cloud</vt:lpstr>
      <vt:lpstr>Salesforce_Data_Cloud</vt:lpstr>
      <vt:lpstr>Salesforce_DevOps</vt:lpstr>
      <vt:lpstr>Salesforce_Marketing_Cloud</vt:lpstr>
      <vt:lpstr>Salesforce_QA</vt:lpstr>
      <vt:lpstr>Salesforce_UI</vt:lpstr>
      <vt:lpstr>SALESFORCEBASP</vt:lpstr>
      <vt:lpstr>SALESFORCEDEVOPSSP</vt:lpstr>
      <vt:lpstr>SALESFORCEQASP</vt:lpstr>
      <vt:lpstr>SALESFORCEUISP</vt:lpstr>
      <vt:lpstr>SDLCBucketList</vt:lpstr>
      <vt:lpstr>Security___Privacy</vt:lpstr>
      <vt:lpstr>Security_and_Privacy</vt:lpstr>
      <vt:lpstr>SECURITYPRIVACYSP</vt:lpstr>
      <vt:lpstr>Service_Cloud</vt:lpstr>
      <vt:lpstr>Service_Management</vt:lpstr>
      <vt:lpstr>SERVICECLOUDSP</vt:lpstr>
      <vt:lpstr>SITECORESEARCHSP</vt:lpstr>
      <vt:lpstr>SITECORESP</vt:lpstr>
      <vt:lpstr>Software_Engineering</vt:lpstr>
      <vt:lpstr>SOFTWAREENGINEERINGSP</vt:lpstr>
      <vt:lpstr>Strategy</vt:lpstr>
      <vt:lpstr>STRATEGYSTRATEGYSP</vt:lpstr>
      <vt:lpstr>TADIndia</vt:lpstr>
      <vt:lpstr>TADNorthAmerica</vt:lpstr>
      <vt:lpstr>Task</vt:lpstr>
      <vt:lpstr>TEALIUMTEALIUMSP</vt:lpstr>
      <vt:lpstr>Technology_Solutions</vt:lpstr>
      <vt:lpstr>Testing</vt:lpstr>
      <vt:lpstr>Version</vt:lpstr>
      <vt:lpstr>WORDPRESSWORDPRESSSP</vt:lpstr>
      <vt:lpstr>WORKMANAGEMENTSP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Samantha Abel (Credera)</dc:creator>
  <cp:keywords/>
  <dc:description/>
  <cp:lastModifiedBy>Darvi Sunny (Credera)</cp:lastModifiedBy>
  <cp:revision/>
  <dcterms:created xsi:type="dcterms:W3CDTF">2024-10-02T20:28:22Z</dcterms:created>
  <dcterms:modified xsi:type="dcterms:W3CDTF">2025-08-21T14:38:55Z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e19d756-792e-42a1-bcad-4cb9051ddd2d_Enabled">
    <vt:lpwstr>true</vt:lpwstr>
  </property>
  <property fmtid="{D5CDD505-2E9C-101B-9397-08002B2CF9AE}" pid="3" name="MSIP_Label_8e19d756-792e-42a1-bcad-4cb9051ddd2d_SetDate">
    <vt:lpwstr>2024-10-02T20:33:33Z</vt:lpwstr>
  </property>
  <property fmtid="{D5CDD505-2E9C-101B-9397-08002B2CF9AE}" pid="4" name="MSIP_Label_8e19d756-792e-42a1-bcad-4cb9051ddd2d_Method">
    <vt:lpwstr>Standard</vt:lpwstr>
  </property>
  <property fmtid="{D5CDD505-2E9C-101B-9397-08002B2CF9AE}" pid="5" name="MSIP_Label_8e19d756-792e-42a1-bcad-4cb9051ddd2d_Name">
    <vt:lpwstr>Confidential</vt:lpwstr>
  </property>
  <property fmtid="{D5CDD505-2E9C-101B-9397-08002B2CF9AE}" pid="6" name="MSIP_Label_8e19d756-792e-42a1-bcad-4cb9051ddd2d_SiteId">
    <vt:lpwstr>41eb501a-f671-4ce0-a5bf-b64168c3705f</vt:lpwstr>
  </property>
  <property fmtid="{D5CDD505-2E9C-101B-9397-08002B2CF9AE}" pid="7" name="MSIP_Label_8e19d756-792e-42a1-bcad-4cb9051ddd2d_ActionId">
    <vt:lpwstr>8301feb5-c4e0-429f-b8a1-4bd2ff5658f6</vt:lpwstr>
  </property>
  <property fmtid="{D5CDD505-2E9C-101B-9397-08002B2CF9AE}" pid="8" name="MSIP_Label_8e19d756-792e-42a1-bcad-4cb9051ddd2d_ContentBits">
    <vt:lpwstr>2</vt:lpwstr>
  </property>
  <property fmtid="{D5CDD505-2E9C-101B-9397-08002B2CF9AE}" pid="9" name="ContentTypeId">
    <vt:lpwstr>0x010100366F84FD2DBED04EAD640DB09E9E1768</vt:lpwstr>
  </property>
  <property fmtid="{D5CDD505-2E9C-101B-9397-08002B2CF9AE}" pid="10" name="MediaServiceImageTags">
    <vt:lpwstr/>
  </property>
  <property fmtid="{D5CDD505-2E9C-101B-9397-08002B2CF9AE}" pid="11" name="SV_QUERY_LIST_4F35BF76-6C0D-4D9B-82B2-816C12CF3733">
    <vt:lpwstr>empty_477D106A-C0D6-4607-AEBD-E2C9D60EA279</vt:lpwstr>
  </property>
  <property fmtid="{D5CDD505-2E9C-101B-9397-08002B2CF9AE}" pid="12" name="SV_HIDDEN_GRID_QUERY_LIST_4F35BF76-6C0D-4D9B-82B2-816C12CF3733">
    <vt:lpwstr>empty_477D106A-C0D6-4607-AEBD-E2C9D60EA279</vt:lpwstr>
  </property>
  <property fmtid="{D5CDD505-2E9C-101B-9397-08002B2CF9AE}" pid="13" name="xd_ProgID">
    <vt:lpwstr/>
  </property>
  <property fmtid="{D5CDD505-2E9C-101B-9397-08002B2CF9AE}" pid="14" name="ComplianceAssetId">
    <vt:lpwstr/>
  </property>
  <property fmtid="{D5CDD505-2E9C-101B-9397-08002B2CF9AE}" pid="15" name="TemplateUrl">
    <vt:lpwstr/>
  </property>
  <property fmtid="{D5CDD505-2E9C-101B-9397-08002B2CF9AE}" pid="16" name="_ExtendedDescription">
    <vt:lpwstr/>
  </property>
  <property fmtid="{D5CDD505-2E9C-101B-9397-08002B2CF9AE}" pid="17" name="TriggerFlowInfo">
    <vt:lpwstr/>
  </property>
  <property fmtid="{D5CDD505-2E9C-101B-9397-08002B2CF9AE}" pid="18" name="xd_Signature">
    <vt:bool>false</vt:bool>
  </property>
</Properties>
</file>