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EBCA14BE-8EEB-4513-9D69-F63B6483BCC6}" xr6:coauthVersionLast="47" xr6:coauthVersionMax="47" xr10:uidLastSave="{00000000-0000-0000-0000-000000000000}"/>
  <bookViews>
    <workbookView xWindow="-108" yWindow="-108" windowWidth="23256" windowHeight="12456" firstSheet="1"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28" l="1"/>
  <c r="H5" i="28"/>
  <c r="BN15" i="28" l="1"/>
  <c r="BQ16" i="28"/>
  <c r="BQ17" i="28"/>
  <c r="BQ18" i="28"/>
  <c r="BQ19" i="28"/>
  <c r="BQ20" i="28"/>
  <c r="BQ21" i="28"/>
  <c r="BQ22" i="28"/>
  <c r="BQ23" i="28"/>
  <c r="BQ24" i="28"/>
  <c r="BQ25" i="28"/>
  <c r="BQ26" i="28"/>
  <c r="BQ27" i="28"/>
  <c r="BQ28" i="28"/>
  <c r="BQ29" i="28"/>
  <c r="BQ30" i="28"/>
  <c r="BQ31" i="28"/>
  <c r="BQ32" i="28"/>
  <c r="BQ33" i="28"/>
  <c r="BQ15" i="28"/>
  <c r="BS16" i="28"/>
  <c r="BS17" i="28"/>
  <c r="BS18" i="28"/>
  <c r="BS19" i="28"/>
  <c r="BS20" i="28"/>
  <c r="BS21" i="28"/>
  <c r="BS22" i="28"/>
  <c r="BS23" i="28"/>
  <c r="BS24" i="28"/>
  <c r="BS25" i="28"/>
  <c r="BS26" i="28"/>
  <c r="BS27" i="28"/>
  <c r="BS28" i="28"/>
  <c r="BS29" i="28"/>
  <c r="BS30" i="28"/>
  <c r="BS31" i="28"/>
  <c r="BS32" i="28"/>
  <c r="BS15" i="28"/>
  <c r="H7" i="28"/>
  <c r="BT35"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6" i="28"/>
  <c r="P16" i="28"/>
  <c r="O16" i="28"/>
  <c r="N16"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5"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BP50"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<sst xmlns="http://schemas.openxmlformats.org/spreadsheetml/2006/main" count="22822" uniqueCount="3692">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</sst>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2" activePane="bottomLeft" state="frozen"/>
      <selection activeCell="G20" sqref="G20"/>
      <selection pane="bottomLeft" activeCell="B34" sqref="B34:F34"/>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AEM Implementation Soyum Foods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45776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7"/>
      <c r="L54" s="1688"/>
      <c r="M54" s="1689"/>
      <c r="N54" s="1190" cm="1">
        <f t="array" ref="N54">IF($E$20="Credera US",V54,SUMPRODUCT(('Rates &amp; Drop Downs INT'!$CG$6:$CG$747=$D54)*('Rates &amp; Drop Downs INT'!$CI$6:$CI$747=$F54)*('Rates &amp; Drop Downs INT'!$CK$6:$CK$747=$K54)*('Rates &amp; Drop Downs INT'!$CM$6:$CM$747)))</f>
        <v>0</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t="str">
        <f>IFERROR(IF(ISBLANK(K54)," ",_xlfn.XLOOKUP(K54,'Rates &amp; Drop Downs INT'!C:C,'Rates &amp; Drop Downs INT'!J:J)),N54)</f>
        <v xml:space="preserve"> </v>
      </c>
      <c r="W54" s="1203" t="str">
        <f t="shared" si="0"/>
        <v xml:space="preserve"> </v>
      </c>
      <c r="X54" s="1203"/>
      <c r="Y54" s="880">
        <v>10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t="s">
        <v>2271</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zoomScale="80" zoomScaleNormal="80" workbookViewId="0">
      <selection activeCell="H6" sqref="H6"/>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8.2" thickBot="1" x14ac:dyDescent="0.3">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customHeight="1" x14ac:dyDescent="0.25">
      <c r="A9" s="157"/>
      <c r="B9" s="158"/>
      <c r="C9" s="158"/>
      <c r="D9" s="158"/>
      <c r="E9" s="158"/>
      <c r="F9" s="158"/>
      <c r="G9" s="1799" t="s">
        <v>2173</v>
      </c>
      <c r="H9" s="1800"/>
      <c r="I9" s="1800"/>
      <c r="J9" s="1800"/>
      <c r="K9" s="1801"/>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40.200000000000003" thickBot="1" x14ac:dyDescent="0.35">
      <c r="A10" s="157"/>
      <c r="B10" s="158"/>
      <c r="C10" s="158"/>
      <c r="D10" s="158"/>
      <c r="E10" s="158"/>
      <c r="F10" s="158"/>
      <c r="G10" s="1802"/>
      <c r="H10" s="1803"/>
      <c r="I10" s="1803"/>
      <c r="J10" s="1803"/>
      <c r="K10" s="1804"/>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8.2" thickBot="1" x14ac:dyDescent="0.3">
      <c r="A11" s="157"/>
      <c r="B11" s="158"/>
      <c r="C11" s="158"/>
      <c r="D11" s="158"/>
      <c r="E11" s="158"/>
      <c r="F11" s="158"/>
      <c r="G11" s="1805"/>
      <c r="H11" s="1806"/>
      <c r="I11" s="1806"/>
      <c r="J11" s="1806"/>
      <c r="K11" s="1807"/>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1808" t="s">
        <v>1966</v>
      </c>
    </row>
    <row r="12" spans="1:94" s="161" customFormat="1" ht="28.2" thickBot="1" x14ac:dyDescent="0.35">
      <c r="A12" s="157"/>
      <c r="B12" s="158"/>
      <c r="C12" s="158"/>
      <c r="D12" s="158"/>
      <c r="E12" s="158"/>
      <c r="F12" s="158"/>
      <c r="G12" s="1810" t="s">
        <v>1967</v>
      </c>
      <c r="H12" s="1811"/>
      <c r="I12" s="1811"/>
      <c r="J12" s="1811"/>
      <c r="K12" s="1812"/>
      <c r="L12" s="1816" t="s">
        <v>1</v>
      </c>
      <c r="M12" s="1817"/>
      <c r="N12" s="166" t="s">
        <v>1968</v>
      </c>
      <c r="O12" s="1820" t="s">
        <v>1969</v>
      </c>
      <c r="P12" s="1820"/>
      <c r="Q12" s="1784"/>
      <c r="R12" s="1783" t="s">
        <v>1970</v>
      </c>
      <c r="S12" s="1784"/>
      <c r="T12" s="1783" t="s">
        <v>1971</v>
      </c>
      <c r="U12" s="1784"/>
      <c r="V12" s="1783" t="s">
        <v>1972</v>
      </c>
      <c r="W12" s="1820"/>
      <c r="X12" s="1820"/>
      <c r="Y12" s="1820"/>
      <c r="Z12" s="1820"/>
      <c r="AA12" s="1820"/>
      <c r="AB12" s="1820"/>
      <c r="AC12" s="1820"/>
      <c r="AD12" s="1820"/>
      <c r="AE12" s="1820"/>
      <c r="AF12" s="1820"/>
      <c r="AG12" s="1820"/>
      <c r="AH12" s="1820"/>
      <c r="AI12" s="1820"/>
      <c r="AJ12" s="1820"/>
      <c r="AK12" s="1820"/>
      <c r="AL12" s="1820"/>
      <c r="AM12" s="1820"/>
      <c r="AN12" s="1820"/>
      <c r="AO12" s="1820"/>
      <c r="AP12" s="1820"/>
      <c r="AQ12" s="1820"/>
      <c r="AR12" s="1820"/>
      <c r="AS12" s="1784"/>
      <c r="AT12" s="1783" t="s">
        <v>1973</v>
      </c>
      <c r="AU12" s="1784"/>
      <c r="AV12" s="1783" t="s">
        <v>1974</v>
      </c>
      <c r="AW12" s="1784"/>
      <c r="AX12" s="1783" t="s">
        <v>1975</v>
      </c>
      <c r="AY12" s="1784"/>
      <c r="AZ12" s="1783" t="s">
        <v>1976</v>
      </c>
      <c r="BA12" s="1784"/>
      <c r="BB12" s="1783" t="s">
        <v>1977</v>
      </c>
      <c r="BC12" s="1784"/>
      <c r="BD12" s="1783" t="s">
        <v>1973</v>
      </c>
      <c r="BE12" s="1784"/>
      <c r="BF12" s="1783" t="s">
        <v>1974</v>
      </c>
      <c r="BG12" s="1784"/>
      <c r="BH12" s="1783" t="s">
        <v>1975</v>
      </c>
      <c r="BI12" s="1784"/>
      <c r="BJ12" s="1783" t="s">
        <v>1976</v>
      </c>
      <c r="BK12" s="1784"/>
      <c r="BL12" s="1783" t="s">
        <v>1977</v>
      </c>
      <c r="BM12" s="1784"/>
      <c r="BN12" s="161" t="s">
        <v>2201</v>
      </c>
      <c r="BO12" s="161" t="s">
        <v>2200</v>
      </c>
      <c r="BR12" s="1809"/>
      <c r="BS12" s="1785" t="s">
        <v>2175</v>
      </c>
      <c r="BT12" s="1786"/>
      <c r="BU12" s="167"/>
    </row>
    <row r="13" spans="1:94" s="161" customFormat="1" ht="28.2" thickBot="1" x14ac:dyDescent="0.35">
      <c r="A13" s="157"/>
      <c r="B13" s="158"/>
      <c r="C13" s="158"/>
      <c r="D13" s="158"/>
      <c r="E13" s="158"/>
      <c r="F13" s="158"/>
      <c r="G13" s="1813"/>
      <c r="H13" s="1814"/>
      <c r="I13" s="1814"/>
      <c r="J13" s="1814"/>
      <c r="K13" s="1815"/>
      <c r="L13" s="1818"/>
      <c r="M13" s="1819"/>
      <c r="N13" s="168" t="s">
        <v>1978</v>
      </c>
      <c r="O13" s="1789" t="s">
        <v>1979</v>
      </c>
      <c r="P13" s="1789"/>
      <c r="Q13" s="1790"/>
      <c r="R13" s="1791" t="s">
        <v>1980</v>
      </c>
      <c r="S13" s="1792"/>
      <c r="T13" s="1791" t="s">
        <v>1980</v>
      </c>
      <c r="U13" s="1792"/>
      <c r="V13" s="1791" t="s">
        <v>1980</v>
      </c>
      <c r="W13" s="1793"/>
      <c r="X13" s="1793"/>
      <c r="Y13" s="1793"/>
      <c r="Z13" s="1793"/>
      <c r="AA13" s="1793"/>
      <c r="AB13" s="1793"/>
      <c r="AC13" s="1793"/>
      <c r="AD13" s="1793"/>
      <c r="AE13" s="1793"/>
      <c r="AF13" s="1793"/>
      <c r="AG13" s="1793"/>
      <c r="AH13" s="1793"/>
      <c r="AI13" s="1793"/>
      <c r="AJ13" s="1793"/>
      <c r="AK13" s="1793"/>
      <c r="AL13" s="1793"/>
      <c r="AM13" s="1793"/>
      <c r="AN13" s="1793"/>
      <c r="AO13" s="1793"/>
      <c r="AP13" s="1793"/>
      <c r="AQ13" s="1793"/>
      <c r="AR13" s="1793"/>
      <c r="AS13" s="1792"/>
      <c r="AT13" s="1791" t="s">
        <v>1980</v>
      </c>
      <c r="AU13" s="1792"/>
      <c r="AV13" s="1791" t="s">
        <v>1980</v>
      </c>
      <c r="AW13" s="1792"/>
      <c r="AX13" s="1791" t="s">
        <v>1980</v>
      </c>
      <c r="AY13" s="1792"/>
      <c r="AZ13" s="1794" t="s">
        <v>1981</v>
      </c>
      <c r="BA13" s="1795"/>
      <c r="BB13" s="1794" t="s">
        <v>1982</v>
      </c>
      <c r="BC13" s="1795"/>
      <c r="BD13" s="1791" t="s">
        <v>1980</v>
      </c>
      <c r="BE13" s="1792"/>
      <c r="BF13" s="1791" t="s">
        <v>1980</v>
      </c>
      <c r="BG13" s="1792"/>
      <c r="BH13" s="1791" t="s">
        <v>1980</v>
      </c>
      <c r="BI13" s="1792"/>
      <c r="BJ13" s="1794" t="s">
        <v>1981</v>
      </c>
      <c r="BK13" s="1795"/>
      <c r="BL13" s="1794" t="s">
        <v>1982</v>
      </c>
      <c r="BM13" s="1795"/>
      <c r="BN13" s="1796" t="s">
        <v>1983</v>
      </c>
      <c r="BO13" s="1797"/>
      <c r="BP13" s="1797"/>
      <c r="BQ13" s="1797"/>
      <c r="BR13" s="1798"/>
      <c r="BS13" s="1787"/>
      <c r="BT13" s="1788"/>
      <c r="BU13" s="167"/>
    </row>
    <row r="14" spans="1:94" s="191" customFormat="1" ht="40.200000000000003" thickBot="1" x14ac:dyDescent="0.35">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21" thickBot="1" x14ac:dyDescent="0.35">
      <c r="A15" s="192">
        <v>1</v>
      </c>
      <c r="B15" s="193">
        <v>3</v>
      </c>
      <c r="C15" s="193" t="str">
        <f t="shared" ref="C15:C32" si="46">G15&amp;"__"&amp;H15</f>
        <v>Acquia__Acquia</v>
      </c>
      <c r="D15" s="193" t="str">
        <f t="shared" ref="D15:D32" si="47">G15&amp;"__"&amp;H15&amp;"__"&amp;I15</f>
        <v>Acquia__Acquia__Acquia CDP</v>
      </c>
      <c r="E15" s="193">
        <v>21</v>
      </c>
      <c r="F15" s="193">
        <v>8</v>
      </c>
      <c r="G15" s="194" t="str">
        <f>'2. Roles &amp; Pricing'!D48</f>
        <v>Acquia</v>
      </c>
      <c r="H15" s="194" t="str">
        <f>'2. Roles &amp; Pricing'!E48</f>
        <v>Acquia</v>
      </c>
      <c r="I15" s="194" t="str">
        <f>'2. Roles &amp; Pricing'!F48</f>
        <v>Acquia CDP</v>
      </c>
      <c r="J15" s="196" t="str">
        <f>'2. Roles &amp; Pricing'!K48</f>
        <v>Data Analyst</v>
      </c>
      <c r="K15" s="197" t="str">
        <f>'2. Roles &amp; Pricing'!W48</f>
        <v>Onshore</v>
      </c>
      <c r="L15" s="195"/>
      <c r="M15" s="196"/>
      <c r="N15" s="707">
        <f>IFERROR('2. Roles &amp; Pricing'!F170/40,"")</f>
        <v>1</v>
      </c>
      <c r="O15" s="707">
        <f>IFERROR('2. Roles &amp; Pricing'!I170/40,"")</f>
        <v>1</v>
      </c>
      <c r="P15" s="707">
        <f>IFERROR('2. Roles &amp; Pricing'!K170/40,"")</f>
        <v>1</v>
      </c>
      <c r="Q15" s="707">
        <f>IFERROR('2. Roles &amp; Pricing'!L170/40,"")</f>
        <v>1</v>
      </c>
      <c r="R15" s="707">
        <f>IFERROR('2. Roles &amp; Pricing'!M170/40,"")</f>
        <v>1</v>
      </c>
      <c r="S15" s="1620">
        <f>IFERROR('2. Roles &amp; Pricing'!N170/40,"")</f>
        <v>1</v>
      </c>
      <c r="T15" s="707">
        <f>IFERROR('2. Roles &amp; Pricing'!O170/40,"")</f>
        <v>1</v>
      </c>
      <c r="U15" s="709">
        <f>IFERROR('2. Roles &amp; Pricing'!P170/40,"")</f>
        <v>1</v>
      </c>
      <c r="V15" s="709">
        <f>IFERROR('2. Roles &amp; Pricing'!Q170/40,"")</f>
        <v>1</v>
      </c>
      <c r="W15" s="709">
        <f>IFERROR('2. Roles &amp; Pricing'!R170/40,"")</f>
        <v>1</v>
      </c>
      <c r="X15" s="708">
        <f>IFERROR('2. Roles &amp; Pricing'!S170/40,"")</f>
        <v>1</v>
      </c>
      <c r="Y15" s="708">
        <f>IFERROR('2. Roles &amp; Pricing'!T170/40,"")</f>
        <v>1</v>
      </c>
      <c r="Z15" s="708">
        <f>IFERROR('2. Roles &amp; Pricing'!U170/40,"")</f>
        <v>1</v>
      </c>
      <c r="AA15" s="708">
        <f>IFERROR('2. Roles &amp; Pricing'!Y170/40,"")</f>
        <v>1</v>
      </c>
      <c r="AB15" s="708">
        <f>IFERROR('2. Roles &amp; Pricing'!Z170/40,"")</f>
        <v>1</v>
      </c>
      <c r="AC15" s="708">
        <f>IFERROR('2. Roles &amp; Pricing'!AA170/40,"")</f>
        <v>1</v>
      </c>
      <c r="AD15" s="708">
        <f>IFERROR('2. Roles &amp; Pricing'!AB170/40,"")</f>
        <v>1</v>
      </c>
      <c r="AE15" s="708">
        <f>IFERROR('2. Roles &amp; Pricing'!AG170/40,"")</f>
        <v>1</v>
      </c>
      <c r="AF15" s="708">
        <f>IFERROR('2. Roles &amp; Pricing'!AH170/40,"")</f>
        <v>1</v>
      </c>
      <c r="AG15" s="708">
        <f>IFERROR('2. Roles &amp; Pricing'!AI170/40,"")</f>
        <v>1</v>
      </c>
      <c r="AH15" s="708">
        <f>IFERROR('2. Roles &amp; Pricing'!AJ170/40,"")</f>
        <v>1</v>
      </c>
      <c r="AI15" s="708">
        <f>IFERROR('2. Roles &amp; Pricing'!AK170/40,"")</f>
        <v>1</v>
      </c>
      <c r="AJ15" s="708">
        <f>IFERROR('2. Roles &amp; Pricing'!AL170/40,"")</f>
        <v>1</v>
      </c>
      <c r="AK15" s="708">
        <f>IFERROR('2. Roles &amp; Pricing'!AM170/40,"")</f>
        <v>1</v>
      </c>
      <c r="AL15" s="708">
        <f>IFERROR('2. Roles &amp; Pricing'!AN170/40,"")</f>
        <v>1</v>
      </c>
      <c r="AM15" s="708">
        <f>IFERROR('2. Roles &amp; Pricing'!AO170/40,"")</f>
        <v>1</v>
      </c>
      <c r="AN15" s="708">
        <f>IFERROR('2. Roles &amp; Pricing'!AP170/40,"")</f>
        <v>1</v>
      </c>
      <c r="AO15" s="708">
        <f>IFERROR('2. Roles &amp; Pricing'!AQ170/40,"")</f>
        <v>1</v>
      </c>
      <c r="AP15" s="708">
        <f>IFERROR('2. Roles &amp; Pricing'!AR170/40,"")</f>
        <v>1</v>
      </c>
      <c r="AQ15" s="708">
        <f>IFERROR('2. Roles &amp; Pricing'!AS170/40,"")</f>
        <v>1</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30</v>
      </c>
      <c r="BO15" s="198">
        <f>+BN15*5</f>
        <v>150</v>
      </c>
      <c r="BP15" s="199">
        <f>'2. Roles &amp; Pricing'!D291</f>
        <v>192000</v>
      </c>
      <c r="BQ15" s="199">
        <f>'2. Roles &amp; Pricing'!F291</f>
        <v>102000</v>
      </c>
      <c r="BR15" s="623">
        <f>'2. Roles &amp; Pricing'!F291</f>
        <v>102000</v>
      </c>
      <c r="BS15" s="200">
        <f>'2. Roles &amp; Pricing'!I291</f>
        <v>160</v>
      </c>
      <c r="BT15" s="201">
        <f>BP15</f>
        <v>192000</v>
      </c>
      <c r="BU15" s="202">
        <f t="shared" ref="BU15:BU32" si="48">BO15*8</f>
        <v>1200</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1" thickBot="1" x14ac:dyDescent="0.35">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v>
      </c>
      <c r="O16" s="707">
        <f>IFERROR('2. Roles &amp; Pricing'!I171/40,"")</f>
        <v>0</v>
      </c>
      <c r="P16" s="707">
        <f>IFERROR('2. Roles &amp; Pricing'!K171/40,"")</f>
        <v>0</v>
      </c>
      <c r="Q16" s="707">
        <f>IFERROR('2. Roles &amp; Pricing'!L171/40,"")</f>
        <v>0</v>
      </c>
      <c r="R16" s="707">
        <f>IFERROR('2. Roles &amp; Pricing'!M171/40,"")</f>
        <v>1</v>
      </c>
      <c r="S16" s="707">
        <f>IFERROR('2. Roles &amp; Pricing'!N171/40,"")</f>
        <v>1</v>
      </c>
      <c r="T16" s="707">
        <f>IFERROR('2. Roles &amp; Pricing'!O171/40,"")</f>
        <v>1</v>
      </c>
      <c r="U16" s="709">
        <f>IFERROR('2. Roles &amp; Pricing'!P171/40,"")</f>
        <v>1</v>
      </c>
      <c r="V16" s="709">
        <f>IFERROR('2. Roles &amp; Pricing'!Q171/40,"")</f>
        <v>1</v>
      </c>
      <c r="W16" s="709">
        <f>IFERROR('2. Roles &amp; Pricing'!R171/40,"")</f>
        <v>1</v>
      </c>
      <c r="X16" s="708">
        <f>IFERROR('2. Roles &amp; Pricing'!S171/40,"")</f>
        <v>1</v>
      </c>
      <c r="Y16" s="708">
        <f>IFERROR('2. Roles &amp; Pricing'!T171/40,"")</f>
        <v>1</v>
      </c>
      <c r="Z16" s="708">
        <f>IFERROR('2. Roles &amp; Pricing'!U171/40,"")</f>
        <v>1</v>
      </c>
      <c r="AA16" s="708">
        <f>IFERROR('2. Roles &amp; Pricing'!Y171/40,"")</f>
        <v>0</v>
      </c>
      <c r="AB16" s="708">
        <f>IFERROR('2. Roles &amp; Pricing'!Z171/40,"")</f>
        <v>0</v>
      </c>
      <c r="AC16" s="708">
        <f>IFERROR('2. Roles &amp; Pricing'!AA171/40,"")</f>
        <v>0</v>
      </c>
      <c r="AD16" s="708">
        <f>IFERROR('2. Roles &amp; Pricing'!AB171/40,"")</f>
        <v>0</v>
      </c>
      <c r="AE16" s="708">
        <f>IFERROR('2. Roles &amp; Pricing'!AG171/40,"")</f>
        <v>1</v>
      </c>
      <c r="AF16" s="708">
        <f>IFERROR('2. Roles &amp; Pricing'!AH171/40,"")</f>
        <v>1</v>
      </c>
      <c r="AG16" s="708">
        <f>IFERROR('2. Roles &amp; Pricing'!AI171/40,"")</f>
        <v>1</v>
      </c>
      <c r="AH16" s="708">
        <f>IFERROR('2. Roles &amp; Pricing'!AJ171/40,"")</f>
        <v>1</v>
      </c>
      <c r="AI16" s="708">
        <f>IFERROR('2. Roles &amp; Pricing'!AK171/40,"")</f>
        <v>1</v>
      </c>
      <c r="AJ16" s="708">
        <f>IFERROR('2. Roles &amp; Pricing'!AL171/40,"")</f>
        <v>1</v>
      </c>
      <c r="AK16" s="708">
        <f>IFERROR('2. Roles &amp; Pricing'!AM171/40,"")</f>
        <v>1</v>
      </c>
      <c r="AL16" s="708">
        <f>IFERROR('2. Roles &amp; Pricing'!AN171/40,"")</f>
        <v>1</v>
      </c>
      <c r="AM16" s="708">
        <f>IFERROR('2. Roles &amp; Pricing'!AO171/40,"")</f>
        <v>1</v>
      </c>
      <c r="AN16" s="708">
        <f>IFERROR('2. Roles &amp; Pricing'!AP171/40,"")</f>
        <v>1</v>
      </c>
      <c r="AO16" s="708">
        <f>IFERROR('2. Roles &amp; Pricing'!AQ171/40,"")</f>
        <v>1</v>
      </c>
      <c r="AP16" s="708">
        <f>IFERROR('2. Roles &amp; Pricing'!AR171/40,"")</f>
        <v>1</v>
      </c>
      <c r="AQ16" s="708">
        <f>IFERROR('2. Roles &amp; Pricing'!AS171/40,"")</f>
        <v>1</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22</v>
      </c>
      <c r="BO16" s="213">
        <f t="shared" ref="BO16:BO32" si="50">+BN16*5</f>
        <v>110</v>
      </c>
      <c r="BP16" s="199">
        <f>'2. Roles &amp; Pricing'!D292</f>
        <v>48400</v>
      </c>
      <c r="BQ16" s="199">
        <f>'2. Roles &amp; Pricing'!F292</f>
        <v>15840</v>
      </c>
      <c r="BR16" s="623">
        <f>'2. Roles &amp; Pricing'!F292</f>
        <v>15840</v>
      </c>
      <c r="BS16" s="200">
        <f>'2. Roles &amp; Pricing'!I292</f>
        <v>55</v>
      </c>
      <c r="BT16" s="201">
        <f t="shared" ref="BT16:BT32" si="51">BP16</f>
        <v>48400</v>
      </c>
      <c r="BU16" s="214">
        <f t="shared" si="48"/>
        <v>880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2" thickBot="1" x14ac:dyDescent="0.35">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4" thickBot="1" x14ac:dyDescent="0.35">
      <c r="A21" s="205">
        <v>7</v>
      </c>
      <c r="B21" s="206">
        <v>3</v>
      </c>
      <c r="C21" s="207" t="str">
        <f t="shared" si="46"/>
        <v>0__</v>
      </c>
      <c r="D21" s="207" t="str">
        <f t="shared" si="47"/>
        <v>0____0</v>
      </c>
      <c r="E21" s="207">
        <v>21</v>
      </c>
      <c r="F21" s="207">
        <v>8</v>
      </c>
      <c r="G21" s="208">
        <f>'2. Roles &amp; Pricing'!D54</f>
        <v>0</v>
      </c>
      <c r="H21" s="209" t="str">
        <f>'2. Roles &amp; Pricing'!E54</f>
        <v/>
      </c>
      <c r="I21" s="210">
        <f>'2. Roles &amp; Pricing'!F54</f>
        <v>0</v>
      </c>
      <c r="J21" s="210">
        <f>'2. Roles &amp; Pricing'!K54</f>
        <v>0</v>
      </c>
      <c r="K21" s="197" t="str">
        <f>'2. Roles &amp; Pricing'!W54</f>
        <v xml:space="preserve"> </v>
      </c>
      <c r="L21" s="209"/>
      <c r="M21" s="210"/>
      <c r="N21" s="707">
        <f>IFERROR('2. Roles &amp; Pricing'!F176/40,"")</f>
        <v>0.25</v>
      </c>
      <c r="O21" s="707">
        <f>IFERROR('2. Roles &amp; Pricing'!I176/40,"")</f>
        <v>0.25</v>
      </c>
      <c r="P21" s="707">
        <f>IFERROR('2. Roles &amp; Pricing'!K176/40,"")</f>
        <v>0.25</v>
      </c>
      <c r="Q21" s="707">
        <f>IFERROR('2. Roles &amp; Pricing'!L176/40,"")</f>
        <v>0.25</v>
      </c>
      <c r="R21" s="707">
        <f>IFERROR('2. Roles &amp; Pricing'!M176/40,"")</f>
        <v>0.25</v>
      </c>
      <c r="S21" s="707">
        <f>IFERROR('2. Roles &amp; Pricing'!N176/40,"")</f>
        <v>0.25</v>
      </c>
      <c r="T21" s="707">
        <f>IFERROR('2. Roles &amp; Pricing'!O176/40,"")</f>
        <v>0.25</v>
      </c>
      <c r="U21" s="709">
        <f>IFERROR('2. Roles &amp; Pricing'!P176/40,"")</f>
        <v>0.25</v>
      </c>
      <c r="V21" s="709">
        <f>IFERROR('2. Roles &amp; Pricing'!Q176/40,"")</f>
        <v>0.25</v>
      </c>
      <c r="W21" s="709">
        <f>IFERROR('2. Roles &amp; Pricing'!R176/40,"")</f>
        <v>0.25</v>
      </c>
      <c r="X21" s="708">
        <f>IFERROR('2. Roles &amp; Pricing'!S176/40,"")</f>
        <v>0.25</v>
      </c>
      <c r="Y21" s="708">
        <f>IFERROR('2. Roles &amp; Pricing'!T176/40,"")</f>
        <v>0.25</v>
      </c>
      <c r="Z21" s="708">
        <f>IFERROR('2. Roles &amp; Pricing'!U176/40,"")</f>
        <v>0.25</v>
      </c>
      <c r="AA21" s="708">
        <f>IFERROR('2. Roles &amp; Pricing'!Y176/40,"")</f>
        <v>0.25</v>
      </c>
      <c r="AB21" s="708">
        <f>IFERROR('2. Roles &amp; Pricing'!Z176/40,"")</f>
        <v>0.25</v>
      </c>
      <c r="AC21" s="708">
        <f>IFERROR('2. Roles &amp; Pricing'!AA176/40,"")</f>
        <v>0.25</v>
      </c>
      <c r="AD21" s="708">
        <f>IFERROR('2. Roles &amp; Pricing'!AB176/40,"")</f>
        <v>0.25</v>
      </c>
      <c r="AE21" s="708">
        <f>IFERROR('2. Roles &amp; Pricing'!AG176/40,"")</f>
        <v>0.25</v>
      </c>
      <c r="AF21" s="708">
        <f>IFERROR('2. Roles &amp; Pricing'!AH176/40,"")</f>
        <v>0.25</v>
      </c>
      <c r="AG21" s="708">
        <f>IFERROR('2. Roles &amp; Pricing'!AI176/40,"")</f>
        <v>0.25</v>
      </c>
      <c r="AH21" s="708">
        <f>IFERROR('2. Roles &amp; Pricing'!AJ176/40,"")</f>
        <v>0.25</v>
      </c>
      <c r="AI21" s="708">
        <f>IFERROR('2. Roles &amp; Pricing'!AK176/40,"")</f>
        <v>0.25</v>
      </c>
      <c r="AJ21" s="708">
        <f>IFERROR('2. Roles &amp; Pricing'!AL176/40,"")</f>
        <v>0.25</v>
      </c>
      <c r="AK21" s="708">
        <f>IFERROR('2. Roles &amp; Pricing'!AM176/40,"")</f>
        <v>0.25</v>
      </c>
      <c r="AL21" s="708">
        <f>IFERROR('2. Roles &amp; Pricing'!AN176/40,"")</f>
        <v>0.25</v>
      </c>
      <c r="AM21" s="708">
        <f>IFERROR('2. Roles &amp; Pricing'!AO176/40,"")</f>
        <v>0.25</v>
      </c>
      <c r="AN21" s="708">
        <f>IFERROR('2. Roles &amp; Pricing'!AP176/40,"")</f>
        <v>0.25</v>
      </c>
      <c r="AO21" s="708">
        <f>IFERROR('2. Roles &amp; Pricing'!AQ176/40,"")</f>
        <v>0.25</v>
      </c>
      <c r="AP21" s="708">
        <f>IFERROR('2. Roles &amp; Pricing'!AR176/40,"")</f>
        <v>0.25</v>
      </c>
      <c r="AQ21" s="708">
        <f>IFERROR('2. Roles &amp; Pricing'!AS176/40,"")</f>
        <v>0.25</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7.5</v>
      </c>
      <c r="BO21" s="213">
        <f t="shared" si="50"/>
        <v>37.5</v>
      </c>
      <c r="BP21" s="199">
        <f>'2. Roles &amp; Pricing'!D297</f>
        <v>0</v>
      </c>
      <c r="BQ21" s="199">
        <f>'2. Roles &amp; Pricing'!F297</f>
        <v>0</v>
      </c>
      <c r="BR21" s="623">
        <f>'2. Roles &amp; Pricing'!F297</f>
        <v>0</v>
      </c>
      <c r="BS21" s="200">
        <f>'2. Roles &amp; Pricing'!I297</f>
        <v>0</v>
      </c>
      <c r="BT21" s="201">
        <f t="shared" si="51"/>
        <v>0</v>
      </c>
      <c r="BU21" s="214">
        <f t="shared" si="48"/>
        <v>300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t="str">
        <f>IFERROR('2. Roles &amp; Pricing'!F177/40,"")</f>
        <v/>
      </c>
      <c r="O22" s="707" t="str">
        <f>IFERROR('2. Roles &amp; Pricing'!I177/40,"")</f>
        <v/>
      </c>
      <c r="P22" s="707" t="str">
        <f>IFERROR('2. Roles &amp; Pricing'!K177/40,"")</f>
        <v/>
      </c>
      <c r="Q22" s="707" t="str">
        <f>IFERROR('2. Roles &amp; Pricing'!L177/40,"")</f>
        <v/>
      </c>
      <c r="R22" s="707" t="str">
        <f>IFERROR('2. Roles &amp; Pricing'!M177/40,"")</f>
        <v/>
      </c>
      <c r="S22" s="707" t="str">
        <f>IFERROR('2. Roles &amp; Pricing'!N177/40,"")</f>
        <v/>
      </c>
      <c r="T22" s="707" t="str">
        <f>IFERROR('2. Roles &amp; Pricing'!O177/40,"")</f>
        <v/>
      </c>
      <c r="U22" s="709" t="str">
        <f>IFERROR('2. Roles &amp; Pricing'!P177/40,"")</f>
        <v/>
      </c>
      <c r="V22" s="709" t="str">
        <f>IFERROR('2. Roles &amp; Pricing'!Q177/40,"")</f>
        <v/>
      </c>
      <c r="W22" s="709" t="str">
        <f>IFERROR('2. Roles &amp; Pricing'!R177/40,"")</f>
        <v/>
      </c>
      <c r="X22" s="708" t="str">
        <f>IFERROR('2. Roles &amp; Pricing'!S177/40,"")</f>
        <v/>
      </c>
      <c r="Y22" s="708" t="str">
        <f>IFERROR('2. Roles &amp; Pricing'!T177/40,"")</f>
        <v/>
      </c>
      <c r="Z22" s="708" t="str">
        <f>IFERROR('2. Roles &amp; Pricing'!U177/40,"")</f>
        <v/>
      </c>
      <c r="AA22" s="708" t="str">
        <f>IFERROR('2. Roles &amp; Pricing'!Y177/40,"")</f>
        <v/>
      </c>
      <c r="AB22" s="708" t="str">
        <f>IFERROR('2. Roles &amp; Pricing'!Z177/40,"")</f>
        <v/>
      </c>
      <c r="AC22" s="708" t="str">
        <f>IFERROR('2. Roles &amp; Pricing'!AA177/40,"")</f>
        <v/>
      </c>
      <c r="AD22" s="708" t="str">
        <f>IFERROR('2. Roles &amp; Pricing'!AB177/40,"")</f>
        <v/>
      </c>
      <c r="AE22" s="708" t="str">
        <f>IFERROR('2. Roles &amp; Pricing'!AG177/40,"")</f>
        <v/>
      </c>
      <c r="AF22" s="708" t="str">
        <f>IFERROR('2. Roles &amp; Pricing'!AH177/40,"")</f>
        <v/>
      </c>
      <c r="AG22" s="708" t="str">
        <f>IFERROR('2. Roles &amp; Pricing'!AI177/40,"")</f>
        <v/>
      </c>
      <c r="AH22" s="708" t="str">
        <f>IFERROR('2. Roles &amp; Pricing'!AJ177/40,"")</f>
        <v/>
      </c>
      <c r="AI22" s="708" t="str">
        <f>IFERROR('2. Roles &amp; Pricing'!AK177/40,"")</f>
        <v/>
      </c>
      <c r="AJ22" s="708" t="str">
        <f>IFERROR('2. Roles &amp; Pricing'!AL177/40,"")</f>
        <v/>
      </c>
      <c r="AK22" s="708" t="str">
        <f>IFERROR('2. Roles &amp; Pricing'!AM177/40,"")</f>
        <v/>
      </c>
      <c r="AL22" s="708" t="str">
        <f>IFERROR('2. Roles &amp; Pricing'!AN177/40,"")</f>
        <v/>
      </c>
      <c r="AM22" s="708" t="str">
        <f>IFERROR('2. Roles &amp; Pricing'!AO177/40,"")</f>
        <v/>
      </c>
      <c r="AN22" s="708" t="str">
        <f>IFERROR('2. Roles &amp; Pricing'!AP177/40,"")</f>
        <v/>
      </c>
      <c r="AO22" s="708" t="str">
        <f>IFERROR('2. Roles &amp; Pricing'!AQ177/40,"")</f>
        <v/>
      </c>
      <c r="AP22" s="708" t="str">
        <f>IFERROR('2. Roles &amp; Pricing'!AR177/40,"")</f>
        <v/>
      </c>
      <c r="AQ22" s="708" t="str">
        <f>IFERROR('2. Roles &amp; Pricing'!AS177/40,"")</f>
        <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0</v>
      </c>
      <c r="BO22" s="213">
        <f t="shared" si="50"/>
        <v>0</v>
      </c>
      <c r="BP22" s="199" t="str">
        <f>'2. Roles &amp; Pricing'!D298</f>
        <v/>
      </c>
      <c r="BQ22" s="199">
        <f>'2. Roles &amp; Pricing'!F298</f>
        <v>0</v>
      </c>
      <c r="BR22" s="623">
        <f>'2. Roles &amp; Pricing'!F298</f>
        <v>0</v>
      </c>
      <c r="BS22" s="200">
        <f>'2. Roles &amp; Pricing'!I298</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 customHeight="1" thickBot="1" x14ac:dyDescent="0.35">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770"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4" thickBot="1" x14ac:dyDescent="0.35">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771"/>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4" thickBot="1" x14ac:dyDescent="0.35">
      <c r="A33" s="1780"/>
      <c r="B33" s="1781"/>
      <c r="C33" s="1781"/>
      <c r="D33" s="1781"/>
      <c r="E33" s="1781"/>
      <c r="F33" s="1781"/>
      <c r="G33" s="1781"/>
      <c r="H33" s="1781"/>
      <c r="I33" s="1782"/>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173.5</v>
      </c>
      <c r="BO33" s="250">
        <f>SUM(BO15:BO32)</f>
        <v>867.5</v>
      </c>
      <c r="BP33" s="251">
        <f>SUM(BP15:BP32)</f>
        <v>766000</v>
      </c>
      <c r="BQ33" s="199">
        <f>'2. Roles &amp; Pricing'!F309</f>
        <v>0</v>
      </c>
      <c r="BR33" s="252"/>
      <c r="BS33" s="253"/>
      <c r="BT33" s="254">
        <f>SUM(BT15:BT32)</f>
        <v>766000</v>
      </c>
      <c r="BU33" s="255">
        <f>SUM(BU15:BU32)</f>
        <v>6940</v>
      </c>
    </row>
    <row r="34" spans="1:75" s="204" customFormat="1" ht="14.4" thickBot="1" x14ac:dyDescent="0.35">
      <c r="A34" s="1780"/>
      <c r="B34" s="1781"/>
      <c r="C34" s="1781"/>
      <c r="D34" s="1781"/>
      <c r="E34" s="1781"/>
      <c r="F34" s="1781"/>
      <c r="G34" s="1781"/>
      <c r="H34" s="1781"/>
      <c r="I34" s="1782"/>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4" thickBot="1" x14ac:dyDescent="0.3">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772" t="s">
        <v>2021</v>
      </c>
      <c r="BO35" s="1773"/>
      <c r="BP35" s="864">
        <v>0</v>
      </c>
      <c r="BR35" s="141"/>
      <c r="BS35" s="146" t="s">
        <v>2022</v>
      </c>
      <c r="BT35" s="1622">
        <f>IF(H5="Fixed Price",'3. Financial Inputs'!C67,'3. Financial Inputs'!C65)</f>
        <v>0.08</v>
      </c>
      <c r="BU35" s="142" t="s">
        <v>2178</v>
      </c>
    </row>
    <row r="36" spans="1:75" s="140" customFormat="1" ht="14.4" thickBot="1" x14ac:dyDescent="0.3">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774" t="s">
        <v>2024</v>
      </c>
      <c r="BO36" s="1775"/>
      <c r="BP36" s="272">
        <f>+BP33-BP35</f>
        <v>766000</v>
      </c>
      <c r="BR36" s="141"/>
      <c r="BS36" s="145"/>
      <c r="BT36" s="142"/>
      <c r="BU36" s="142"/>
    </row>
    <row r="37" spans="1:75" s="140" customFormat="1" x14ac:dyDescent="0.25">
      <c r="A37" s="141"/>
      <c r="B37" s="262"/>
      <c r="C37" s="262"/>
      <c r="D37" s="262"/>
      <c r="E37" s="262"/>
      <c r="F37" s="262"/>
      <c r="J37" s="273" t="s">
        <v>180</v>
      </c>
      <c r="K37" s="147"/>
      <c r="N37" s="274">
        <f t="shared" ref="N37:AS37" si="52">SUMPRODUCT(N15:N32,$BS$15:$BS$32)*40</f>
        <v>23920</v>
      </c>
      <c r="O37" s="275">
        <f t="shared" si="52"/>
        <v>23920</v>
      </c>
      <c r="P37" s="276">
        <f t="shared" si="52"/>
        <v>23920</v>
      </c>
      <c r="Q37" s="277">
        <f t="shared" si="52"/>
        <v>23920</v>
      </c>
      <c r="R37" s="278">
        <f t="shared" si="52"/>
        <v>26120</v>
      </c>
      <c r="S37" s="277">
        <f t="shared" si="52"/>
        <v>26120</v>
      </c>
      <c r="T37" s="278">
        <f t="shared" si="52"/>
        <v>26120</v>
      </c>
      <c r="U37" s="277">
        <f t="shared" si="52"/>
        <v>26120</v>
      </c>
      <c r="V37" s="278">
        <f t="shared" si="52"/>
        <v>26120</v>
      </c>
      <c r="W37" s="277">
        <f t="shared" si="52"/>
        <v>26120</v>
      </c>
      <c r="X37" s="278">
        <f t="shared" si="52"/>
        <v>26120</v>
      </c>
      <c r="Y37" s="277">
        <f t="shared" si="52"/>
        <v>26120</v>
      </c>
      <c r="Z37" s="278">
        <f t="shared" si="52"/>
        <v>26120</v>
      </c>
      <c r="AA37" s="277">
        <f t="shared" si="52"/>
        <v>23920</v>
      </c>
      <c r="AB37" s="278">
        <f t="shared" si="52"/>
        <v>23920</v>
      </c>
      <c r="AC37" s="277">
        <f t="shared" si="52"/>
        <v>23920</v>
      </c>
      <c r="AD37" s="278">
        <f t="shared" si="52"/>
        <v>23920</v>
      </c>
      <c r="AE37" s="277">
        <f t="shared" si="52"/>
        <v>26120</v>
      </c>
      <c r="AF37" s="278">
        <f t="shared" si="52"/>
        <v>26120</v>
      </c>
      <c r="AG37" s="277">
        <f t="shared" si="52"/>
        <v>26120</v>
      </c>
      <c r="AH37" s="277">
        <f t="shared" si="52"/>
        <v>26120</v>
      </c>
      <c r="AI37" s="278">
        <f t="shared" si="52"/>
        <v>26120</v>
      </c>
      <c r="AJ37" s="277">
        <f t="shared" si="52"/>
        <v>26120</v>
      </c>
      <c r="AK37" s="278">
        <f t="shared" si="52"/>
        <v>26120</v>
      </c>
      <c r="AL37" s="277">
        <f t="shared" si="52"/>
        <v>26120</v>
      </c>
      <c r="AM37" s="278">
        <f t="shared" si="52"/>
        <v>26120</v>
      </c>
      <c r="AN37" s="277">
        <f t="shared" si="52"/>
        <v>26120</v>
      </c>
      <c r="AO37" s="278">
        <f t="shared" si="52"/>
        <v>26120</v>
      </c>
      <c r="AP37" s="277">
        <f t="shared" si="52"/>
        <v>26120</v>
      </c>
      <c r="AQ37" s="278">
        <f t="shared" si="52"/>
        <v>26120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776" t="s">
        <v>2025</v>
      </c>
      <c r="BO37" s="1777"/>
      <c r="BP37" s="279">
        <f>+BP36*1.4</f>
        <v>1072400</v>
      </c>
      <c r="BR37" s="141"/>
      <c r="BS37" s="280"/>
      <c r="BT37" s="281" t="s">
        <v>2026</v>
      </c>
      <c r="BU37" s="281" t="s">
        <v>2027</v>
      </c>
      <c r="BV37" s="281" t="s">
        <v>2028</v>
      </c>
    </row>
    <row r="38" spans="1:75" s="140" customFormat="1" ht="14.4" thickBot="1" x14ac:dyDescent="0.3">
      <c r="A38" s="141"/>
      <c r="B38" s="262"/>
      <c r="C38" s="262"/>
      <c r="D38" s="262"/>
      <c r="E38" s="262"/>
      <c r="F38" s="262"/>
      <c r="J38" s="273" t="s">
        <v>2029</v>
      </c>
      <c r="K38" s="147"/>
      <c r="N38" s="282">
        <f>SUM(N37)</f>
        <v>23920</v>
      </c>
      <c r="O38" s="1753">
        <f>SUM(O37:Q37)</f>
        <v>71760</v>
      </c>
      <c r="P38" s="1754"/>
      <c r="Q38" s="1755"/>
      <c r="R38" s="1756">
        <f>SUM(R37:S37)</f>
        <v>52240</v>
      </c>
      <c r="S38" s="1757"/>
      <c r="T38" s="1753">
        <f>SUM(T37:U37)</f>
        <v>52240</v>
      </c>
      <c r="U38" s="1755"/>
      <c r="V38" s="1756">
        <f>SUM(V37:AS37)</f>
        <v>565840</v>
      </c>
      <c r="W38" s="1758"/>
      <c r="X38" s="1758"/>
      <c r="Y38" s="1758"/>
      <c r="Z38" s="1758"/>
      <c r="AA38" s="1758"/>
      <c r="AB38" s="1758"/>
      <c r="AC38" s="1758"/>
      <c r="AD38" s="1758"/>
      <c r="AE38" s="1758"/>
      <c r="AF38" s="1758"/>
      <c r="AG38" s="1758"/>
      <c r="AH38" s="1758"/>
      <c r="AI38" s="1758"/>
      <c r="AJ38" s="1758"/>
      <c r="AK38" s="1758"/>
      <c r="AL38" s="1758"/>
      <c r="AM38" s="1758"/>
      <c r="AN38" s="1758"/>
      <c r="AO38" s="1758"/>
      <c r="AP38" s="1758"/>
      <c r="AQ38" s="1758"/>
      <c r="AR38" s="1758"/>
      <c r="AS38" s="1757"/>
      <c r="AT38" s="1753">
        <f>SUM(AT37:AU37)</f>
        <v>0</v>
      </c>
      <c r="AU38" s="1755"/>
      <c r="AV38" s="1756">
        <f>SUM(AV37:AW37)</f>
        <v>0</v>
      </c>
      <c r="AW38" s="1757"/>
      <c r="AX38" s="1753">
        <f>SUM(AX37:AY37)</f>
        <v>0</v>
      </c>
      <c r="AY38" s="1755"/>
      <c r="AZ38" s="1756">
        <f>SUM(AZ37:BA37)</f>
        <v>0</v>
      </c>
      <c r="BA38" s="1757"/>
      <c r="BB38" s="1753">
        <f>SUM(BB37:BC37)</f>
        <v>0</v>
      </c>
      <c r="BC38" s="1755"/>
      <c r="BD38" s="1753">
        <f>SUM(BD37:BE37)</f>
        <v>0</v>
      </c>
      <c r="BE38" s="1755"/>
      <c r="BF38" s="1756">
        <f>SUM(BF37:BG37)</f>
        <v>0</v>
      </c>
      <c r="BG38" s="1757"/>
      <c r="BH38" s="1753">
        <f>SUM(BH37:BI37)</f>
        <v>0</v>
      </c>
      <c r="BI38" s="1755"/>
      <c r="BJ38" s="1756">
        <f>SUM(BJ37:BK37)</f>
        <v>0</v>
      </c>
      <c r="BK38" s="1757"/>
      <c r="BL38" s="1753">
        <f>SUM(BL37:BM37)</f>
        <v>0</v>
      </c>
      <c r="BM38" s="1755"/>
      <c r="BN38" s="1778" t="s">
        <v>2030</v>
      </c>
      <c r="BO38" s="1779"/>
      <c r="BP38" s="283">
        <f>+BP36*1.2</f>
        <v>919200</v>
      </c>
      <c r="BR38" s="141"/>
      <c r="BS38" s="284" t="s">
        <v>2031</v>
      </c>
      <c r="BT38" s="285">
        <f>BP36-BP35</f>
        <v>766000</v>
      </c>
      <c r="BU38" s="286">
        <f>(BT38-BQ33)/BT38</f>
        <v>1</v>
      </c>
      <c r="BV38" s="285">
        <f>BT38/BU33</f>
        <v>110.37463976945244</v>
      </c>
    </row>
    <row r="39" spans="1:75" s="140" customFormat="1" ht="14.4" thickBot="1" x14ac:dyDescent="0.3">
      <c r="A39" s="141"/>
      <c r="B39" s="262"/>
      <c r="C39" s="262"/>
      <c r="D39" s="262"/>
      <c r="E39" s="262"/>
      <c r="F39" s="262"/>
      <c r="J39" s="287" t="s">
        <v>2032</v>
      </c>
      <c r="K39" s="147"/>
      <c r="N39" s="1766">
        <f>SUM(N37:Q37)</f>
        <v>95680</v>
      </c>
      <c r="O39" s="1767"/>
      <c r="P39" s="1767"/>
      <c r="Q39" s="1767"/>
      <c r="R39" s="1768">
        <f>SUM(R37:U37)</f>
        <v>104480</v>
      </c>
      <c r="S39" s="1769"/>
      <c r="T39" s="1769"/>
      <c r="U39" s="1769"/>
      <c r="V39" s="1766">
        <f>SUM(V37:BE37)</f>
        <v>565840</v>
      </c>
      <c r="W39" s="1767"/>
      <c r="X39" s="1767"/>
      <c r="Y39" s="1767"/>
      <c r="Z39" s="1767"/>
      <c r="AA39" s="1767"/>
      <c r="AB39" s="1767"/>
      <c r="AC39" s="1767"/>
      <c r="AD39" s="1767"/>
      <c r="AE39" s="1767"/>
      <c r="AF39" s="1767"/>
      <c r="AG39" s="1767"/>
      <c r="AH39" s="1767"/>
      <c r="AI39" s="1767"/>
      <c r="AJ39" s="1767"/>
      <c r="AK39" s="1767"/>
      <c r="AL39" s="1767"/>
      <c r="AM39" s="1767"/>
      <c r="AN39" s="1767"/>
      <c r="AO39" s="1767"/>
      <c r="AP39" s="1767"/>
      <c r="AQ39" s="1767"/>
      <c r="AR39" s="1767"/>
      <c r="AS39" s="1767"/>
      <c r="AT39" s="1767"/>
      <c r="AU39" s="1767"/>
      <c r="AV39" s="1767"/>
      <c r="AW39" s="1767"/>
      <c r="AX39" s="1767"/>
      <c r="AY39" s="1767"/>
      <c r="AZ39" s="1767"/>
      <c r="BA39" s="1767"/>
      <c r="BB39" s="1767"/>
      <c r="BC39" s="1767"/>
      <c r="BD39" s="1767"/>
      <c r="BE39" s="1767"/>
      <c r="BF39" s="1768">
        <f>SUM(BF37:BI37)</f>
        <v>0</v>
      </c>
      <c r="BG39" s="1769"/>
      <c r="BH39" s="1769"/>
      <c r="BI39" s="1769"/>
      <c r="BJ39" s="1766">
        <f>SUM(BJ37:BM37)</f>
        <v>0</v>
      </c>
      <c r="BK39" s="1767"/>
      <c r="BL39" s="1767"/>
      <c r="BM39" s="1767"/>
      <c r="BN39" s="1762" t="s">
        <v>2033</v>
      </c>
      <c r="BO39" s="1763"/>
      <c r="BP39" s="288">
        <f>+BP36*1.3</f>
        <v>995800</v>
      </c>
      <c r="BR39" s="141"/>
      <c r="BS39" s="289" t="s">
        <v>2034</v>
      </c>
      <c r="BT39" s="290">
        <f>BT33-BT35</f>
        <v>765999.92</v>
      </c>
      <c r="BU39" s="291">
        <f>(BT39-BQ33)/BT39</f>
        <v>1</v>
      </c>
      <c r="BV39" s="290">
        <f>BT39/BU33</f>
        <v>110.37462824207493</v>
      </c>
    </row>
    <row r="40" spans="1:75" s="140" customFormat="1" ht="14.4" thickBot="1" x14ac:dyDescent="0.3">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4" thickBot="1" x14ac:dyDescent="0.3">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764" t="s">
        <v>2038</v>
      </c>
      <c r="BO41" s="1765"/>
      <c r="BP41" s="293">
        <f>BT33</f>
        <v>766000</v>
      </c>
      <c r="BQ41" s="294" t="s">
        <v>2039</v>
      </c>
      <c r="BR41" s="141"/>
    </row>
    <row r="42" spans="1:75" x14ac:dyDescent="0.25">
      <c r="J42" s="273" t="s">
        <v>180</v>
      </c>
      <c r="N42" s="274">
        <f t="shared" ref="N42:AS42" si="54">SUMPRODUCT(N15:N32,$BS$15:$BS$32)*40*1.2</f>
        <v>28704</v>
      </c>
      <c r="O42" s="278">
        <f t="shared" si="54"/>
        <v>28704</v>
      </c>
      <c r="P42" s="276">
        <f t="shared" si="54"/>
        <v>28704</v>
      </c>
      <c r="Q42" s="277">
        <f t="shared" si="54"/>
        <v>28704</v>
      </c>
      <c r="R42" s="278">
        <f t="shared" si="54"/>
        <v>31344</v>
      </c>
      <c r="S42" s="277">
        <f t="shared" si="54"/>
        <v>31344</v>
      </c>
      <c r="T42" s="278">
        <f t="shared" si="54"/>
        <v>31344</v>
      </c>
      <c r="U42" s="277">
        <f t="shared" si="54"/>
        <v>31344</v>
      </c>
      <c r="V42" s="278">
        <f t="shared" si="54"/>
        <v>31344</v>
      </c>
      <c r="W42" s="277">
        <f t="shared" si="54"/>
        <v>31344</v>
      </c>
      <c r="X42" s="278">
        <f t="shared" si="54"/>
        <v>31344</v>
      </c>
      <c r="Y42" s="277">
        <f t="shared" si="54"/>
        <v>31344</v>
      </c>
      <c r="Z42" s="278">
        <f t="shared" si="54"/>
        <v>31344</v>
      </c>
      <c r="AA42" s="277">
        <f t="shared" si="54"/>
        <v>28704</v>
      </c>
      <c r="AB42" s="278">
        <f t="shared" si="54"/>
        <v>28704</v>
      </c>
      <c r="AC42" s="277">
        <f t="shared" si="54"/>
        <v>28704</v>
      </c>
      <c r="AD42" s="278">
        <f t="shared" si="54"/>
        <v>28704</v>
      </c>
      <c r="AE42" s="277">
        <f t="shared" si="54"/>
        <v>31344</v>
      </c>
      <c r="AF42" s="278">
        <f t="shared" si="54"/>
        <v>31344</v>
      </c>
      <c r="AG42" s="277">
        <f t="shared" si="54"/>
        <v>31344</v>
      </c>
      <c r="AH42" s="277">
        <f t="shared" si="54"/>
        <v>31344</v>
      </c>
      <c r="AI42" s="278">
        <f t="shared" si="54"/>
        <v>31344</v>
      </c>
      <c r="AJ42" s="277">
        <f t="shared" si="54"/>
        <v>31344</v>
      </c>
      <c r="AK42" s="278">
        <f t="shared" si="54"/>
        <v>31344</v>
      </c>
      <c r="AL42" s="277">
        <f t="shared" si="54"/>
        <v>31344</v>
      </c>
      <c r="AM42" s="278">
        <f t="shared" si="54"/>
        <v>31344</v>
      </c>
      <c r="AN42" s="277">
        <f t="shared" si="54"/>
        <v>31344</v>
      </c>
      <c r="AO42" s="278">
        <f t="shared" si="54"/>
        <v>31344</v>
      </c>
      <c r="AP42" s="277">
        <f t="shared" si="54"/>
        <v>31344</v>
      </c>
      <c r="AQ42" s="278">
        <f t="shared" si="54"/>
        <v>31344</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747" t="s">
        <v>2040</v>
      </c>
      <c r="BO42" s="1748"/>
      <c r="BP42" s="295"/>
      <c r="BT42" s="281" t="s">
        <v>2041</v>
      </c>
      <c r="BU42" s="281" t="s">
        <v>2042</v>
      </c>
      <c r="BV42" s="281" t="s">
        <v>2028</v>
      </c>
      <c r="BW42" s="296" t="s">
        <v>2043</v>
      </c>
    </row>
    <row r="43" spans="1:75" ht="14.4" thickBot="1" x14ac:dyDescent="0.3">
      <c r="J43" s="273" t="s">
        <v>2029</v>
      </c>
      <c r="N43" s="282">
        <f>SUM(N42)</f>
        <v>28704</v>
      </c>
      <c r="O43" s="1753">
        <f>SUM(O42:Q42)</f>
        <v>86112</v>
      </c>
      <c r="P43" s="1754"/>
      <c r="Q43" s="1755"/>
      <c r="R43" s="1756">
        <f>SUM(R42:S42)</f>
        <v>62688</v>
      </c>
      <c r="S43" s="1757"/>
      <c r="T43" s="1753">
        <f>SUM(T42:U42)</f>
        <v>62688</v>
      </c>
      <c r="U43" s="1755"/>
      <c r="V43" s="1756">
        <f>SUM(V42:AS42)</f>
        <v>679008</v>
      </c>
      <c r="W43" s="1758"/>
      <c r="X43" s="1758"/>
      <c r="Y43" s="1758"/>
      <c r="Z43" s="1758"/>
      <c r="AA43" s="1758"/>
      <c r="AB43" s="1758"/>
      <c r="AC43" s="1758"/>
      <c r="AD43" s="1758"/>
      <c r="AE43" s="1758"/>
      <c r="AF43" s="1758"/>
      <c r="AG43" s="1758"/>
      <c r="AH43" s="1758"/>
      <c r="AI43" s="1758"/>
      <c r="AJ43" s="1758"/>
      <c r="AK43" s="1758"/>
      <c r="AL43" s="1758"/>
      <c r="AM43" s="1758"/>
      <c r="AN43" s="1758"/>
      <c r="AO43" s="1758"/>
      <c r="AP43" s="1758"/>
      <c r="AQ43" s="1758"/>
      <c r="AR43" s="1758"/>
      <c r="AS43" s="1757"/>
      <c r="AT43" s="1753">
        <f>SUM(AT42:AU42)</f>
        <v>0</v>
      </c>
      <c r="AU43" s="1755"/>
      <c r="AV43" s="1756">
        <f>SUM(AV42:AW42)</f>
        <v>0</v>
      </c>
      <c r="AW43" s="1757"/>
      <c r="AX43" s="1753">
        <f>SUM(AX42:AY42)</f>
        <v>0</v>
      </c>
      <c r="AY43" s="1755"/>
      <c r="AZ43" s="1756">
        <f>SUM(AZ42:BA42)</f>
        <v>0</v>
      </c>
      <c r="BA43" s="1757"/>
      <c r="BB43" s="1753">
        <f>SUM(BB42:BC42)</f>
        <v>0</v>
      </c>
      <c r="BC43" s="1755"/>
      <c r="BD43" s="1753">
        <f>SUM(BD42:BE42)</f>
        <v>0</v>
      </c>
      <c r="BE43" s="1755"/>
      <c r="BF43" s="1756">
        <f>SUM(BF42:BG42)</f>
        <v>0</v>
      </c>
      <c r="BG43" s="1757"/>
      <c r="BH43" s="1753">
        <f>SUM(BH42:BI42)</f>
        <v>0</v>
      </c>
      <c r="BI43" s="1755"/>
      <c r="BJ43" s="1756">
        <f>SUM(BJ42:BK42)</f>
        <v>0</v>
      </c>
      <c r="BK43" s="1757"/>
      <c r="BL43" s="1753">
        <f>SUM(BL42:BM42)</f>
        <v>0</v>
      </c>
      <c r="BM43" s="1755"/>
      <c r="BN43" s="1747" t="s">
        <v>218</v>
      </c>
      <c r="BO43" s="1748"/>
      <c r="BP43" s="295"/>
      <c r="BS43" s="284" t="s">
        <v>2031</v>
      </c>
      <c r="BT43" s="285">
        <f>BP38-BP35</f>
        <v>919200</v>
      </c>
      <c r="BU43" s="286">
        <f>(BT43-BQ33)/BT43</f>
        <v>1</v>
      </c>
      <c r="BV43" s="285">
        <f>BT43/BU33</f>
        <v>132.44956772334294</v>
      </c>
    </row>
    <row r="44" spans="1:75" ht="14.4" thickBot="1" x14ac:dyDescent="0.3">
      <c r="J44" s="287" t="s">
        <v>2032</v>
      </c>
      <c r="N44" s="1744">
        <f>SUM(N42:Q42)</f>
        <v>114816</v>
      </c>
      <c r="O44" s="1745"/>
      <c r="P44" s="1745"/>
      <c r="Q44" s="1746"/>
      <c r="R44" s="1759">
        <f t="shared" ref="R44" si="56">SUM(R42:U42)</f>
        <v>125376</v>
      </c>
      <c r="S44" s="1760"/>
      <c r="T44" s="1760"/>
      <c r="U44" s="1761"/>
      <c r="V44" s="1744">
        <f t="shared" ref="V44" si="57">SUM(V42:BE42)</f>
        <v>679008</v>
      </c>
      <c r="W44" s="1745"/>
      <c r="X44" s="1745"/>
      <c r="Y44" s="1745"/>
      <c r="Z44" s="1745"/>
      <c r="AA44" s="1745"/>
      <c r="AB44" s="1745"/>
      <c r="AC44" s="1745"/>
      <c r="AD44" s="1745"/>
      <c r="AE44" s="1745"/>
      <c r="AF44" s="1745"/>
      <c r="AG44" s="1745"/>
      <c r="AH44" s="1745"/>
      <c r="AI44" s="1745"/>
      <c r="AJ44" s="1745"/>
      <c r="AK44" s="1745"/>
      <c r="AL44" s="1745"/>
      <c r="AM44" s="1745"/>
      <c r="AN44" s="1745"/>
      <c r="AO44" s="1745"/>
      <c r="AP44" s="1745"/>
      <c r="AQ44" s="1745"/>
      <c r="AR44" s="1745"/>
      <c r="AS44" s="1745"/>
      <c r="AT44" s="1745"/>
      <c r="AU44" s="1745"/>
      <c r="AV44" s="1745"/>
      <c r="AW44" s="1745"/>
      <c r="AX44" s="1745"/>
      <c r="AY44" s="1745"/>
      <c r="AZ44" s="1745"/>
      <c r="BA44" s="1745"/>
      <c r="BB44" s="1745"/>
      <c r="BC44" s="1745"/>
      <c r="BD44" s="1745"/>
      <c r="BE44" s="1746"/>
      <c r="BF44" s="1759">
        <f t="shared" ref="BF44" si="58">SUM(BF42:BI42)</f>
        <v>0</v>
      </c>
      <c r="BG44" s="1760"/>
      <c r="BH44" s="1760"/>
      <c r="BI44" s="1761"/>
      <c r="BJ44" s="1744">
        <f t="shared" ref="BJ44" si="59">SUM(BJ42:BM42)</f>
        <v>0</v>
      </c>
      <c r="BK44" s="1745"/>
      <c r="BL44" s="1745"/>
      <c r="BM44" s="1746"/>
      <c r="BN44" s="1747" t="s">
        <v>219</v>
      </c>
      <c r="BO44" s="1748"/>
      <c r="BP44" s="295"/>
      <c r="BS44" s="289" t="s">
        <v>2034</v>
      </c>
      <c r="BT44" s="290">
        <f>(BT33-BT35)*1.2</f>
        <v>919199.90399999998</v>
      </c>
      <c r="BU44" s="291">
        <f>(BT44-BQ33)/BT44</f>
        <v>1</v>
      </c>
      <c r="BV44" s="290">
        <f>BT44/BU33</f>
        <v>132.44955389048991</v>
      </c>
    </row>
    <row r="45" spans="1:75" ht="14.4" thickBot="1" x14ac:dyDescent="0.3">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751" t="s">
        <v>2044</v>
      </c>
      <c r="BO45" s="1752"/>
      <c r="BP45" s="295"/>
      <c r="BS45" s="284" t="s">
        <v>2035</v>
      </c>
      <c r="BT45" s="285">
        <f>BQ33/(1-BU45)</f>
        <v>0</v>
      </c>
      <c r="BU45" s="292">
        <v>0.5</v>
      </c>
      <c r="BV45" s="285">
        <f>BT45/BU33</f>
        <v>0</v>
      </c>
      <c r="BW45" s="140" t="s">
        <v>2036</v>
      </c>
    </row>
    <row r="46" spans="1:75" ht="14.4" thickBot="1" x14ac:dyDescent="0.3">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25">
      <c r="J47" s="273" t="s">
        <v>180</v>
      </c>
      <c r="N47" s="274">
        <f t="shared" ref="N47:AS47" si="60">SUMPRODUCT(N15:N32,$BS$15:$BS$32)*40*1.3</f>
        <v>31096</v>
      </c>
      <c r="O47" s="278">
        <f t="shared" si="60"/>
        <v>31096</v>
      </c>
      <c r="P47" s="276">
        <f t="shared" si="60"/>
        <v>31096</v>
      </c>
      <c r="Q47" s="277">
        <f t="shared" si="60"/>
        <v>31096</v>
      </c>
      <c r="R47" s="278">
        <f t="shared" si="60"/>
        <v>33956</v>
      </c>
      <c r="S47" s="277">
        <f t="shared" si="60"/>
        <v>33956</v>
      </c>
      <c r="T47" s="278">
        <f t="shared" si="60"/>
        <v>33956</v>
      </c>
      <c r="U47" s="277">
        <f t="shared" si="60"/>
        <v>33956</v>
      </c>
      <c r="V47" s="278">
        <f t="shared" si="60"/>
        <v>33956</v>
      </c>
      <c r="W47" s="277">
        <f t="shared" si="60"/>
        <v>33956</v>
      </c>
      <c r="X47" s="278">
        <f t="shared" si="60"/>
        <v>33956</v>
      </c>
      <c r="Y47" s="277">
        <f t="shared" si="60"/>
        <v>33956</v>
      </c>
      <c r="Z47" s="278">
        <f t="shared" si="60"/>
        <v>33956</v>
      </c>
      <c r="AA47" s="277">
        <f t="shared" si="60"/>
        <v>31096</v>
      </c>
      <c r="AB47" s="278">
        <f t="shared" si="60"/>
        <v>31096</v>
      </c>
      <c r="AC47" s="277">
        <f t="shared" si="60"/>
        <v>31096</v>
      </c>
      <c r="AD47" s="278">
        <f t="shared" si="60"/>
        <v>31096</v>
      </c>
      <c r="AE47" s="277">
        <f t="shared" si="60"/>
        <v>33956</v>
      </c>
      <c r="AF47" s="278">
        <f t="shared" si="60"/>
        <v>33956</v>
      </c>
      <c r="AG47" s="277">
        <f t="shared" si="60"/>
        <v>33956</v>
      </c>
      <c r="AH47" s="277">
        <f t="shared" si="60"/>
        <v>33956</v>
      </c>
      <c r="AI47" s="278">
        <f t="shared" si="60"/>
        <v>33956</v>
      </c>
      <c r="AJ47" s="277">
        <f t="shared" si="60"/>
        <v>33956</v>
      </c>
      <c r="AK47" s="278">
        <f t="shared" si="60"/>
        <v>33956</v>
      </c>
      <c r="AL47" s="277">
        <f t="shared" si="60"/>
        <v>33956</v>
      </c>
      <c r="AM47" s="278">
        <f t="shared" si="60"/>
        <v>33956</v>
      </c>
      <c r="AN47" s="277">
        <f t="shared" si="60"/>
        <v>33956</v>
      </c>
      <c r="AO47" s="278">
        <f t="shared" si="60"/>
        <v>33956</v>
      </c>
      <c r="AP47" s="277">
        <f t="shared" si="60"/>
        <v>33956</v>
      </c>
      <c r="AQ47" s="278">
        <f t="shared" si="60"/>
        <v>33956</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4" thickBot="1" x14ac:dyDescent="0.3">
      <c r="J48" s="273" t="s">
        <v>2029</v>
      </c>
      <c r="N48" s="282">
        <f>SUM(N47)</f>
        <v>31096</v>
      </c>
      <c r="O48" s="1753">
        <f>SUM(O47:Q47)</f>
        <v>93288</v>
      </c>
      <c r="P48" s="1754"/>
      <c r="Q48" s="1755"/>
      <c r="R48" s="1756">
        <f>SUM(R47:S47)</f>
        <v>67912</v>
      </c>
      <c r="S48" s="1757"/>
      <c r="T48" s="1753">
        <f>SUM(T47:U47)</f>
        <v>67912</v>
      </c>
      <c r="U48" s="1755"/>
      <c r="V48" s="1756">
        <f>SUM(V47:AS47)</f>
        <v>735592</v>
      </c>
      <c r="W48" s="1758"/>
      <c r="X48" s="1758"/>
      <c r="Y48" s="1758"/>
      <c r="Z48" s="1758"/>
      <c r="AA48" s="1758"/>
      <c r="AB48" s="1758"/>
      <c r="AC48" s="1758"/>
      <c r="AD48" s="1758"/>
      <c r="AE48" s="1758"/>
      <c r="AF48" s="1758"/>
      <c r="AG48" s="1758"/>
      <c r="AH48" s="1758"/>
      <c r="AI48" s="1758"/>
      <c r="AJ48" s="1758"/>
      <c r="AK48" s="1758"/>
      <c r="AL48" s="1758"/>
      <c r="AM48" s="1758"/>
      <c r="AN48" s="1758"/>
      <c r="AO48" s="1758"/>
      <c r="AP48" s="1758"/>
      <c r="AQ48" s="1758"/>
      <c r="AR48" s="1758"/>
      <c r="AS48" s="1757"/>
      <c r="AT48" s="1753">
        <f>SUM(AT47:AU47)</f>
        <v>0</v>
      </c>
      <c r="AU48" s="1755"/>
      <c r="AV48" s="1756">
        <f>SUM(AV47:AW47)</f>
        <v>0</v>
      </c>
      <c r="AW48" s="1757"/>
      <c r="AX48" s="1753">
        <f>SUM(AX47:AY47)</f>
        <v>0</v>
      </c>
      <c r="AY48" s="1755"/>
      <c r="AZ48" s="1756">
        <f>SUM(AZ47:BA47)</f>
        <v>0</v>
      </c>
      <c r="BA48" s="1757"/>
      <c r="BB48" s="1753">
        <f>SUM(BB47:BC47)</f>
        <v>0</v>
      </c>
      <c r="BC48" s="1755"/>
      <c r="BD48" s="1753">
        <f>SUM(BD47:BE47)</f>
        <v>0</v>
      </c>
      <c r="BE48" s="1755"/>
      <c r="BF48" s="1756">
        <f>SUM(BF47:BG47)</f>
        <v>0</v>
      </c>
      <c r="BG48" s="1757"/>
      <c r="BH48" s="1753">
        <f>SUM(BH47:BI47)</f>
        <v>0</v>
      </c>
      <c r="BI48" s="1755"/>
      <c r="BJ48" s="1756">
        <f>SUM(BJ47:BK47)</f>
        <v>0</v>
      </c>
      <c r="BK48" s="1757"/>
      <c r="BL48" s="1753">
        <f>SUM(BL47:BM47)</f>
        <v>0</v>
      </c>
      <c r="BM48" s="1755"/>
      <c r="BN48" s="297"/>
      <c r="BO48" s="298"/>
      <c r="BP48" s="299"/>
    </row>
    <row r="49" spans="1:68" ht="14.4" thickBot="1" x14ac:dyDescent="0.3">
      <c r="J49" s="287" t="s">
        <v>2032</v>
      </c>
      <c r="N49" s="1744">
        <f>SUM(N47:Q47)</f>
        <v>124384</v>
      </c>
      <c r="O49" s="1745"/>
      <c r="P49" s="1745"/>
      <c r="Q49" s="1746"/>
      <c r="R49" s="1759">
        <f>SUM(R47:U47)</f>
        <v>135824</v>
      </c>
      <c r="S49" s="1760"/>
      <c r="T49" s="1760"/>
      <c r="U49" s="1761"/>
      <c r="V49" s="1744">
        <f t="shared" ref="V49" si="62">SUM(V47:BE47)</f>
        <v>735592</v>
      </c>
      <c r="W49" s="1745"/>
      <c r="X49" s="1745"/>
      <c r="Y49" s="1745"/>
      <c r="Z49" s="1745"/>
      <c r="AA49" s="1745"/>
      <c r="AB49" s="1745"/>
      <c r="AC49" s="1745"/>
      <c r="AD49" s="1745"/>
      <c r="AE49" s="1745"/>
      <c r="AF49" s="1745"/>
      <c r="AG49" s="1745"/>
      <c r="AH49" s="1745"/>
      <c r="AI49" s="1745"/>
      <c r="AJ49" s="1745"/>
      <c r="AK49" s="1745"/>
      <c r="AL49" s="1745"/>
      <c r="AM49" s="1745"/>
      <c r="AN49" s="1745"/>
      <c r="AO49" s="1745"/>
      <c r="AP49" s="1745"/>
      <c r="AQ49" s="1745"/>
      <c r="AR49" s="1745"/>
      <c r="AS49" s="1745"/>
      <c r="AT49" s="1745"/>
      <c r="AU49" s="1745"/>
      <c r="AV49" s="1745"/>
      <c r="AW49" s="1745"/>
      <c r="AX49" s="1745"/>
      <c r="AY49" s="1745"/>
      <c r="AZ49" s="1745"/>
      <c r="BA49" s="1745"/>
      <c r="BB49" s="1745"/>
      <c r="BC49" s="1745"/>
      <c r="BD49" s="1745"/>
      <c r="BE49" s="1746"/>
      <c r="BF49" s="1759">
        <f t="shared" ref="BF49" si="63">SUM(BF47:BI47)</f>
        <v>0</v>
      </c>
      <c r="BG49" s="1760"/>
      <c r="BH49" s="1760"/>
      <c r="BI49" s="1761"/>
      <c r="BJ49" s="1744">
        <f t="shared" ref="BJ49" si="64">SUM(BJ47:BM47)</f>
        <v>0</v>
      </c>
      <c r="BK49" s="1745"/>
      <c r="BL49" s="1745"/>
      <c r="BM49" s="1746"/>
      <c r="BN49" s="301"/>
      <c r="BO49" s="302"/>
      <c r="BP49" s="303"/>
    </row>
    <row r="50" spans="1:68" ht="14.4" thickBot="1" x14ac:dyDescent="0.3">
      <c r="BN50" s="1749" t="s">
        <v>2047</v>
      </c>
      <c r="BO50" s="1750"/>
      <c r="BP50" s="863">
        <f>'4. Summary &amp; Totals'!C36</f>
        <v>787521</v>
      </c>
    </row>
    <row r="51" spans="1:68" x14ac:dyDescent="0.25">
      <c r="J51" s="304" t="s">
        <v>2048</v>
      </c>
      <c r="K51" s="305">
        <f>+BP33/BO33/8</f>
        <v>110.37463976945244</v>
      </c>
    </row>
    <row r="52" spans="1:68" x14ac:dyDescent="0.25">
      <c r="J52" s="306" t="s">
        <v>2049</v>
      </c>
      <c r="K52" s="307">
        <f>+BP38/BO33/8</f>
        <v>132.44956772334294</v>
      </c>
    </row>
    <row r="53" spans="1:68" ht="14.4" thickBot="1" x14ac:dyDescent="0.3">
      <c r="J53" s="308" t="s">
        <v>2050</v>
      </c>
      <c r="K53" s="309">
        <f>+BP39/BO33/8</f>
        <v>143.48703170028818</v>
      </c>
    </row>
    <row r="54" spans="1:68" ht="14.4" thickBot="1" x14ac:dyDescent="0.3"/>
    <row r="55" spans="1:68" ht="15" x14ac:dyDescent="0.25">
      <c r="J55" s="304" t="s">
        <v>2051</v>
      </c>
      <c r="K55" s="310">
        <f>(BP36-BQ33)/BP36</f>
        <v>1</v>
      </c>
      <c r="P55" s="311"/>
    </row>
    <row r="56" spans="1:68" x14ac:dyDescent="0.25">
      <c r="J56" s="306" t="s">
        <v>2052</v>
      </c>
      <c r="K56" s="312">
        <f>(BP38-BQ33)/BP38</f>
        <v>1</v>
      </c>
    </row>
    <row r="57" spans="1:68" ht="14.4" thickBot="1" x14ac:dyDescent="0.3">
      <c r="J57" s="308" t="s">
        <v>2053</v>
      </c>
      <c r="K57" s="313">
        <f>(BP39-BQ33)/BP39</f>
        <v>1</v>
      </c>
    </row>
    <row r="59" spans="1:68" ht="22.2" x14ac:dyDescent="0.35">
      <c r="A59" s="314" t="s">
        <v>76</v>
      </c>
      <c r="B59" s="315"/>
      <c r="C59" s="315"/>
      <c r="D59" s="315"/>
      <c r="E59" s="315"/>
      <c r="F59" s="315"/>
      <c r="G59" s="315"/>
      <c r="H59" s="315"/>
      <c r="I59" s="315"/>
      <c r="J59" s="315"/>
    </row>
    <row r="61" spans="1:68" ht="14.4" thickBot="1" x14ac:dyDescent="0.3"/>
    <row r="62" spans="1:68" ht="66" x14ac:dyDescent="0.25">
      <c r="A62" s="316" t="s">
        <v>2054</v>
      </c>
      <c r="B62" s="317"/>
      <c r="C62" s="317"/>
      <c r="D62" s="317"/>
      <c r="E62" s="317"/>
      <c r="F62" s="317"/>
      <c r="G62" s="318"/>
      <c r="H62" s="319"/>
      <c r="I62" s="319"/>
      <c r="J62" s="320"/>
    </row>
    <row r="63" spans="1:68" x14ac:dyDescent="0.25">
      <c r="A63" s="321"/>
      <c r="B63" s="322"/>
      <c r="C63" s="322"/>
      <c r="D63" s="322"/>
      <c r="E63" s="322"/>
      <c r="F63" s="322"/>
      <c r="G63" s="142"/>
      <c r="H63" s="142"/>
      <c r="I63" s="142"/>
      <c r="J63" s="270"/>
    </row>
    <row r="64" spans="1:68" ht="79.2" x14ac:dyDescent="0.25">
      <c r="A64" s="323" t="s">
        <v>2055</v>
      </c>
      <c r="B64" s="324"/>
      <c r="C64" s="324"/>
      <c r="D64" s="324"/>
      <c r="E64" s="324"/>
      <c r="F64" s="324"/>
      <c r="G64" s="325"/>
      <c r="H64" s="326"/>
      <c r="I64" s="326"/>
      <c r="J64" s="327"/>
    </row>
    <row r="65" spans="1:16" ht="79.2" x14ac:dyDescent="0.25">
      <c r="A65" s="323" t="s">
        <v>2056</v>
      </c>
      <c r="B65" s="324"/>
      <c r="C65" s="324"/>
      <c r="D65" s="324"/>
      <c r="E65" s="324"/>
      <c r="F65" s="324"/>
      <c r="G65" s="325"/>
      <c r="H65" s="326"/>
      <c r="I65" s="326"/>
      <c r="J65" s="327"/>
    </row>
    <row r="66" spans="1:16" ht="79.2" x14ac:dyDescent="0.25">
      <c r="A66" s="323" t="s">
        <v>2057</v>
      </c>
      <c r="B66" s="324"/>
      <c r="C66" s="324"/>
      <c r="D66" s="324"/>
      <c r="E66" s="324"/>
      <c r="F66" s="324"/>
      <c r="G66" s="325"/>
      <c r="H66" s="326"/>
      <c r="I66" s="326"/>
      <c r="J66" s="327"/>
    </row>
    <row r="67" spans="1:16" ht="79.8" thickBot="1" x14ac:dyDescent="0.3">
      <c r="A67" s="328" t="s">
        <v>2058</v>
      </c>
      <c r="B67" s="329"/>
      <c r="C67" s="329"/>
      <c r="D67" s="329"/>
      <c r="E67" s="329"/>
      <c r="F67" s="329"/>
      <c r="G67" s="330"/>
      <c r="H67" s="331"/>
      <c r="I67" s="331"/>
      <c r="J67" s="332"/>
      <c r="P67" s="311"/>
    </row>
    <row r="68" spans="1:16" ht="14.4" thickBot="1" x14ac:dyDescent="0.3"/>
    <row r="69" spans="1:16" ht="66" x14ac:dyDescent="0.25">
      <c r="A69" s="333" t="s">
        <v>2059</v>
      </c>
      <c r="B69" s="334"/>
      <c r="C69" s="334"/>
      <c r="D69" s="334"/>
      <c r="E69" s="334"/>
      <c r="F69" s="334"/>
      <c r="G69" s="334"/>
      <c r="H69" s="334"/>
      <c r="I69" s="334"/>
      <c r="J69" s="335"/>
    </row>
    <row r="70" spans="1:16" x14ac:dyDescent="0.25">
      <c r="A70" s="321"/>
      <c r="B70" s="322"/>
      <c r="C70" s="322"/>
      <c r="D70" s="322"/>
      <c r="E70" s="322"/>
      <c r="F70" s="322"/>
      <c r="G70" s="142"/>
      <c r="H70" s="142"/>
      <c r="I70" s="142"/>
      <c r="J70" s="270"/>
    </row>
    <row r="71" spans="1:16" ht="79.2" x14ac:dyDescent="0.25">
      <c r="A71" s="336" t="s">
        <v>2060</v>
      </c>
      <c r="B71" s="337"/>
      <c r="C71" s="337"/>
      <c r="D71" s="337"/>
      <c r="E71" s="337"/>
      <c r="F71" s="337"/>
      <c r="G71" s="337"/>
      <c r="H71" s="337"/>
      <c r="I71" s="337"/>
      <c r="J71" s="338"/>
    </row>
    <row r="72" spans="1:16" ht="79.2" x14ac:dyDescent="0.25">
      <c r="A72" s="336" t="s">
        <v>2061</v>
      </c>
      <c r="B72" s="337"/>
      <c r="C72" s="337"/>
      <c r="D72" s="337"/>
      <c r="E72" s="337"/>
      <c r="F72" s="337"/>
      <c r="G72" s="337"/>
      <c r="H72" s="337"/>
      <c r="I72" s="337"/>
      <c r="J72" s="338"/>
    </row>
    <row r="73" spans="1:16" ht="79.2" x14ac:dyDescent="0.25">
      <c r="A73" s="336" t="s">
        <v>2062</v>
      </c>
      <c r="B73" s="337"/>
      <c r="C73" s="337"/>
      <c r="D73" s="337"/>
      <c r="E73" s="337"/>
      <c r="F73" s="337"/>
      <c r="G73" s="337"/>
      <c r="H73" s="337"/>
      <c r="I73" s="337"/>
      <c r="J73" s="338"/>
    </row>
    <row r="74" spans="1:16" ht="79.8" thickBot="1" x14ac:dyDescent="0.3">
      <c r="A74" s="339" t="s">
        <v>2063</v>
      </c>
      <c r="B74" s="340"/>
      <c r="C74" s="340"/>
      <c r="D74" s="340"/>
      <c r="E74" s="340"/>
      <c r="F74" s="340"/>
      <c r="G74" s="340"/>
      <c r="H74" s="340"/>
      <c r="I74" s="340"/>
      <c r="J74" s="341"/>
    </row>
  </sheetData>
  <mergeCells count="104">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15:BQ33 BP35:BP39 N37:BM37 BP41:BP45 N42:BM42 N47:BM47 BP50">
    <cfRule type="expression" dxfId="94" priority="25">
      <formula>$J$1="Canada"</formula>
    </cfRule>
  </conditionalFormatting>
  <conditionalFormatting sqref="BP15:BQ33 BP35:BP39 N37:BM37 BP41:BP45 N42:BM42 N47:BM47 BP50 K51:K5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1"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AEM Implementation Soyum Foods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45776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787521</v>
      </c>
      <c r="D26" s="1975"/>
      <c r="E26" s="1975"/>
      <c r="F26" s="1975"/>
      <c r="G26" s="1975"/>
      <c r="H26" s="1976"/>
      <c r="I26" s="1601"/>
      <c r="J26" s="1987"/>
      <c r="K26" s="1987"/>
      <c r="L26" s="1988"/>
    </row>
    <row r="27" spans="2:19" ht="19.95" customHeight="1" x14ac:dyDescent="0.25">
      <c r="B27" s="999" t="s">
        <v>1673</v>
      </c>
      <c r="C27" s="1977">
        <f>'4. Summary &amp; Totals'!C37</f>
        <v>0.53970619544390042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110.37463976945244</v>
      </c>
      <c r="D30" s="1886"/>
      <c r="E30" s="1886"/>
      <c r="F30" s="1887"/>
      <c r="G30" s="1881">
        <f>'2. Roles &amp; Pricing'!F289/'2. Roles &amp; Pricing'!M289</f>
        <v>49.556195965417871</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48.684210526315788</v>
      </c>
      <c r="D32" s="1889"/>
      <c r="E32" s="1889"/>
      <c r="F32" s="1890"/>
      <c r="G32" s="1883">
        <f>IFERROR(SUMIFS('2. Roles &amp; Pricing'!$F$291:$F$390,'2. Roles &amp; Pricing'!$W$48:$W$147,"Offshore")/SUMIFS('2. Roles &amp; Pricing'!$M$291:$M$390,'2. Roles &amp; Pricing'!$W$48:$W$147,"Offshore"),"")</f>
        <v>16.421052631578949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6</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AEM Implementation Soyum Foods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45776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2025-08-21T07:51:34Z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