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syeda.tabassum\Test-Download\"/>
    </mc:Choice>
  </mc:AlternateContent>
  <xr:revisionPtr revIDLastSave="0" documentId="13_ncr:1_{31A9FAC6-007A-4F3E-A70E-1A0614011AB7}" xr6:coauthVersionLast="47" xr6:coauthVersionMax="47" xr10:uidLastSave="{00000000-0000-0000-0000-000000000000}"/>
  <bookViews>
    <workbookView xWindow="-108" yWindow="-108" windowWidth="23256" windowHeight="12456" activeTab="1"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 i="28" l="1"/>
  <c r="H22" i="28"/>
  <c r="H23" i="28"/>
  <c r="H24" i="28"/>
  <c r="H25" i="28"/>
  <c r="H26" i="28"/>
  <c r="H27" i="28"/>
  <c r="H28" i="28"/>
  <c r="H29" i="28"/>
  <c r="H30" i="28"/>
  <c r="H31" i="28"/>
  <c r="H32" i="28"/>
  <c r="H33" i="28"/>
  <c r="H17" i="28"/>
  <c r="H18" i="28"/>
  <c r="H19" i="28"/>
  <c r="H20" i="28"/>
  <c r="H21" i="28"/>
  <c r="H16" i="28"/>
  <c r="H3" i="28"/>
  <c r="BT36" i="28"/>
  <c r="BQ17" i="28"/>
  <c r="BQ18" i="28"/>
  <c r="BQ20" i="28"/>
  <c r="BQ21" i="28"/>
  <c r="BQ24" i="28"/>
  <c r="BQ25" i="28"/>
  <c r="BQ26" i="28"/>
  <c r="BQ27" i="28"/>
  <c r="BQ28" i="28"/>
  <c r="BQ29" i="28"/>
  <c r="BQ30" i="28"/>
  <c r="BQ31" i="28"/>
  <c r="BQ32" i="28"/>
  <c r="BQ33" i="28"/>
  <c r="BQ34" i="28"/>
  <c r="BS17" i="28"/>
  <c r="BS18" i="28"/>
  <c r="BS20" i="28"/>
  <c r="BS21" i="28"/>
  <c r="BS24" i="28"/>
  <c r="BS25" i="28"/>
  <c r="BS26" i="28"/>
  <c r="BS27" i="28"/>
  <c r="BS28" i="28"/>
  <c r="BS29" i="28"/>
  <c r="BS30" i="28"/>
  <c r="BS31" i="28"/>
  <c r="BS32" i="28"/>
  <c r="BS33" i="28"/>
  <c r="H7" i="28"/>
  <c r="O49" i="13" a="1"/>
  <c r="O49" i="13" s="1"/>
  <c r="O50" i="13" a="1"/>
  <c r="O50" i="13"/>
  <c r="O51" i="13" a="1"/>
  <c r="O51" i="13" s="1"/>
  <c r="O52" i="13" a="1"/>
  <c r="O52" i="13"/>
  <c r="O53" i="13" a="1"/>
  <c r="O53" i="13" s="1"/>
  <c r="O54" i="13" a="1"/>
  <c r="O54" i="13" s="1"/>
  <c r="O55" i="13" a="1"/>
  <c r="O55" i="13" s="1"/>
  <c r="O56" i="13" a="1"/>
  <c r="O56" i="13" s="1"/>
  <c r="O57" i="13" a="1"/>
  <c r="O57" i="13"/>
  <c r="O58" i="13" a="1"/>
  <c r="O58" i="13" s="1"/>
  <c r="O59" i="13" a="1"/>
  <c r="O59" i="13"/>
  <c r="O60" i="13" a="1"/>
  <c r="O60" i="13"/>
  <c r="O61" i="13" a="1"/>
  <c r="O61" i="13" s="1"/>
  <c r="O62" i="13" a="1"/>
  <c r="O62" i="13"/>
  <c r="O63" i="13" a="1"/>
  <c r="O63" i="13" s="1"/>
  <c r="O64" i="13" a="1"/>
  <c r="O64" i="13"/>
  <c r="O65" i="13" a="1"/>
  <c r="O65" i="13" s="1"/>
  <c r="O66" i="13" a="1"/>
  <c r="O66" i="13"/>
  <c r="O67" i="13" a="1"/>
  <c r="O67" i="13"/>
  <c r="O68" i="13" a="1"/>
  <c r="O68" i="13" s="1"/>
  <c r="O69" i="13" a="1"/>
  <c r="O69" i="13"/>
  <c r="O70" i="13" a="1"/>
  <c r="O70" i="13" s="1"/>
  <c r="O71" i="13" a="1"/>
  <c r="O71" i="13"/>
  <c r="O72" i="13" a="1"/>
  <c r="O72" i="13" s="1"/>
  <c r="O73" i="13" a="1"/>
  <c r="O73" i="13"/>
  <c r="O74" i="13" a="1"/>
  <c r="O74" i="13"/>
  <c r="O75" i="13" a="1"/>
  <c r="O75" i="13" s="1"/>
  <c r="O76" i="13" a="1"/>
  <c r="O76" i="13"/>
  <c r="O77" i="13" a="1"/>
  <c r="O77" i="13" s="1"/>
  <c r="O78" i="13" a="1"/>
  <c r="O78" i="13"/>
  <c r="O79" i="13" a="1"/>
  <c r="O79" i="13" s="1"/>
  <c r="O80" i="13" a="1"/>
  <c r="O80" i="13"/>
  <c r="O81" i="13" a="1"/>
  <c r="O81" i="13"/>
  <c r="O82" i="13" a="1"/>
  <c r="O82" i="13" s="1"/>
  <c r="O83" i="13" a="1"/>
  <c r="O83" i="13"/>
  <c r="O84" i="13" a="1"/>
  <c r="O84" i="13" s="1"/>
  <c r="O85" i="13" a="1"/>
  <c r="O85" i="13"/>
  <c r="O86" i="13" a="1"/>
  <c r="O86" i="13" s="1"/>
  <c r="O87" i="13" a="1"/>
  <c r="O87" i="13"/>
  <c r="O88" i="13" a="1"/>
  <c r="O88" i="13"/>
  <c r="O89" i="13" a="1"/>
  <c r="O89" i="13" s="1"/>
  <c r="O90" i="13" a="1"/>
  <c r="O90" i="13"/>
  <c r="O91" i="13" a="1"/>
  <c r="O91" i="13" s="1"/>
  <c r="O92" i="13" a="1"/>
  <c r="O92" i="13"/>
  <c r="O93" i="13" a="1"/>
  <c r="O93" i="13" s="1"/>
  <c r="O94" i="13" a="1"/>
  <c r="O94" i="13"/>
  <c r="O95" i="13" a="1"/>
  <c r="O95" i="13"/>
  <c r="O96" i="13" a="1"/>
  <c r="O96" i="13" s="1"/>
  <c r="O97" i="13" a="1"/>
  <c r="O97" i="13"/>
  <c r="O98" i="13" a="1"/>
  <c r="O98" i="13" s="1"/>
  <c r="O99" i="13" a="1"/>
  <c r="O99" i="13"/>
  <c r="O100" i="13" a="1"/>
  <c r="O100" i="13" s="1"/>
  <c r="O101" i="13" a="1"/>
  <c r="O101" i="13"/>
  <c r="O102" i="13" a="1"/>
  <c r="O102" i="13"/>
  <c r="O103" i="13" a="1"/>
  <c r="O103" i="13" s="1"/>
  <c r="O104" i="13" a="1"/>
  <c r="O104" i="13"/>
  <c r="O105" i="13" a="1"/>
  <c r="O105" i="13" s="1"/>
  <c r="O106" i="13" a="1"/>
  <c r="O106" i="13"/>
  <c r="O107" i="13" a="1"/>
  <c r="O107" i="13" s="1"/>
  <c r="O108" i="13" a="1"/>
  <c r="O108" i="13"/>
  <c r="O109" i="13" a="1"/>
  <c r="O109" i="13"/>
  <c r="O110" i="13" a="1"/>
  <c r="O110" i="13" s="1"/>
  <c r="O111" i="13" a="1"/>
  <c r="O111" i="13"/>
  <c r="O112" i="13" a="1"/>
  <c r="O112" i="13" s="1"/>
  <c r="O113" i="13" a="1"/>
  <c r="O113" i="13"/>
  <c r="O114" i="13" a="1"/>
  <c r="O114" i="13" s="1"/>
  <c r="O115" i="13" a="1"/>
  <c r="O115" i="13"/>
  <c r="O116" i="13" a="1"/>
  <c r="O116" i="13"/>
  <c r="O117" i="13" a="1"/>
  <c r="O117" i="13" s="1"/>
  <c r="O118" i="13" a="1"/>
  <c r="O118" i="13"/>
  <c r="O119" i="13" a="1"/>
  <c r="O119" i="13" s="1"/>
  <c r="O120" i="13" a="1"/>
  <c r="O120" i="13"/>
  <c r="O121" i="13" a="1"/>
  <c r="O121" i="13" s="1"/>
  <c r="O122" i="13" a="1"/>
  <c r="O122" i="13"/>
  <c r="O123" i="13" a="1"/>
  <c r="O123" i="13"/>
  <c r="O124" i="13" a="1"/>
  <c r="O124" i="13" s="1"/>
  <c r="O125" i="13" a="1"/>
  <c r="O125" i="13"/>
  <c r="O126" i="13" a="1"/>
  <c r="O126" i="13" s="1"/>
  <c r="O127" i="13" a="1"/>
  <c r="O127" i="13"/>
  <c r="O128" i="13" a="1"/>
  <c r="O128" i="13" s="1"/>
  <c r="O129" i="13" a="1"/>
  <c r="O129" i="13"/>
  <c r="O130" i="13" a="1"/>
  <c r="O130" i="13"/>
  <c r="O131" i="13" a="1"/>
  <c r="O131" i="13" s="1"/>
  <c r="O132" i="13" a="1"/>
  <c r="O132" i="13"/>
  <c r="O133" i="13" a="1"/>
  <c r="O133" i="13" s="1"/>
  <c r="O134" i="13" a="1"/>
  <c r="O134" i="13"/>
  <c r="O135" i="13" a="1"/>
  <c r="O135" i="13" s="1"/>
  <c r="O136" i="13" a="1"/>
  <c r="O136" i="13"/>
  <c r="O137" i="13" a="1"/>
  <c r="O137" i="13"/>
  <c r="O138" i="13" a="1"/>
  <c r="O138" i="13" s="1"/>
  <c r="O139" i="13" a="1"/>
  <c r="O139" i="13"/>
  <c r="O140" i="13" a="1"/>
  <c r="O140" i="13" s="1"/>
  <c r="O141" i="13" a="1"/>
  <c r="O141" i="13"/>
  <c r="O142" i="13" a="1"/>
  <c r="O142" i="13" s="1"/>
  <c r="O143" i="13" a="1"/>
  <c r="O143" i="13"/>
  <c r="O144" i="13" a="1"/>
  <c r="O144" i="13"/>
  <c r="O145" i="13" a="1"/>
  <c r="O145" i="13" s="1"/>
  <c r="O146" i="13" a="1"/>
  <c r="O146" i="13"/>
  <c r="O147" i="13" a="1"/>
  <c r="O147" i="13" s="1"/>
  <c r="Q17" i="28"/>
  <c r="P17" i="28"/>
  <c r="O17" i="28"/>
  <c r="N17" i="28"/>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49" i="13"/>
  <c r="V50" i="13"/>
  <c r="V52" i="13"/>
  <c r="V53"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N49" i="13" a="1"/>
  <c r="N49" i="13" s="1"/>
  <c r="N50" i="13" a="1"/>
  <c r="N50" i="13" s="1"/>
  <c r="N51" i="13" a="1"/>
  <c r="N51" i="13" s="1"/>
  <c r="V51" i="13" s="1"/>
  <c r="N52" i="13" a="1"/>
  <c r="N52" i="13" s="1"/>
  <c r="N53" i="13" a="1"/>
  <c r="N53" i="13" s="1"/>
  <c r="N54" i="13" a="1"/>
  <c r="N54" i="13" s="1"/>
  <c r="N55" i="13" a="1"/>
  <c r="N55" i="13" s="1"/>
  <c r="N56" i="13" a="1"/>
  <c r="N56" i="13" s="1"/>
  <c r="N57" i="13" a="1"/>
  <c r="N57" i="13"/>
  <c r="N58" i="13" a="1"/>
  <c r="N58" i="13" s="1"/>
  <c r="N59" i="13" a="1"/>
  <c r="N59" i="13"/>
  <c r="N60" i="13" a="1"/>
  <c r="N60" i="13" s="1"/>
  <c r="N61" i="13" a="1"/>
  <c r="N61" i="13" s="1"/>
  <c r="N62" i="13" a="1"/>
  <c r="N62" i="13" s="1"/>
  <c r="N63" i="13" a="1"/>
  <c r="N63" i="13" s="1"/>
  <c r="N64" i="13" a="1"/>
  <c r="N64" i="13" s="1"/>
  <c r="N65" i="13" a="1"/>
  <c r="N65" i="13" s="1"/>
  <c r="N66" i="13" a="1"/>
  <c r="N66" i="13" s="1"/>
  <c r="N67" i="13" a="1"/>
  <c r="N67" i="13" s="1"/>
  <c r="N68" i="13" a="1"/>
  <c r="N68" i="13" s="1"/>
  <c r="N69" i="13" a="1"/>
  <c r="N69" i="13" s="1"/>
  <c r="N70" i="13" a="1"/>
  <c r="N70" i="13" s="1"/>
  <c r="N71" i="13" a="1"/>
  <c r="N71" i="13"/>
  <c r="N72" i="13" a="1"/>
  <c r="N72" i="13" s="1"/>
  <c r="N73" i="13" a="1"/>
  <c r="N73" i="13"/>
  <c r="N74" i="13" a="1"/>
  <c r="N74" i="13" s="1"/>
  <c r="N75" i="13" a="1"/>
  <c r="N75" i="13" s="1"/>
  <c r="N76" i="13" a="1"/>
  <c r="N76" i="13" s="1"/>
  <c r="N77" i="13" a="1"/>
  <c r="N77" i="13" s="1"/>
  <c r="N78" i="13" a="1"/>
  <c r="N78" i="13" s="1"/>
  <c r="N79" i="13" a="1"/>
  <c r="N79" i="13"/>
  <c r="N80" i="13" a="1"/>
  <c r="N80" i="13" s="1"/>
  <c r="N81" i="13" a="1"/>
  <c r="N81" i="13"/>
  <c r="N82" i="13" a="1"/>
  <c r="N82" i="13" s="1"/>
  <c r="N83" i="13" a="1"/>
  <c r="N83" i="13" s="1"/>
  <c r="N84" i="13" a="1"/>
  <c r="N84" i="13" s="1"/>
  <c r="N85" i="13" a="1"/>
  <c r="N85" i="13" s="1"/>
  <c r="N86" i="13" a="1"/>
  <c r="N86" i="13" s="1"/>
  <c r="N87" i="13" a="1"/>
  <c r="N87" i="13" s="1"/>
  <c r="N88" i="13" a="1"/>
  <c r="N88" i="13" s="1"/>
  <c r="N89" i="13" a="1"/>
  <c r="N89" i="13" s="1"/>
  <c r="N90" i="13" a="1"/>
  <c r="N90" i="13" s="1"/>
  <c r="N91" i="13" a="1"/>
  <c r="N91" i="13" s="1"/>
  <c r="N92" i="13" a="1"/>
  <c r="N92" i="13"/>
  <c r="N93" i="13" a="1"/>
  <c r="N93" i="13" s="1"/>
  <c r="N94" i="13" a="1"/>
  <c r="N94" i="13" s="1"/>
  <c r="N95" i="13" a="1"/>
  <c r="N95" i="13" s="1"/>
  <c r="N96" i="13" a="1"/>
  <c r="N96" i="13" s="1"/>
  <c r="N97" i="13" a="1"/>
  <c r="N97" i="13" s="1"/>
  <c r="N98" i="13" a="1"/>
  <c r="N98" i="13" s="1"/>
  <c r="N99" i="13" a="1"/>
  <c r="N99" i="13" s="1"/>
  <c r="N100" i="13" a="1"/>
  <c r="N100" i="13" s="1"/>
  <c r="N101" i="13" a="1"/>
  <c r="N101" i="13"/>
  <c r="N102" i="13" a="1"/>
  <c r="N102" i="13" s="1"/>
  <c r="N103" i="13" a="1"/>
  <c r="N103" i="13" s="1"/>
  <c r="N104" i="13" a="1"/>
  <c r="N104" i="13"/>
  <c r="N105" i="13" a="1"/>
  <c r="N105" i="13" s="1"/>
  <c r="N106" i="13" a="1"/>
  <c r="N106" i="13"/>
  <c r="N107" i="13" a="1"/>
  <c r="N107" i="13" s="1"/>
  <c r="N108" i="13" a="1"/>
  <c r="N108" i="13" s="1"/>
  <c r="N109" i="13" a="1"/>
  <c r="N109" i="13" s="1"/>
  <c r="N110" i="13" a="1"/>
  <c r="N110" i="13" s="1"/>
  <c r="N111" i="13" a="1"/>
  <c r="N111" i="13"/>
  <c r="N112" i="13" a="1"/>
  <c r="N112" i="13" s="1"/>
  <c r="N113" i="13" a="1"/>
  <c r="N113" i="13"/>
  <c r="N114" i="13" a="1"/>
  <c r="N114" i="13" s="1"/>
  <c r="N115" i="13" a="1"/>
  <c r="N115" i="13" s="1"/>
  <c r="N116" i="13" a="1"/>
  <c r="N116" i="13" s="1"/>
  <c r="N117" i="13" a="1"/>
  <c r="N117" i="13" s="1"/>
  <c r="N118" i="13" a="1"/>
  <c r="N118" i="13" s="1"/>
  <c r="N119" i="13" a="1"/>
  <c r="N119" i="13" s="1"/>
  <c r="N120" i="13" a="1"/>
  <c r="N120" i="13" s="1"/>
  <c r="N121" i="13" a="1"/>
  <c r="N121" i="13" s="1"/>
  <c r="N122" i="13" a="1"/>
  <c r="N122" i="13" s="1"/>
  <c r="N123" i="13" a="1"/>
  <c r="N123" i="13" s="1"/>
  <c r="N124" i="13" a="1"/>
  <c r="N124" i="13" s="1"/>
  <c r="N125" i="13" a="1"/>
  <c r="N125" i="13" s="1"/>
  <c r="N126" i="13" a="1"/>
  <c r="N126" i="13" s="1"/>
  <c r="N127" i="13" a="1"/>
  <c r="N127" i="13" s="1"/>
  <c r="N128" i="13" a="1"/>
  <c r="N128" i="13" s="1"/>
  <c r="N129" i="13" a="1"/>
  <c r="N129" i="13" s="1"/>
  <c r="N130" i="13" a="1"/>
  <c r="N130" i="13" s="1"/>
  <c r="N131" i="13" a="1"/>
  <c r="N131" i="13" s="1"/>
  <c r="N132" i="13" a="1"/>
  <c r="N132" i="13" s="1"/>
  <c r="N133" i="13" a="1"/>
  <c r="N133" i="13" s="1"/>
  <c r="N134" i="13" a="1"/>
  <c r="N134" i="13" s="1"/>
  <c r="N135" i="13" a="1"/>
  <c r="N135" i="13" s="1"/>
  <c r="N136" i="13" a="1"/>
  <c r="N136" i="13" s="1"/>
  <c r="N137" i="13" a="1"/>
  <c r="N137" i="13"/>
  <c r="N138" i="13" a="1"/>
  <c r="N138" i="13" s="1"/>
  <c r="N139" i="13" a="1"/>
  <c r="N139" i="13" s="1"/>
  <c r="N140" i="13" a="1"/>
  <c r="N140" i="13" s="1"/>
  <c r="N141" i="13" a="1"/>
  <c r="N141" i="13"/>
  <c r="N142" i="13" a="1"/>
  <c r="N142" i="13" s="1"/>
  <c r="N143" i="13" a="1"/>
  <c r="N143" i="13" s="1"/>
  <c r="N144" i="13" a="1"/>
  <c r="N144" i="13" s="1"/>
  <c r="N145" i="13" a="1"/>
  <c r="N145" i="13" s="1"/>
  <c r="N146" i="13" a="1"/>
  <c r="N146" i="13"/>
  <c r="N147" i="13" a="1"/>
  <c r="N147" i="13" s="1"/>
  <c r="N48" i="13" a="1"/>
  <c r="N48" i="13" s="1"/>
  <c r="I293" i="13" a="1"/>
  <c r="I293" i="13" s="1"/>
  <c r="I294" i="13" a="1"/>
  <c r="I294" i="13" s="1"/>
  <c r="BS19" i="28" s="1"/>
  <c r="I295" i="13" a="1"/>
  <c r="I295" i="13" s="1"/>
  <c r="I296" i="13" a="1"/>
  <c r="I296" i="13" s="1"/>
  <c r="I297" i="13" a="1"/>
  <c r="I297" i="13" s="1"/>
  <c r="BS22" i="28" s="1"/>
  <c r="I298" i="13" a="1"/>
  <c r="I298" i="13" s="1"/>
  <c r="BS23" i="28" s="1"/>
  <c r="I299" i="13" a="1"/>
  <c r="I299" i="13" s="1"/>
  <c r="I300" i="13" a="1"/>
  <c r="I300" i="13" s="1"/>
  <c r="I301" i="13" a="1"/>
  <c r="I301" i="13" s="1"/>
  <c r="I302" i="13" a="1"/>
  <c r="I302" i="13" s="1"/>
  <c r="I303" i="13" a="1"/>
  <c r="I303" i="13" s="1"/>
  <c r="I304" i="13" a="1"/>
  <c r="I304" i="13" s="1"/>
  <c r="I305" i="13" a="1"/>
  <c r="I305" i="13" s="1"/>
  <c r="I306" i="13" a="1"/>
  <c r="I306" i="13" s="1"/>
  <c r="I307" i="13" a="1"/>
  <c r="I307" i="13" s="1"/>
  <c r="I308" i="13" a="1"/>
  <c r="I308" i="13" s="1"/>
  <c r="I309" i="13" a="1"/>
  <c r="I309" i="13" s="1"/>
  <c r="I310" i="13" a="1"/>
  <c r="I310" i="13" s="1"/>
  <c r="I311" i="13" a="1"/>
  <c r="I311" i="13" s="1"/>
  <c r="I312" i="13" a="1"/>
  <c r="I312" i="13" s="1"/>
  <c r="I313" i="13" a="1"/>
  <c r="I313" i="13"/>
  <c r="I314" i="13" a="1"/>
  <c r="I314" i="13" s="1"/>
  <c r="I315" i="13" a="1"/>
  <c r="I315" i="13" s="1"/>
  <c r="I316" i="13" a="1"/>
  <c r="I316" i="13" s="1"/>
  <c r="I317" i="13" a="1"/>
  <c r="I317" i="13" s="1"/>
  <c r="I318" i="13" a="1"/>
  <c r="I318" i="13" s="1"/>
  <c r="I319" i="13" a="1"/>
  <c r="I319" i="13" s="1"/>
  <c r="I320" i="13" a="1"/>
  <c r="I320" i="13" s="1"/>
  <c r="I321" i="13" a="1"/>
  <c r="I321" i="13" s="1"/>
  <c r="I322" i="13" a="1"/>
  <c r="I322" i="13" s="1"/>
  <c r="I323" i="13" a="1"/>
  <c r="I323" i="13" s="1"/>
  <c r="I324" i="13" a="1"/>
  <c r="I324" i="13" s="1"/>
  <c r="I325" i="13" a="1"/>
  <c r="I325" i="13" s="1"/>
  <c r="I326" i="13" a="1"/>
  <c r="I326" i="13" s="1"/>
  <c r="I327" i="13" a="1"/>
  <c r="I327" i="13" s="1"/>
  <c r="I328" i="13" a="1"/>
  <c r="I328" i="13" s="1"/>
  <c r="I329" i="13" a="1"/>
  <c r="I329" i="13" s="1"/>
  <c r="I330" i="13" a="1"/>
  <c r="I330" i="13" s="1"/>
  <c r="I331" i="13" a="1"/>
  <c r="I331" i="13" s="1"/>
  <c r="I332" i="13" a="1"/>
  <c r="I332" i="13" s="1"/>
  <c r="I333" i="13" a="1"/>
  <c r="I333" i="13" s="1"/>
  <c r="I334" i="13" a="1"/>
  <c r="I334" i="13" s="1"/>
  <c r="I335" i="13" a="1"/>
  <c r="I335" i="13" s="1"/>
  <c r="I336" i="13" a="1"/>
  <c r="I336" i="13" s="1"/>
  <c r="I337" i="13" a="1"/>
  <c r="I337" i="13" s="1"/>
  <c r="I338" i="13" a="1"/>
  <c r="I338" i="13" s="1"/>
  <c r="I339" i="13" a="1"/>
  <c r="I339" i="13" s="1"/>
  <c r="I340" i="13" a="1"/>
  <c r="I340" i="13" s="1"/>
  <c r="I341" i="13" a="1"/>
  <c r="I341" i="13" s="1"/>
  <c r="I342" i="13" a="1"/>
  <c r="I342" i="13" s="1"/>
  <c r="I343" i="13" a="1"/>
  <c r="I343" i="13" s="1"/>
  <c r="I344" i="13" a="1"/>
  <c r="I344" i="13" s="1"/>
  <c r="I345" i="13" a="1"/>
  <c r="I345" i="13" s="1"/>
  <c r="I346" i="13" a="1"/>
  <c r="I346" i="13" s="1"/>
  <c r="I347" i="13" a="1"/>
  <c r="I347" i="13" s="1"/>
  <c r="I348" i="13" a="1"/>
  <c r="I348" i="13" s="1"/>
  <c r="I349" i="13" a="1"/>
  <c r="I349" i="13" s="1"/>
  <c r="I350" i="13" a="1"/>
  <c r="I350" i="13" s="1"/>
  <c r="I351" i="13" a="1"/>
  <c r="I351" i="13" s="1"/>
  <c r="I352" i="13" a="1"/>
  <c r="I352" i="13" s="1"/>
  <c r="I353" i="13" a="1"/>
  <c r="I353" i="13" s="1"/>
  <c r="I354" i="13" a="1"/>
  <c r="I354" i="13" s="1"/>
  <c r="I355" i="13" a="1"/>
  <c r="I355" i="13" s="1"/>
  <c r="I356" i="13" a="1"/>
  <c r="I356" i="13" s="1"/>
  <c r="I357" i="13" a="1"/>
  <c r="I357" i="13" s="1"/>
  <c r="I358" i="13" a="1"/>
  <c r="I358" i="13" s="1"/>
  <c r="I359" i="13" a="1"/>
  <c r="I359" i="13" s="1"/>
  <c r="I360" i="13" a="1"/>
  <c r="I360" i="13" s="1"/>
  <c r="I361" i="13" a="1"/>
  <c r="I361" i="13" s="1"/>
  <c r="I362" i="13" a="1"/>
  <c r="I362" i="13" s="1"/>
  <c r="I363" i="13" a="1"/>
  <c r="I363" i="13" s="1"/>
  <c r="I364" i="13" a="1"/>
  <c r="I364" i="13" s="1"/>
  <c r="I365" i="13" a="1"/>
  <c r="I365" i="13" s="1"/>
  <c r="I366" i="13" a="1"/>
  <c r="I366" i="13" s="1"/>
  <c r="I367" i="13" a="1"/>
  <c r="I367" i="13" s="1"/>
  <c r="I368" i="13" a="1"/>
  <c r="I368" i="13" s="1"/>
  <c r="I369" i="13" a="1"/>
  <c r="I369" i="13" s="1"/>
  <c r="I370" i="13" a="1"/>
  <c r="I370" i="13" s="1"/>
  <c r="I371" i="13" a="1"/>
  <c r="I371" i="13" s="1"/>
  <c r="I372" i="13" a="1"/>
  <c r="I372" i="13" s="1"/>
  <c r="I373" i="13" a="1"/>
  <c r="I373" i="13" s="1"/>
  <c r="I374" i="13" a="1"/>
  <c r="I374" i="13" s="1"/>
  <c r="I375" i="13" a="1"/>
  <c r="I375" i="13" s="1"/>
  <c r="I376" i="13" a="1"/>
  <c r="I376" i="13" s="1"/>
  <c r="I377" i="13" a="1"/>
  <c r="I377" i="13" s="1"/>
  <c r="I378" i="13" a="1"/>
  <c r="I378" i="13" s="1"/>
  <c r="I379" i="13" a="1"/>
  <c r="I379" i="13" s="1"/>
  <c r="I380" i="13" a="1"/>
  <c r="I380" i="13" s="1"/>
  <c r="I381" i="13" a="1"/>
  <c r="I381" i="13" s="1"/>
  <c r="I382" i="13" a="1"/>
  <c r="I382" i="13" s="1"/>
  <c r="I383" i="13" a="1"/>
  <c r="I383" i="13" s="1"/>
  <c r="I384" i="13" a="1"/>
  <c r="I384" i="13" s="1"/>
  <c r="I385" i="13" a="1"/>
  <c r="I385" i="13" s="1"/>
  <c r="I386" i="13" a="1"/>
  <c r="I386" i="13" s="1"/>
  <c r="I387" i="13" a="1"/>
  <c r="I387" i="13" s="1"/>
  <c r="I388" i="13" a="1"/>
  <c r="I388" i="13" s="1"/>
  <c r="I389" i="13" a="1"/>
  <c r="I389" i="13" s="1"/>
  <c r="I390" i="13" a="1"/>
  <c r="I390" i="13" s="1"/>
  <c r="I291" i="13" a="1"/>
  <c r="I291" i="13" s="1"/>
  <c r="BS16" i="28" s="1"/>
  <c r="I292" i="13" a="1"/>
  <c r="I292" i="13" s="1"/>
  <c r="K293" i="13" a="1"/>
  <c r="K293" i="13"/>
  <c r="K294" i="13" a="1"/>
  <c r="K294" i="13"/>
  <c r="K295" i="13" a="1"/>
  <c r="K295" i="13"/>
  <c r="K296" i="13" a="1"/>
  <c r="K296" i="13"/>
  <c r="K297" i="13" a="1"/>
  <c r="K297" i="13"/>
  <c r="K298" i="13" a="1"/>
  <c r="K298" i="13"/>
  <c r="K299" i="13" a="1"/>
  <c r="K299" i="13"/>
  <c r="K300" i="13" a="1"/>
  <c r="K300" i="13"/>
  <c r="K301" i="13" a="1"/>
  <c r="K301" i="13"/>
  <c r="K302" i="13" a="1"/>
  <c r="K302" i="13"/>
  <c r="K303" i="13" a="1"/>
  <c r="K303" i="13"/>
  <c r="K304" i="13" a="1"/>
  <c r="K304" i="13"/>
  <c r="K305" i="13" a="1"/>
  <c r="K305" i="13"/>
  <c r="K306" i="13" a="1"/>
  <c r="K306" i="13"/>
  <c r="K307" i="13" a="1"/>
  <c r="K307" i="13"/>
  <c r="K308" i="13" a="1"/>
  <c r="K308" i="13"/>
  <c r="K309" i="13" a="1"/>
  <c r="K309" i="13"/>
  <c r="K310" i="13" a="1"/>
  <c r="K310" i="13"/>
  <c r="K311" i="13" a="1"/>
  <c r="K311" i="13"/>
  <c r="K312" i="13" a="1"/>
  <c r="K312" i="13"/>
  <c r="K313" i="13" a="1"/>
  <c r="K313" i="13"/>
  <c r="K314" i="13" a="1"/>
  <c r="K314" i="13"/>
  <c r="K315" i="13" a="1"/>
  <c r="K315" i="13"/>
  <c r="K316" i="13" a="1"/>
  <c r="K316" i="13"/>
  <c r="K317" i="13" a="1"/>
  <c r="K317" i="13" s="1"/>
  <c r="K318" i="13" a="1"/>
  <c r="K318" i="13"/>
  <c r="K319" i="13" a="1"/>
  <c r="K319" i="13" s="1"/>
  <c r="K320" i="13" a="1"/>
  <c r="K320" i="13" s="1"/>
  <c r="K321" i="13" a="1"/>
  <c r="K321" i="13"/>
  <c r="K322" i="13" a="1"/>
  <c r="K322" i="13"/>
  <c r="K323" i="13" a="1"/>
  <c r="K323" i="13"/>
  <c r="K324" i="13" a="1"/>
  <c r="K324" i="13" s="1"/>
  <c r="K325" i="13" a="1"/>
  <c r="K325" i="13"/>
  <c r="K326" i="13" a="1"/>
  <c r="K326" i="13" s="1"/>
  <c r="K327" i="13" a="1"/>
  <c r="K327" i="13" s="1"/>
  <c r="K328" i="13" a="1"/>
  <c r="K328" i="13"/>
  <c r="K329" i="13" a="1"/>
  <c r="K329" i="13"/>
  <c r="K330" i="13" a="1"/>
  <c r="K330" i="13"/>
  <c r="K331" i="13" a="1"/>
  <c r="K331" i="13" s="1"/>
  <c r="K332" i="13" a="1"/>
  <c r="K332" i="13"/>
  <c r="K333" i="13" a="1"/>
  <c r="K333" i="13" s="1"/>
  <c r="K334" i="13" a="1"/>
  <c r="K334" i="13" s="1"/>
  <c r="K335" i="13" a="1"/>
  <c r="K335" i="13"/>
  <c r="K336" i="13" a="1"/>
  <c r="K336" i="13"/>
  <c r="K337" i="13" a="1"/>
  <c r="K337" i="13"/>
  <c r="K338" i="13" a="1"/>
  <c r="K338" i="13" s="1"/>
  <c r="K339" i="13" a="1"/>
  <c r="K339" i="13"/>
  <c r="K340" i="13" a="1"/>
  <c r="K340" i="13" s="1"/>
  <c r="K341" i="13" a="1"/>
  <c r="K341" i="13" s="1"/>
  <c r="K342" i="13" a="1"/>
  <c r="K342" i="13"/>
  <c r="K343" i="13" a="1"/>
  <c r="K343" i="13"/>
  <c r="K344" i="13" a="1"/>
  <c r="K344" i="13"/>
  <c r="K345" i="13" a="1"/>
  <c r="K345" i="13" s="1"/>
  <c r="K346" i="13" a="1"/>
  <c r="K346" i="13"/>
  <c r="K347" i="13" a="1"/>
  <c r="K347" i="13"/>
  <c r="K348" i="13" a="1"/>
  <c r="K348" i="13" s="1"/>
  <c r="K349" i="13" a="1"/>
  <c r="K349" i="13"/>
  <c r="K350" i="13" a="1"/>
  <c r="K350" i="13"/>
  <c r="K351" i="13" a="1"/>
  <c r="K351" i="13"/>
  <c r="K352" i="13" a="1"/>
  <c r="K352" i="13"/>
  <c r="K353" i="13" a="1"/>
  <c r="K353" i="13"/>
  <c r="K354" i="13" a="1"/>
  <c r="K354" i="13"/>
  <c r="K355" i="13" a="1"/>
  <c r="K355" i="13" s="1"/>
  <c r="K356" i="13" a="1"/>
  <c r="K356" i="13"/>
  <c r="K357" i="13" a="1"/>
  <c r="K357" i="13"/>
  <c r="K358" i="13" a="1"/>
  <c r="K358" i="13"/>
  <c r="K359" i="13" a="1"/>
  <c r="K359" i="13"/>
  <c r="K360" i="13" a="1"/>
  <c r="K360" i="13"/>
  <c r="K361" i="13" a="1"/>
  <c r="K361" i="13"/>
  <c r="K362" i="13" a="1"/>
  <c r="K362" i="13" s="1"/>
  <c r="K363" i="13" a="1"/>
  <c r="K363" i="13"/>
  <c r="K364" i="13" a="1"/>
  <c r="K364" i="13"/>
  <c r="K365" i="13" a="1"/>
  <c r="K365" i="13"/>
  <c r="K366" i="13" a="1"/>
  <c r="K366" i="13"/>
  <c r="K367" i="13" a="1"/>
  <c r="K367" i="13"/>
  <c r="K368" i="13" a="1"/>
  <c r="K368" i="13"/>
  <c r="K369" i="13" a="1"/>
  <c r="K369" i="13" s="1"/>
  <c r="K370" i="13" a="1"/>
  <c r="K370" i="13"/>
  <c r="K371" i="13" a="1"/>
  <c r="K371" i="13"/>
  <c r="K372" i="13" a="1"/>
  <c r="K372" i="13"/>
  <c r="K373" i="13" a="1"/>
  <c r="K373" i="13"/>
  <c r="K374" i="13" a="1"/>
  <c r="K374" i="13"/>
  <c r="K375" i="13" a="1"/>
  <c r="K375" i="13"/>
  <c r="K376" i="13" a="1"/>
  <c r="K376" i="13" s="1"/>
  <c r="K377" i="13" a="1"/>
  <c r="K377" i="13"/>
  <c r="K378" i="13" a="1"/>
  <c r="K378" i="13"/>
  <c r="K379" i="13" a="1"/>
  <c r="K379" i="13"/>
  <c r="K380" i="13" a="1"/>
  <c r="K380" i="13"/>
  <c r="K381" i="13" a="1"/>
  <c r="K381" i="13"/>
  <c r="K382" i="13" a="1"/>
  <c r="K382" i="13"/>
  <c r="K383" i="13" a="1"/>
  <c r="K383" i="13" s="1"/>
  <c r="K384" i="13" a="1"/>
  <c r="K384" i="13"/>
  <c r="K385" i="13" a="1"/>
  <c r="K385" i="13"/>
  <c r="K386" i="13" a="1"/>
  <c r="K386" i="13"/>
  <c r="K387" i="13" a="1"/>
  <c r="K387" i="13"/>
  <c r="K388" i="13" a="1"/>
  <c r="K388" i="13"/>
  <c r="K389" i="13" a="1"/>
  <c r="K389" i="13"/>
  <c r="K390" i="13" a="1"/>
  <c r="K390" i="13" s="1"/>
  <c r="K292" i="13" a="1"/>
  <c r="K292" i="13"/>
  <c r="K291" i="13" a="1"/>
  <c r="K291" i="13" s="1"/>
  <c r="O48" i="13" a="1"/>
  <c r="O48" i="13" s="1"/>
  <c r="H48" i="13"/>
  <c r="H49" i="13"/>
  <c r="H50" i="13"/>
  <c r="H51" i="13"/>
  <c r="H52" i="13"/>
  <c r="H53" i="13"/>
  <c r="H54" i="13"/>
  <c r="G48" i="13"/>
  <c r="G49" i="13"/>
  <c r="G50" i="13"/>
  <c r="G51" i="13"/>
  <c r="G52" i="13"/>
  <c r="G53" i="13"/>
  <c r="G54" i="13"/>
  <c r="E48" i="13"/>
  <c r="E49" i="13"/>
  <c r="E50" i="13"/>
  <c r="E51" i="13"/>
  <c r="E52" i="13"/>
  <c r="E53" i="13"/>
  <c r="E54" i="13"/>
  <c r="Y43" i="13"/>
  <c r="C115" i="10" l="1"/>
  <c r="C110" i="10"/>
  <c r="C112" i="10"/>
  <c r="C113" i="10"/>
  <c r="I57" i="3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7" i="1"/>
  <c r="CU21" i="1"/>
  <c r="CU22" i="1"/>
  <c r="CU34" i="1"/>
  <c r="CU49" i="1"/>
  <c r="CU62" i="1"/>
  <c r="CU63" i="1"/>
  <c r="CU70" i="1"/>
  <c r="CU77" i="1"/>
  <c r="CU98" i="1"/>
  <c r="CU105" i="1"/>
  <c r="CU118" i="1"/>
  <c r="CU119" i="1"/>
  <c r="CU133" i="1"/>
  <c r="CU146" i="1"/>
  <c r="CU154" i="1"/>
  <c r="CU161" i="1"/>
  <c r="CU174" i="1"/>
  <c r="CU175" i="1"/>
  <c r="CU189" i="1"/>
  <c r="CU210" i="1"/>
  <c r="CU217" i="1"/>
  <c r="CU328" i="1"/>
  <c r="CU412" i="1"/>
  <c r="CU526"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512" i="1" l="1"/>
  <c r="CU91" i="1"/>
  <c r="CU147" i="1"/>
  <c r="CU456" i="1"/>
  <c r="CU203" i="1"/>
  <c r="CU442" i="1"/>
  <c r="CU132" i="1"/>
  <c r="CU316" i="1"/>
  <c r="CU651" i="1"/>
  <c r="CU314" i="1"/>
  <c r="CU104" i="1"/>
  <c r="CU35"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F170" i="13" l="1"/>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C14" i="10" s="1"/>
  <c r="E19" i="13"/>
  <c r="C13" i="10" s="1"/>
  <c r="E18" i="13"/>
  <c r="C12" i="10" s="1"/>
  <c r="F166" i="13" l="1"/>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F161" i="13" l="1" a="1"/>
  <c r="F161" i="13" s="1"/>
  <c r="F162" i="13" a="1"/>
  <c r="F162" i="13" s="1"/>
  <c r="F163" i="13" a="1"/>
  <c r="F163" i="13" s="1"/>
  <c r="F165" i="13" a="1"/>
  <c r="F165" i="13" s="1"/>
  <c r="M295" i="13"/>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17" i="28"/>
  <c r="I18" i="28"/>
  <c r="I19" i="28"/>
  <c r="I20" i="28"/>
  <c r="I21" i="28"/>
  <c r="I22"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I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O371" i="13"/>
  <c r="N371" i="13"/>
  <c r="AB128" i="13"/>
  <c r="N349" i="13"/>
  <c r="O349" i="13"/>
  <c r="AB106" i="13"/>
  <c r="N304" i="13"/>
  <c r="M304" i="13"/>
  <c r="F304" i="13" s="1" a="1"/>
  <c r="F304" i="13" s="1"/>
  <c r="BG169" i="13"/>
  <c r="O378" i="13"/>
  <c r="N378" i="13"/>
  <c r="AB135" i="13"/>
  <c r="N342" i="13"/>
  <c r="M342" i="13"/>
  <c r="F342" i="13" s="1" a="1"/>
  <c r="F342" i="13" s="1"/>
  <c r="AB99" i="13"/>
  <c r="N361" i="13"/>
  <c r="O361" i="13"/>
  <c r="AB118" i="13"/>
  <c r="X16" i="28"/>
  <c r="BM169" i="13"/>
  <c r="N319" i="13"/>
  <c r="M319" i="13"/>
  <c r="F319" i="13" s="1" a="1"/>
  <c r="F319" i="13" s="1"/>
  <c r="U16" i="28"/>
  <c r="BN16" i="28" s="1"/>
  <c r="BJ169" i="13"/>
  <c r="N340" i="13"/>
  <c r="M340" i="13"/>
  <c r="F340" i="13" s="1" a="1"/>
  <c r="F340" i="13" s="1"/>
  <c r="M333" i="13"/>
  <c r="F333" i="13" s="1" a="1"/>
  <c r="F333" i="13" s="1"/>
  <c r="N333" i="13"/>
  <c r="N348" i="13"/>
  <c r="O348" i="13"/>
  <c r="AB105" i="13"/>
  <c r="N306" i="13"/>
  <c r="M306" i="13"/>
  <c r="F306" i="13" s="1" a="1"/>
  <c r="F306" i="13"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N309" i="13"/>
  <c r="N360" i="13"/>
  <c r="O360" i="13"/>
  <c r="AB117" i="13"/>
  <c r="N293" i="13"/>
  <c r="M293" i="13"/>
  <c r="F293" i="13" s="1" a="1"/>
  <c r="F293" i="13"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N308" i="13"/>
  <c r="Z16" i="28"/>
  <c r="N292" i="13"/>
  <c r="M292" i="13"/>
  <c r="F292" i="13" s="1" a="1"/>
  <c r="F292" i="13"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N302" i="13"/>
  <c r="N364" i="13"/>
  <c r="O364" i="13"/>
  <c r="AB121" i="13"/>
  <c r="N363" i="13"/>
  <c r="O363" i="13"/>
  <c r="AB120" i="13"/>
  <c r="N299" i="13"/>
  <c r="M299" i="13"/>
  <c r="F299" i="13" s="1" a="1"/>
  <c r="F299" i="13" s="1"/>
  <c r="O389" i="13"/>
  <c r="N389" i="13"/>
  <c r="AB146" i="13"/>
  <c r="O359" i="13"/>
  <c r="N359" i="13"/>
  <c r="AB116" i="13"/>
  <c r="M298" i="13"/>
  <c r="N298" i="13"/>
  <c r="N311" i="13"/>
  <c r="M311" i="13"/>
  <c r="F311" i="13" s="1" a="1"/>
  <c r="F311" i="13" s="1"/>
  <c r="M301" i="13"/>
  <c r="F301" i="13" s="1" a="1"/>
  <c r="F301" i="13"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N337" i="13"/>
  <c r="M337" i="13"/>
  <c r="F337" i="13" s="1" a="1"/>
  <c r="F337" i="13" s="1"/>
  <c r="N300" i="13"/>
  <c r="M300" i="13"/>
  <c r="F300" i="13" s="1" a="1"/>
  <c r="F300" i="13" s="1"/>
  <c r="N297" i="13"/>
  <c r="M297" i="13"/>
  <c r="F297" i="13" s="1" a="1"/>
  <c r="F297" i="13" s="1"/>
  <c r="BQ22" i="28" s="1"/>
  <c r="N379" i="13"/>
  <c r="O379" i="13"/>
  <c r="AB136" i="13"/>
  <c r="O357" i="13"/>
  <c r="N357" i="13"/>
  <c r="AB114" i="13"/>
  <c r="N374" i="13"/>
  <c r="O374" i="13"/>
  <c r="AB131" i="13"/>
  <c r="N332" i="13"/>
  <c r="M332" i="13"/>
  <c r="F332" i="13" s="1" a="1"/>
  <c r="F332" i="13" s="1"/>
  <c r="F298" i="13" l="1" a="1"/>
  <c r="F298" i="13" s="1"/>
  <c r="BQ23" i="28" s="1"/>
  <c r="C114" i="10"/>
  <c r="F291" i="13" a="1"/>
  <c r="F291" i="13" s="1"/>
  <c r="BQ16" i="28" s="1"/>
  <c r="C111" i="10"/>
  <c r="F296" i="13" a="1"/>
  <c r="F296" i="13" s="1"/>
  <c r="C109" i="10"/>
  <c r="C103" i="10"/>
  <c r="F294" i="13" a="1"/>
  <c r="F294" i="13" s="1"/>
  <c r="BQ19" i="28"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BP51" i="28"/>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<sst xmlns="http://schemas.openxmlformats.org/spreadsheetml/2006/main" count="22833" uniqueCount="3694">
  <si>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</si>
  <si>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</si>
  <si>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</si>
  <si>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</si>
  <si>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</si>
  <si>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</si>
  <si>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</si>
  <si>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</si>
  <si>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</si>
  <si>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</si>
  <si>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</si>
  <si>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</si>
  <si>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</si>
  <si>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</si>
  <si>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</si>
  <si>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</si>
  <si>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</si>
  <si>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</si>
  <si>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</si>
  <si>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</si>
  <si>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</si>
  <si>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</si>
  <si>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</si>
  <si>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</si>
  <si>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</si>
  <si>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</si>
  <si>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</si>
  <si>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</si>
  <si>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</si>
  <si>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</si>
  <si>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</si>
  <si>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</si>
  <si>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</si>
  <si>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</si>
  <si>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</si>
  <si>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</si>
  <si>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</si>
  <si>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</si>
  <si>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</si>
  <si>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</si>
  <si>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</si>
  <si>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</si>
  <si>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</si>
  <si>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</si>
  <si>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</si>
  <si>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</si>
  <si>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</si>
  <si>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</si>
  <si>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</si>
  <si>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</si>
  <si>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</si>
  <si>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</si>
  <si>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</si>
  <si>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</si>
  <si>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</si>
  <si>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</si>
  <si>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</si>
  <si>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</si>
  <si>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</si>
  <si>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</si>
  <si>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</si>
  <si>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</si>
  <si>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</si>
  <si>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</si>
  <si>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</si>
  <si>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</si>
  <si>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</si>
  <si>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</si>
  <si>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</si>
  <si>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</si>
  <si>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</si>
  <si>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</si>
  <si>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</si>
  <si>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</si>
  <si>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</si>
  <si>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</si>
  <si>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</si>
  <si>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</si>
  <si>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</si>
  <si>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</si>
  <si>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</si>
  <si>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</si>
  <si>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</si>
  <si>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</si>
  <si>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</si>
  <si>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</si>
  <si>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</si>
  <si>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</si>
  <si>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</si>
  <si>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</si>
  <si>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</si>
  <si>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</si>
  <si>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</si>
  <si>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</si>
  <si>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</si>
  <si>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</si>
  <si>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</si>
  <si>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</si>
  <si>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</si>
  <si>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</si>
  <si>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</si>
  <si>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</si>
  <si>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</si>
  <si>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</si>
  <si>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</si>
  <si>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</si>
  <si>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</si>
  <si>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</si>
  <si>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</si>
  <si>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</si>
  <si>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</si>
  <si>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</si>
  <si>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</si>
  <si>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</si>
  <si>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</si>
  <si>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</si>
  <si>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</si>
  <si>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</si>
  <si>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</si>
  <si>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</si>
  <si>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</si>
  <si>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</si>
  <si>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</si>
  <si>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</si>
  <si>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</si>
  <si>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</si>
  <si>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</si>
  <si>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</si>
  <si>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</si>
  <si>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</si>
  <si>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</si>
  <si>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</si>
  <si>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</si>
  <si>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</si>
  <si>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</si>
  <si>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</si>
  <si>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</si>
  <si>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</si>
  <si>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</si>
  <si>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</si>
  <si>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</si>
  <si>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</si>
  <si>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</si>
  <si>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</si>
  <si>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</si>
  <si>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</si>
  <si>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</si>
  <si>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</si>
  <si>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</si>
  <si>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</si>
  <si>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</si>
  <si>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</si>
  <si>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</si>
  <si>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</si>
  <si>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</si>
  <si>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</si>
  <si>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</si>
  <si>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</si>
  <si>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</si>
  <si>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</si>
  <si>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</si>
  <si>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</si>
  <si>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</si>
  <si>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</si>
  <si>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</si>
  <si>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</si>
  <si>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</si>
  <si>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</si>
  <si>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</si>
  <si>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</si>
  <si>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</si>
  <si>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</si>
  <si>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</si>
  <si>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</si>
  <si>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</si>
  <si>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</si>
  <si>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</si>
  <si>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</si>
  <si>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</si>
  <si>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</si>
  <si>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</si>
  <si>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</si>
  <si>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</si>
  <si>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</si>
  <si>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</si>
  <si>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</si>
  <si>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</si>
  <si>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</si>
  <si>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</si>
  <si>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</si>
  <si>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</si>
  <si>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</si>
  <si>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</si>
  <si>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</si>
  <si>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</si>
  <si>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</si>
  <si>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</si>
  <si>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</si>
  <si>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</si>
  <si>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</si>
  <si>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</si>
  <si>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</si>
  <si>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</si>
  <si>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</si>
  <si>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</si>
  <si>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</si>
  <si>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</si>
  <si>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</si>
  <si>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</si>
  <si>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</si>
  <si>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</si>
  <si>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</si>
  <si>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</si>
  <si>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</si>
  <si>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</si>
  <si>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</si>
  <si>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</si>
  <si>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</si>
  <si>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</si>
  <si>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</si>
  <si>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</si>
  <si>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</si>
  <si>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</si>
  <si>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</si>
  <si>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</si>
  <si>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</si>
  <si>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</si>
  <si>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</si>
  <si>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</si>
  <si>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</si>
  <si>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</si>
  <si>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</si>
  <si>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</si>
  <si>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</si>
  <si>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</si>
  <si>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</si>
  <si>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</si>
  <si>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</si>
  <si>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</si>
  <si>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</si>
  <si>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</si>
  <si>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</si>
  <si>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</si>
  <si>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</si>
  <si>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</si>
  <si>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</si>
  <si>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</si>
  <si>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</si>
  <si>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</si>
  <si>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</si>
  <si>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</si>
  <si>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</si>
  <si>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</si>
  <si>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</si>
  <si>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</si>
  <si>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</si>
  <si>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</si>
  <si>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</si>
  <si>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</si>
  <si>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</si>
  <si>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</si>
  <si>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</si>
  <si>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</si>
  <si>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</si>
  <si>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</si>
  <si>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</si>
  <si>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</si>
  <si>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</si>
  <si>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</si>
  <si>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</si>
  <si>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</si>
  <si>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</si>
  <si>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</si>
  <si>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</si>
  <si>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</si>
  <si>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</si>
  <si>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</si>
  <si>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</si>
  <si>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</si>
  <si>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</si>
  <si>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</si>
  <si>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</si>
  <si>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</si>
  <si>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</si>
  <si>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</si>
  <si>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</si>
  <si>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</si>
  <si>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</si>
  <si>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</si>
  <si>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</si>
  <si>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</si>
  <si>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</si>
  <si>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</si>
  <si>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</si>
  <si>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</si>
  <si>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</si>
  <si>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</si>
  <si>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</si>
  <si>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</si>
  <si>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</si>
  <si>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</si>
  <si>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</si>
  <si>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</si>
  <si>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</si>
  <si>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</si>
  <si>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</si>
  <si>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</si>
  <si>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</si>
  <si>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</si>
  <si>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</si>
  <si>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</si>
  <si>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</si>
  <si>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</si>
  <si>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</si>
  <si>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</si>
  <si>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</si>
  <si>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</si>
  <si>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</si>
  <si>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</si>
  <si>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</si>
  <si>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</si>
  <si>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</si>
  <si>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</si>
  <si>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</si>
  <si>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</si>
  <si>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</si>
  <si>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</si>
  <si>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</si>
  <si>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</si>
  <si>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</si>
  <si>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</si>
  <si>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</si>
  <si>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</si>
  <si>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</si>
  <si>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</si>
  <si>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</si>
  <si>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</si>
  <si>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</si>
  <si>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</si>
  <si>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</si>
  <si>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</si>
  <si>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</si>
  <si>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</si>
  <si>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</si>
  <si>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</si>
  <si>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</si>
  <si>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</si>
  <si>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</si>
  <si>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</si>
  <si>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</si>
  <si>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</si>
  <si>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</si>
  <si>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</si>
  <si>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</si>
  <si>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</si>
  <si>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</si>
  <si>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</si>
  <si>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</si>
  <si>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</si>
  <si>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</si>
  <si>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</si>
  <si>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</si>
  <si>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</si>
  <si>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</si>
  <si>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</si>
  <si>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</si>
  <si>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</si>
  <si>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</si>
  <si>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</si>
  <si>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</si>
  <si>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</si>
  <si>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</si>
  <si>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</si>
  <si>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</si>
  <si>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</si>
  <si>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</si>
  <si>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</si>
  <si>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</si>
  <si>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</si>
  <si>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</si>
  <si>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</si>
  <si>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</si>
  <si>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</si>
  <si>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</si>
  <si>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</si>
  <si>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</si>
  <si>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</si>
  <si>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</si>
  <si>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</si>
  <si>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</si>
  <si>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</si>
  <si>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</si>
  <si>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</si>
  <si>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</si>
  <si>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</si>
  <si>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</si>
  <si>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</si>
  <si>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</si>
  <si>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</si>
  <si>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</si>
  <si>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</si>
  <si>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</si>
  <si>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</si>
  <si>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</si>
  <si>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</si>
  <si>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</si>
  <si>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</si>
  <si>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</si>
  <si>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</si>
  <si>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</si>
  <si>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</si>
  <si>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</si>
  <si>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</si>
  <si>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</si>
  <si>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</si>
  <si>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</si>
  <si>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</si>
  <si>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</si>
  <si>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</si>
  <si>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</si>
  <si>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</si>
  <si>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</si>
  <si>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</si>
  <si>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</si>
  <si>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</si>
  <si>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</si>
  <si>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</si>
  <si>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</si>
  <si>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</si>
  <si>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</si>
  <si>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</si>
  <si>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</si>
  <si>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</si>
  <si>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</si>
  <si>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</si>
  <si>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</si>
  <si>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</si>
  <si>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</si>
  <si>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</si>
  <si>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</si>
  <si>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</si>
  <si>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</si>
  <si>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</si>
  <si>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</si>
  <si>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</si>
  <si>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</si>
  <si>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</si>
  <si>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</si>
  <si>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</si>
  <si>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</si>
  <si>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</si>
  <si>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</si>
  <si>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</si>
  <si>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</si>
  <si>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</si>
  <si>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</si>
  <si>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</si>
  <si>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</si>
  <si>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</si>
  <si>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</si>
  <si>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</si>
  <si>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</si>
  <si>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</si>
  <si>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</si>
  <si>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</si>
  <si>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</si>
  <si>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</si>
  <si>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</si>
  <si>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</si>
  <si>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</si>
  <si>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</si>
  <si>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</si>
  <si>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</si>
  <si>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</si>
  <si>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</si>
  <si>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</si>
  <si>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</si>
  <si>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</si>
  <si>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</si>
  <si>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</si>
  <si>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</si>
  <si>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</si>
  <si>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</si>
  <si>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</si>
  <si>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</si>
  <si>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</si>
  <si>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</si>
  <si>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</si>
  <si>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</si>
  <si>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</si>
  <si>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</si>
  <si>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</si>
  <si>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</si>
  <si>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</si>
  <si>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</si>
  <si>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</si>
  <si>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</si>
  <si>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</si>
  <si>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</si>
  <si>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</si>
  <si>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</si>
  <si>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</si>
  <si>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</si>
  <si>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</si>
  <si>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</si>
  <si>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</si>
  <si>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</si>
  <si>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</si>
  <si>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</si>
  <si>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</si>
  <si>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</si>
  <si>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</si>
  <si>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</si>
  <si>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</si>
  <si>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</si>
  <si>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</si>
  <si>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</si>
  <si>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</si>
  <si>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</si>
  <si>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</si>
  <si>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</si>
  <si>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</si>
  <si>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</si>
  <si>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</si>
  <si>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</si>
  <si>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</si>
  <si>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</si>
  <si>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</si>
  <si>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</si>
  <si>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</si>
  <si>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</si>
  <si>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</si>
  <si>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</si>
  <si>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</si>
  <si>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</si>
  <si>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</si>
  <si>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</si>
  <si>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</si>
  <si>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</si>
  <si>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</si>
  <si>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</si>
  <si>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</si>
  <si>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</si>
  <si>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</si>
  <si>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</si>
  <si>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</si>
  <si>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</si>
  <si>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</si>
  <si>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</si>
  <si>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</si>
  <si>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</si>
  <si>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</si>
  <si>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</si>
  <si>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</si>
  <si>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</si>
  <si>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</si>
  <si>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</si>
  <si>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</si>
  <si>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</si>
  <si>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</si>
  <si>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</si>
  <si>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</si>
  <si>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</si>
  <si>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</si>
  <si>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</si>
  <si>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</si>
  <si>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</si>
  <si>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</si>
  <si>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</si>
  <si>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</si>
  <si>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</si>
  <si>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</si>
  <si>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</si>
  <si>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</si>
  <si>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</si>
  <si>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</si>
  <si>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</si>
  <si>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</si>
  <si>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</si>
  <si>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</si>
  <si>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</si>
  <si>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</si>
  <si>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</si>
  <si>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</si>
  <si>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</si>
  <si>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</si>
  <si>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</si>
  <si>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</si>
  <si>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</si>
  <si>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</si>
  <si>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</si>
  <si>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</si>
  <si>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</si>
  <si>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</si>
  <si>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</si>
  <si>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</si>
  <si>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</si>
  <si>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</si>
  <si>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</si>
  <si>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</si>
  <si>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</si>
  <si>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</si>
  <si>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</si>
  <si>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</si>
  <si>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</si>
  <si>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</si>
  <si>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</si>
  <si>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</si>
  <si>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</si>
  <si>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</si>
  <si>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</si>
  <si>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</si>
  <si>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</si>
  <si>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</si>
  <si>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</si>
  <si>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</si>
  <si>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</si>
  <si>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</si>
  <si>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</si>
  <si>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</si>
  <si>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</si>
  <si>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</si>
  <si>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</si>
  <si>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</si>
  <si>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</si>
  <si>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</si>
  <si>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</si>
  <si>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</si>
  <si>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</si>
  <si>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</si>
  <si>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</si>
  <si>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</si>
  <si>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</si>
  <si>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</si>
  <si>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</si>
  <si>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</si>
  <si>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</si>
  <si>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</si>
  <si>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</si>
  <si>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</si>
  <si>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</si>
  <si>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</si>
  <si>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</si>
  <si>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</si>
  <si>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</si>
  <si>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</si>
  <si>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</si>
  <si>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</si>
  <si>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</si>
  <si>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</si>
  <si>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</si>
  <si>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</si>
  <si>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</si>
  <si>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</si>
  <si>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</si>
  <si>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</si>
  <si>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</si>
  <si>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</si>
  <si>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</si>
  <si>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</si>
  <si>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</si>
  <si>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</si>
  <si>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</si>
  <si>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</si>
  <si>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</si>
  <si>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</si>
  <si>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</si>
  <si>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</si>
  <si>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</si>
  <si>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</si>
  <si>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</si>
  <si>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</si>
  <si>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</si>
  <si>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</si>
  <si>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</si>
  <si>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</si>
  <si>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</si>
  <si>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</si>
  <si>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</si>
  <si>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</si>
  <si>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</si>
  <si>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</si>
  <si>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</si>
  <si>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</si>
  <si>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</si>
  <si>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</si>
  <si>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</si>
  <si>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</si>
  <si>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</si>
  <si>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</si>
  <si>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</si>
  <si>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</si>
  <si>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</si>
  <si>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</si>
  <si>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</si>
  <si>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</si>
  <si>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</si>
  <si>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</si>
  <si>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</si>
  <si>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</si>
  <si>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</si>
  <si>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</si>
  <si>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</si>
  <si>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</si>
  <si>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</si>
  <si>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</si>
  <si>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</si>
  <si>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</si>
  <si>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</si>
  <si>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</si>
  <si>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</si>
  <si>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</si>
  <si>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</si>
  <si>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</si>
  <si>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</si>
  <si>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</si>
  <si>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</si>
  <si>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</si>
  <si>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</si>
  <si>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</si>
  <si>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</si>
  <si>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</si>
  <si>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</si>
  <si>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</si>
  <si>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</si>
  <si>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</si>
  <si>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</si>
  <si>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</si>
  <si>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</si>
  <si>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</si>
  <si>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</si>
  <si>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</si>
  <si>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</si>
  <si>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</si>
  <si>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</si>
  <si>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</si>
  <si>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</si>
  <si>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</si>
  <si>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</si>
  <si>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</si>
  <si>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</si>
  <si>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</si>
  <si>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</si>
  <si>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</si>
  <si>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</si>
  <si>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</si>
  <si>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</si>
  <si>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</si>
  <si>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</si>
  <si>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</si>
  <si>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</si>
  <si>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</si>
  <si>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</si>
  <si>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</si>
  <si>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</si>
  <si>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</si>
  <si>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</si>
  <si>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</si>
  <si>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</si>
  <si>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</si>
  <si>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</si>
  <si>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</si>
  <si>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</si>
  <si>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</si>
  <si>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</si>
  <si>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</si>
  <si>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</si>
  <si>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</si>
  <si>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</si>
  <si>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</si>
  <si>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</si>
  <si>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</si>
  <si>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</si>
  <si>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</si>
  <si>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</si>
  <si>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</si>
  <si>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</si>
  <si>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</si>
  <si>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</si>
  <si>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</si>
  <si>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</si>
  <si>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</si>
  <si>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</si>
  <si>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</si>
  <si>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</si>
  <si>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</si>
  <si>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</si>
  <si>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</si>
  <si>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</si>
  <si>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</si>
  <si>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</si>
  <si>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</si>
  <si>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</si>
  <si>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</si>
  <si>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</si>
  <si>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</si>
  <si>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</si>
  <si>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</si>
  <si>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</si>
  <si>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</si>
  <si>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</si>
  <si>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</si>
  <si>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</si>
  <si>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</si>
  <si>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</si>
  <si>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</si>
  <si>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</si>
  <si>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</si>
  <si>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</si>
  <si>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</si>
  <si>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</si>
  <si>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</si>
  <si>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</si>
  <si>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</si>
  <si>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</si>
  <si>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</si>
  <si>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</si>
  <si>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</si>
  <si>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</si>
  <si>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</si>
  <si>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</si>
  <si>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</si>
  <si>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</si>
  <si>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</si>
  <si>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</si>
  <si>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</si>
  <si>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</si>
  <si>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</si>
  <si>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</si>
  <si>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</si>
  <si>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</si>
  <si>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</si>
  <si>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</si>
  <si>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</si>
  <si>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</si>
  <si>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</si>
  <si>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</si>
  <si>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</si>
  <si>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</si>
  <si>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</si>
  <si>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</si>
  <si>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</si>
  <si>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</si>
  <si>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</si>
  <si>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</si>
  <si>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</si>
  <si>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</si>
  <si>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</si>
  <si>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</si>
  <si>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</si>
  <si>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</si>
  <si>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</si>
  <si>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</si>
  <si>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</si>
  <si>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</si>
  <si>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</si>
  <si>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</si>
  <si>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</si>
  <si>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</si>
  <si>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</si>
  <si>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</si>
  <si>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</si>
  <si>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</si>
  <si>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</si>
  <si>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</si>
  <si>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</si>
  <si>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</si>
  <si>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</si>
  <si>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</si>
  <si>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</si>
  <si>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</si>
  <si>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</si>
  <si>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</si>
  <si>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</si>
  <si>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</si>
  <si>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</si>
  <si>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</si>
  <si>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</si>
  <si>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</si>
  <si>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</si>
  <si>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</si>
  <si>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</si>
  <si>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</si>
  <si>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</si>
  <si>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</si>
  <si>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</si>
  <si>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</si>
  <si>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</si>
  <si>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</si>
  <si>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</si>
  <si>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</si>
  <si>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</si>
  <si>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</si>
  <si>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</si>
  <si>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</si>
  <si>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</si>
  <si>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</si>
  <si>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</si>
  <si>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</si>
  <si>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</si>
  <si>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</si>
  <si>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</si>
  <si>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</si>
  <si>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</si>
  <si>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</si>
  <si>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</si>
  <si>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</si>
  <si>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</si>
  <si>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</si>
  <si>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</si>
  <si>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</si>
  <si>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</si>
  <si>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</si>
  <si>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</si>
  <si>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</si>
  <si>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</si>
  <si>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</si>
  <si>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</si>
  <si>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</si>
  <si>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</si>
  <si>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</si>
  <si>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</si>
  <si>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</si>
  <si>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</si>
  <si>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</si>
  <si>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</si>
  <si>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</si>
  <si>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</si>
  <si>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</si>
  <si>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</si>
  <si>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</si>
  <si>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</si>
  <si>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</si>
  <si>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</si>
  <si>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</si>
  <si>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</si>
  <si>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</si>
  <si>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</si>
  <si>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</si>
  <si>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</si>
  <si>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</si>
  <si>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</si>
  <si>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</si>
  <si>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</si>
  <si>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</si>
  <si>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</si>
  <si>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</si>
  <si>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</si>
  <si>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</si>
  <si>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</si>
  <si>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</si>
  <si>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</si>
  <si>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</si>
  <si>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</si>
  <si>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</si>
  <si>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</si>
  <si>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</si>
  <si>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</si>
  <si>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</si>
  <si>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</si>
  <si>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</si>
  <si>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</si>
  <si>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</si>
  <si>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</si>
  <si>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</si>
  <si>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</si>
  <si>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</si>
  <si>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</si>
  <si>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</si>
  <si>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</si>
  <si>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</si>
  <si>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</si>
  <si>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</si>
  <si>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</si>
  <si>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</si>
  <si>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</si>
  <si>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</si>
  <si>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</si>
  <si>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</si>
  <si>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</si>
  <si>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</si>
  <si>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</si>
  <si>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</si>
  <si>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</si>
  <si>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</si>
  <si>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</si>
  <si>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</si>
  <si>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</si>
  <si>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</si>
  <si>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</si>
  <si>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</si>
  <si>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</si>
  <si>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</si>
  <si>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</si>
  <si>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</si>
  <si>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</si>
  <si>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</si>
  <si>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</si>
  <si>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</si>
  <si>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</si>
  <si>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</si>
  <si>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</si>
  <si>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</si>
  <si>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</si>
  <si>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</si>
  <si>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</si>
  <si>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</si>
  <si>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</si>
  <si>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</si>
  <si>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</si>
  <si>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</si>
  <si>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</si>
  <si>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</si>
  <si>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</si>
  <si>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</si>
  <si>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</si>
  <si>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</si>
  <si>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</si>
  <si>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</si>
  <si>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</si>
  <si>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</si>
  <si>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</si>
  <si>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</si>
  <si>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</si>
  <si>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</si>
  <si>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</si>
  <si>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</si>
  <si>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</si>
  <si>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</si>
  <si>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</si>
  <si>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</si>
  <si>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</si>
  <si>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</si>
  <si>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</si>
  <si>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</si>
  <si>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</si>
  <si>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</si>
  <si>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</si>
  <si>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</si>
  <si>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</si>
  <si>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</si>
  <si>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</si>
  <si>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</si>
  <si>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</si>
  <si>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</si>
  <si>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</si>
  <si>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</si>
  <si>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</si>
  <si>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</si>
  <si>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</si>
  <si>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</si>
  <si>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</si>
  <si>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</si>
  <si>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</si>
  <si>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</si>
  <si>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</si>
  <si>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</si>
  <si>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</si>
  <si>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</si>
  <si>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</si>
  <si>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</si>
  <si>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</si>
  <si>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</si>
  <si>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</si>
  <si>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</si>
  <si>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</si>
  <si>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</si>
  <si>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</si>
  <si>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</si>
  <si>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</si>
  <si>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</si>
  <si>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</si>
  <si>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</si>
  <si>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</si>
  <si>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</si>
  <si>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</si>
  <si>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</si>
  <si>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</si>
  <si>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</si>
  <si>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</si>
  <si>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</si>
  <si>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</si>
  <si>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</si>
  <si>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</si>
  <si>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</si>
  <si>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</si>
  <si>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</si>
  <si>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</si>
  <si>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</si>
  <si>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</si>
  <si>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</si>
  <si>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</si>
  <si>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</si>
  <si>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</si>
  <si>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</si>
  <si>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</si>
  <si>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</si>
  <si>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</si>
  <si>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</si>
  <si>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</si>
  <si>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</si>
  <si>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</si>
  <si>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</si>
  <si>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</si>
  <si>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</si>
  <si>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</si>
  <si>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</si>
  <si>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</si>
  <si>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</si>
  <si>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</si>
  <si>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</si>
  <si>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</si>
  <si>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</si>
  <si>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</si>
  <si>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</si>
  <si>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</si>
  <si>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</si>
  <si>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</si>
  <si>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</si>
  <si>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</si>
  <si>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</si>
  <si>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</si>
  <si>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</si>
  <si>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</si>
  <si>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</si>
  <si>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</si>
  <si>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</si>
  <si>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</si>
  <si>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</si>
  <si>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</si>
  <si>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</si>
  <si>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</si>
  <si>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</si>
  <si>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</si>
  <si>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</si>
  <si>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</si>
  <si>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</si>
  <si>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</si>
  <si>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</si>
  <si>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</si>
  <si>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</si>
  <si>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</si>
  <si>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</si>
  <si>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</si>
  <si>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</si>
  <si>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</si>
  <si>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</si>
  <si>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</si>
  <si>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</si>
  <si>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</si>
  <si>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</si>
  <si>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</si>
  <si>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</si>
  <si>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</si>
  <si>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</si>
  <si>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</si>
  <si>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</si>
  <si>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</si>
  <si>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</si>
  <si>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</si>
  <si>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</si>
  <si>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</si>
  <si>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</si>
  <si>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</si>
  <si>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</si>
  <si>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</si>
  <si>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</si>
  <si>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</si>
  <si>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</si>
  <si>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</si>
  <si>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</si>
  <si>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</si>
  <si>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</si>
  <si>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</si>
  <si>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</si>
  <si>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</si>
  <si>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</si>
  <si>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</si>
  <si>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</si>
  <si>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</si>
  <si>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</si>
  <si>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</si>
  <si>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</si>
  <si>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</si>
  <si>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</si>
  <si>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</si>
  <si>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</si>
  <si>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</si>
  <si>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</si>
  <si>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</si>
  <si>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</si>
  <si>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</si>
  <si>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</si>
  <si>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</si>
  <si>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</si>
  <si>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</si>
  <si>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</si>
  <si>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</si>
  <si>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</si>
  <si>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</si>
  <si>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</si>
  <si>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</si>
  <si>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</si>
  <si>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</si>
  <si>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</si>
  <si>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</si>
  <si>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</si>
  <si>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</si>
  <si>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</si>
  <si>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</si>
  <si>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</si>
  <si>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</si>
  <si>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</si>
  <si>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</si>
  <si>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</si>
  <si>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</si>
  <si>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</si>
  <si>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</si>
  <si>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</si>
  <si>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</si>
  <si>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</si>
  <si>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</si>
  <si>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</si>
  <si>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</si>
  <si>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</si>
  <si>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</si>
  <si>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</si>
  <si>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</si>
  <si>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</si>
  <si>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</si>
  <si>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</si>
  <si>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</si>
  <si>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</si>
  <si>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</si>
  <si>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</si>
  <si>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</si>
  <si>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</si>
  <si>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</si>
  <si>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</si>
  <si>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</si>
  <si>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</si>
  <si>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</si>
  <si>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</si>
  <si>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</si>
  <si>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</si>
  <si>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</si>
  <si>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</si>
  <si>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</si>
  <si>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</si>
  <si>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</si>
  <si>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</si>
  <si>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</si>
  <si>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</si>
  <si>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</si>
  <si>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</si>
  <si>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</si>
  <si>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</si>
  <si>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</si>
  <si>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</si>
  <si>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</si>
  <si>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</si>
  <si>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</si>
  <si>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</si>
  <si>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</si>
  <si>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</si>
  <si>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</si>
  <si>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</si>
  <si>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</si>
  <si>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</si>
  <si>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</si>
  <si>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</si>
  <si>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</si>
  <si>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</si>
  <si>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</si>
  <si>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</si>
  <si>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</si>
  <si>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</si>
  <si>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</si>
  <si>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</si>
  <si>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</si>
  <si>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</si>
  <si>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</si>
  <si>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</si>
  <si>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</si>
  <si>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</si>
  <si>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</si>
  <si>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</si>
  <si>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</si>
  <si>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</si>
  <si>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</si>
  <si>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</si>
  <si>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</si>
  <si>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</si>
  <si>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</si>
  <si>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</si>
  <si>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</si>
  <si>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</si>
  <si>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</si>
  <si>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</si>
  <si>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</si>
  <si>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</si>
  <si>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</si>
  <si>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</si>
  <si>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</si>
  <si>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</si>
  <si>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</si>
  <si>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</si>
  <si>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</si>
  <si>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</si>
  <si>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</si>
  <si>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</si>
  <si>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</si>
  <si>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</si>
  <si>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</si>
  <si>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</si>
  <si>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</si>
  <si>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</si>
  <si>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</si>
  <si>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</si>
  <si>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</si>
  <si>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</si>
  <si>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</si>
  <si>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</si>
  <si>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</si>
  <si>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</si>
  <si>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</si>
  <si>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</si>
  <si>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</si>
  <si>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</si>
  <si>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</si>
  <si>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</si>
  <si>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</si>
  <si>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</si>
  <si>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</si>
  <si>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</si>
  <si>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</si>
  <si>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</si>
  <si>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</si>
  <si>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</si>
  <si>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</si>
  <si>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</si>
  <si>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</si>
  <si>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</si>
  <si>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</si>
  <si>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</si>
  <si>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</si>
  <si>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</si>
  <si>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</si>
  <si>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</si>
  <si>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</si>
  <si>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</si>
  <si>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</si>
  <si>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</si>
  <si>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</si>
  <si>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</si>
  <si>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</si>
  <si>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</si>
  <si>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</si>
  <si>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</si>
  <si>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</si>
  <si>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</si>
  <si>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</si>
  <si>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</si>
  <si>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</si>
  <si>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</si>
  <si>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</si>
  <si>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</si>
  <si>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</si>
  <si>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</si>
  <si>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</si>
  <si>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</si>
  <si>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</si>
  <si>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</si>
  <si>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</si>
  <si>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</si>
  <si>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</si>
  <si>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</si>
  <si>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</si>
  <si>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</si>
  <si>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</si>
  <si>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</si>
  <si>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</si>
  <si>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</si>
  <si>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</si>
  <si>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</si>
  <si>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</si>
  <si>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</si>
  <si>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</si>
  <si>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</si>
  <si>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</si>
  <si>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</si>
  <si>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</si>
  <si>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</si>
  <si>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</si>
  <si>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</si>
  <si>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</si>
  <si>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</si>
  <si>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</si>
  <si>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</si>
  <si>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</si>
  <si>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</si>
  <si>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</si>
  <si>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</si>
  <si>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</si>
  <si>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</si>
  <si>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</si>
  <si>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</si>
  <si>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</si>
  <si>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</si>
  <si>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</si>
  <si>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</si>
  <si>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</si>
  <si>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</si>
  <si>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</si>
  <si>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</si>
  <si>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</si>
  <si>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</si>
  <si>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</si>
  <si>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</si>
  <si>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</si>
  <si>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</si>
  <si>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</si>
  <si>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</si>
  <si>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</si>
  <si>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</si>
  <si>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</si>
  <si>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</si>
  <si>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</si>
  <si>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</si>
  <si>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</si>
  <si>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</si>
  <si>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</si>
  <si>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</si>
  <si>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</si>
  <si>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</si>
  <si>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</si>
  <si>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</si>
  <si>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</si>
  <si>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</si>
  <si>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</si>
  <si>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</si>
  <si>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</si>
  <si>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</si>
  <si>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</si>
  <si>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</si>
  <si>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</si>
  <si>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</si>
  <si>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</si>
  <si>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</si>
  <si>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</si>
  <si>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</si>
  <si>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</si>
  <si>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</si>
  <si>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</si>
  <si>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</si>
  <si>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</si>
  <si>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</si>
  <si>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</si>
  <si>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</si>
  <si>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</si>
  <si>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</si>
  <si>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</si>
  <si>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</si>
  <si>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</si>
  <si>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</si>
  <si>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</si>
  <si>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</si>
  <si>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</si>
  <si>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</si>
  <si>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</si>
  <si>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</si>
  <si>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</si>
  <si>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</si>
  <si>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</si>
  <si>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</si>
  <si>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</si>
  <si>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</si>
  <si>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</si>
  <si>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</si>
  <si>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</si>
  <si>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</si>
  <si>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</si>
  <si>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</si>
  <si>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</si>
  <si>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</si>
  <si>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</si>
  <si>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</si>
  <si>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</si>
  <si>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</si>
  <si>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</si>
  <si>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</si>
  <si>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</si>
  <si>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</si>
  <si>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</si>
  <si>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</si>
  <si>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</si>
  <si>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</si>
  <si>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</si>
  <si>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</si>
  <si>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</si>
  <si>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</si>
  <si>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</si>
  <si>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</si>
  <si>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</si>
  <si>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</si>
  <si>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</si>
  <si>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</si>
  <si>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</si>
  <si>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</si>
  <si>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</si>
  <si>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</si>
  <si>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</si>
  <si>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</si>
  <si>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</si>
  <si>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</si>
  <si>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</si>
  <si>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</si>
  <si>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</si>
  <si>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</si>
  <si>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</si>
  <si>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</si>
  <si>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</si>
  <si>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</si>
  <si>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</si>
  <si>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</si>
  <si>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</si>
  <si>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</si>
  <si>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</si>
  <si>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</si>
  <si>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</si>
  <si>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</si>
  <si>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</si>
  <si>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</si>
  <si>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</si>
  <si>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</si>
  <si>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</si>
  <si>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</si>
  <si>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</si>
  <si>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</si>
  <si>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</si>
  <si>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</si>
  <si>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</si>
  <si>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</si>
  <si>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</si>
  <si>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</si>
  <si>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</si>
  <si>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</si>
  <si>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</si>
  <si>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</si>
  <si>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</si>
  <si>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</si>
  <si>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</si>
  <si>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</si>
  <si>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</si>
  <si>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</si>
  <si>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</si>
  <si>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</si>
  <si>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</si>
  <si>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</si>
  <si>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</si>
  <si>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</si>
  <si>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</si>
  <si>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</si>
  <si>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</si>
  <si>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</si>
  <si>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</si>
  <si>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</si>
  <si>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</si>
  <si>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</si>
  <si>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</si>
  <si>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</si>
  <si>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</si>
  <si>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</si>
  <si>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</si>
  <si>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</si>
  <si>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</si>
  <si>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</si>
  <si>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</si>
  <si>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</si>
  <si>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</si>
  <si>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</si>
  <si>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</si>
  <si>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</si>
  <si>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</si>
  <si>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</si>
  <si>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</si>
  <si>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</si>
  <si>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</si>
  <si>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</si>
  <si>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</si>
  <si>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</si>
  <si>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</si>
  <si>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</si>
  <si>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</si>
  <si>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</si>
  <si>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</si>
  <si>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</si>
  <si>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</si>
  <si>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</si>
  <si>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</si>
  <si>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</si>
  <si>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</si>
  <si>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</si>
  <si>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</si>
  <si>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</si>
  <si>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</si>
  <si>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</si>
  <si>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</si>
  <si>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</si>
  <si>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</si>
  <si>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</si>
  <si>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</si>
  <si>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</si>
  <si>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</si>
  <si>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</si>
  <si>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</si>
  <si>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</si>
  <si>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</si>
  <si>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</si>
  <si>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</si>
  <si>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</si>
  <si>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</si>
  <si>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</si>
  <si>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</si>
  <si>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</si>
  <si>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</si>
  <si>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</si>
  <si>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</si>
  <si>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</si>
  <si>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</si>
  <si>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</si>
  <si>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</si>
  <si>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</si>
  <si>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</si>
  <si>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</si>
  <si>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</si>
  <si>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</si>
  <si>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</si>
  <si>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</si>
  <si>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</si>
  <si>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</si>
  <si>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</si>
  <si>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</si>
  <si>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</si>
  <si>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</si>
  <si>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</si>
  <si>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</si>
  <si>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</si>
  <si>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</si>
  <si>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</si>
  <si>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</si>
  <si>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</si>
  <si>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</si>
  <si>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</si>
  <si>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</si>
  <si>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</si>
  <si>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</si>
  <si>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</si>
  <si>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</si>
  <si>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</si>
  <si>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</si>
  <si>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</si>
  <si>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</si>
  <si>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</si>
  <si>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</si>
  <si>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</si>
  <si>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</si>
  <si>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</si>
  <si>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</si>
  <si>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</si>
  <si>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</si>
  <si>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</si>
  <si>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</si>
  <si>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</si>
  <si>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</si>
  <si>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</si>
  <si>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</si>
  <si>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</si>
  <si>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</si>
  <si>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</si>
  <si>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</si>
  <si>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</si>
  <si>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</si>
  <si>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</si>
  <si>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</si>
  <si>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</si>
  <si>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</si>
  <si>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</si>
  <si>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</si>
  <si>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</si>
  <si>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</si>
  <si>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</si>
  <si>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</si>
  <si>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</si>
  <si>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</si>
  <si>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</si>
  <si>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</si>
  <si>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</si>
  <si>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</si>
  <si>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</si>
  <si>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</si>
  <si>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</si>
  <si>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</si>
  <si>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</si>
  <si>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</si>
  <si>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</si>
  <si>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</si>
  <si>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</si>
  <si>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</si>
  <si>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</si>
  <si>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</si>
  <si>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</si>
  <si>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</si>
  <si>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</si>
  <si>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</si>
  <si>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</si>
  <si>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</si>
  <si>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</si>
  <si>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</si>
  <si>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</si>
  <si>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</si>
  <si>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</si>
  <si>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</si>
  <si>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</si>
  <si>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</si>
  <si>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</si>
  <si>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</si>
  <si>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</si>
  <si>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</si>
  <si>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</si>
  <si>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</si>
  <si>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</si>
  <si>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</si>
  <si>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</si>
  <si>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</si>
  <si>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</si>
  <si>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</si>
  <si>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</si>
  <si>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</si>
  <si>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</si>
  <si>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</si>
  <si>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</si>
  <si>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</si>
  <si>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</si>
  <si>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</si>
  <si>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</si>
  <si>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</si>
  <si>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</si>
  <si>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</si>
  <si>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</si>
  <si>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</si>
  <si>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</si>
  <si>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</si>
  <si>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</si>
  <si>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</si>
  <si>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</si>
  <si>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</si>
  <si>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</si>
  <si>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</si>
  <si>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</si>
  <si>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</si>
  <si>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</si>
  <si>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</si>
  <si>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</si>
  <si>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</si>
  <si>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</si>
  <si>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</si>
  <si>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</si>
  <si>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</si>
  <si>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</si>
  <si>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</si>
  <si>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</si>
  <si>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</si>
  <si>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</si>
  <si>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</si>
  <si>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</si>
  <si>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</si>
  <si>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</si>
  <si>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</si>
  <si>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</si>
  <si>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</si>
  <si>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</si>
  <si>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</si>
  <si>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</si>
  <si>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</si>
  <si>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</si>
  <si>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</si>
  <si>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</si>
  <si>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</si>
  <si>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</si>
  <si>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</si>
  <si>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</si>
  <si>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</si>
  <si>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</si>
  <si>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</si>
  <si>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</si>
  <si>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</si>
  <si>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</si>
  <si>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</si>
  <si>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</si>
  <si>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</si>
  <si>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</si>
  <si>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</si>
  <si>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</si>
  <si>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</si>
  <si>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</si>
  <si>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</si>
  <si>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</si>
  <si>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</si>
  <si>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</si>
  <si>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</si>
  <si>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</si>
  <si>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</si>
  <si>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</si>
  <si>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</si>
  <si>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</si>
  <si>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</si>
  <si>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</si>
  <si>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</si>
  <si>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</si>
  <si>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</si>
  <si>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</si>
  <si>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</si>
  <si>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</si>
  <si>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</si>
  <si>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</si>
  <si>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</si>
  <si>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</si>
  <si>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</si>
  <si>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</si>
  <si>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</si>
  <si>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</si>
  <si>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</si>
  <si>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</si>
  <si>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</si>
  <si>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</si>
  <si>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</si>
  <si>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</si>
  <si>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</si>
  <si>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</si>
  <si>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</si>
  <si>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</si>
  <si>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</si>
  <si>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</si>
  <si>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</si>
  <si>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</si>
  <si>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</si>
  <si>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</si>
  <si>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</si>
  <si>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</si>
  <si>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</si>
  <si>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</si>
  <si>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</si>
  <si>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</si>
  <si>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</si>
  <si>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</si>
  <si>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</si>
  <si>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</si>
  <si>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</si>
  <si>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</si>
  <si>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</si>
  <si>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</si>
  <si>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</si>
  <si>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</si>
  <si>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</si>
  <si>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</si>
  <si>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</si>
  <si>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</si>
  <si>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</si>
  <si>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</si>
  <si>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</si>
  <si>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</si>
  <si>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</si>
  <si>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</si>
  <si>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</si>
  <si>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</si>
  <si>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</si>
  <si>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</si>
  <si>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</si>
  <si>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</si>
  <si>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</si>
  <si>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</si>
  <si>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</si>
  <si>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</si>
  <si>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</si>
  <si>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</si>
  <si>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</si>
  <si>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</si>
  <si>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</si>
  <si>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</si>
  <si>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</si>
  <si>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</si>
  <si>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</si>
  <si>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</si>
  <si>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</si>
  <si>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</si>
  <si>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</si>
  <si>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</si>
  <si>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</si>
  <si>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</si>
  <si>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</si>
  <si>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</si>
  <si>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</si>
  <si>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</si>
  <si>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</si>
  <si>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</si>
  <si>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</si>
  <si>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</si>
  <si>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</si>
  <si>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</si>
  <si>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</si>
  <si>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</si>
  <si>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</si>
  <si>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</si>
  <si>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</si>
  <si>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</si>
  <si>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</si>
  <si>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</si>
  <si>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</si>
  <si>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</si>
  <si>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</si>
  <si>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</si>
  <si>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</si>
  <si>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</si>
  <si>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</si>
  <si>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</si>
  <si>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</si>
  <si>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</si>
  <si>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</si>
  <si>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</si>
  <si>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</si>
  <si>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</si>
  <si>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</si>
  <si>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</si>
  <si>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</si>
  <si>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</si>
  <si>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</si>
  <si>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</si>
  <si>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</si>
  <si>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</si>
  <si>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</si>
  <si>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</si>
  <si>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</si>
  <si>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</si>
  <si>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</si>
  <si>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</si>
  <si>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</si>
  <si>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</si>
  <si>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</si>
  <si>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</si>
  <si>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</si>
  <si>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</si>
  <si>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</si>
  <si>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</si>
  <si>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</si>
  <si>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</si>
  <si>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</si>
  <si>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</si>
  <si>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</si>
  <si>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</si>
  <si>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</si>
  <si>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</si>
  <si>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</si>
  <si>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</si>
  <si>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</si>
  <si>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</si>
  <si>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</si>
  <si>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</si>
  <si>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</si>
  <si>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</si>
  <si>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</si>
  <si>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</si>
  <si>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</si>
  <si>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</si>
  <si>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</si>
  <si>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</si>
  <si>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</si>
  <si>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</si>
  <si>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</si>
  <si>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</si>
  <si>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</si>
  <si>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</si>
  <si>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</si>
  <si>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</si>
  <si>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</si>
  <si>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</si>
  <si>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</si>
  <si>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</si>
  <si>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</si>
  <si>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</si>
  <si>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</si>
  <si>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</si>
  <si>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</si>
  <si>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</si>
  <si>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</si>
  <si>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</si>
  <si>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</si>
  <si>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</si>
  <si>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</si>
  <si>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</si>
  <si>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</si>
  <si>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</si>
  <si>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</si>
  <si>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</si>
  <si>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</si>
  <si>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</si>
  <si>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</si>
  <si>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</si>
  <si>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</si>
  <si>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</si>
  <si>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</si>
  <si>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</si>
  <si>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</si>
  <si>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</si>
  <si>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</si>
  <si>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</si>
  <si>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</si>
  <si>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</si>
  <si>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</si>
  <si>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</si>
  <si>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</si>
  <si>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</si>
  <si>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</si>
  <si>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</si>
  <si>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</si>
  <si>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</si>
  <si>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</si>
  <si>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</si>
  <si>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</si>
  <si>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</si>
  <si>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</si>
  <si>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</si>
  <si>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</si>
  <si>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</si>
  <si>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</si>
  <si>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</si>
  <si>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</si>
  <si>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</si>
  <si>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</si>
  <si>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</si>
  <si>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</si>
  <si>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</si>
  <si>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</si>
  <si>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</si>
  <si>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</si>
  <si>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</si>
  <si>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</si>
  <si>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</si>
  <si>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</si>
  <si>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</si>
  <si>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</si>
  <si>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</si>
  <si>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</si>
  <si>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</si>
  <si>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</si>
  <si>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</si>
  <si>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</si>
  <si>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</si>
  <si>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</si>
  <si>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</si>
  <si>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</si>
  <si>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</si>
  <si>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</si>
  <si>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</si>
  <si>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</si>
  <si>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</si>
  <si>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</si>
  <si>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</si>
  <si>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</si>
  <si>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</si>
  <si>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</si>
  <si>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</si>
  <si>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</si>
  <si>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</si>
  <si>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</si>
  <si>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</si>
  <si>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</si>
  <si>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</si>
  <si>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</si>
  <si>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</si>
  <si>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</si>
  <si>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</si>
  <si>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</si>
  <si>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</si>
  <si>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</si>
  <si>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</si>
  <si>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</si>
  <si>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</si>
  <si>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</si>
  <si>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</si>
  <si>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</si>
  <si>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</si>
  <si>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</si>
  <si>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</si>
  <si>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</si>
  <si>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</si>
  <si>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</si>
  <si>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</si>
  <si>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</si>
  <si>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</si>
  <si>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</si>
  <si>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</si>
  <si>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</si>
  <si>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</si>
  <si>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</si>
  <si>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</si>
  <si>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</si>
  <si>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</si>
  <si>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</si>
  <si>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</si>
  <si>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</si>
  <si>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</si>
  <si>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</si>
  <si>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</si>
  <si>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</si>
  <si>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</si>
  <si>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</si>
  <si>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</si>
  <si>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</si>
  <si>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</si>
  <si>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</si>
  <si>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</si>
  <si>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</si>
  <si>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</si>
  <si>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</si>
  <si>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</si>
  <si>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</si>
  <si>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</si>
  <si>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</si>
  <si>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</si>
  <si>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</si>
  <si>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</si>
  <si>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</si>
  <si>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</si>
  <si>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</si>
  <si>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</si>
  <si>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</si>
  <si>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</si>
  <si>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</si>
  <si>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</si>
  <si>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</si>
  <si>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</si>
  <si>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</si>
  <si>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</si>
  <si>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</si>
  <si>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</si>
  <si>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</si>
  <si>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</si>
  <si>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</si>
  <si>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</si>
  <si>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</si>
  <si>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</si>
  <si>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</si>
  <si>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</si>
  <si>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</si>
  <si>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</si>
  <si>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</si>
  <si>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</si>
  <si>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</si>
  <si>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</si>
  <si>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</si>
  <si>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</si>
  <si>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</si>
  <si>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</si>
  <si>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</si>
  <si>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</si>
  <si>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</si>
  <si>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</si>
  <si>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</si>
  <si>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</si>
  <si>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</si>
  <si>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</si>
  <si>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</si>
  <si>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</si>
  <si>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</si>
  <si>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</si>
  <si>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</si>
  <si>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</si>
  <si>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</si>
  <si>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</si>
  <si>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</si>
  <si>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</si>
  <si>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</si>
  <si>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</si>
  <si>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</si>
  <si>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</si>
  <si>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</si>
  <si>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</si>
  <si>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</si>
  <si>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</si>
  <si>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</si>
  <si>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</si>
  <si>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</si>
  <si>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</si>
  <si>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</si>
  <si>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</si>
  <si>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</si>
  <si>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</si>
  <si>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</si>
  <si>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</si>
  <si>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</si>
  <si>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</si>
  <si>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</si>
  <si>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</si>
  <si>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</si>
  <si>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</si>
  <si>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</si>
  <si>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</si>
  <si>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</si>
  <si>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</si>
  <si>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</si>
  <si>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</si>
  <si>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</si>
  <si>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</si>
  <si>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</si>
  <si>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</si>
  <si>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</si>
  <si>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</si>
  <si>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</si>
  <si>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</si>
  <si>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</si>
  <si>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</si>
  <si>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</si>
  <si>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</si>
  <si>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</si>
  <si>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</si>
  <si>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</si>
  <si>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</si>
  <si>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</si>
  <si>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</si>
  <si>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</si>
  <si>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</si>
  <si>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</si>
  <si>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</si>
  <si>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</si>
  <si>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</si>
  <si>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</si>
  <si>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</si>
  <si>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</si>
  <si>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</si>
  <si>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</si>
  <si>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</si>
  <si>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</si>
  <si>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</si>
  <si>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</si>
  <si>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</si>
  <si>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</si>
  <si>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</si>
  <si>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</si>
  <si>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</si>
  <si>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</si>
  <si>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</si>
  <si>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</si>
  <si>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</si>
  <si>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</si>
  <si>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</si>
  <si>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</si>
  <si>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</si>
  <si>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</si>
  <si>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</si>
  <si>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</si>
  <si>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</si>
  <si>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</si>
  <si>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</si>
  <si>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</si>
  <si>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</si>
  <si>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</si>
  <si>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</si>
  <si>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</si>
  <si>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</si>
  <si>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</si>
  <si>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</si>
  <si>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</si>
  <si>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</si>
  <si>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</si>
  <si>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</si>
  <si>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</si>
  <si>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</si>
  <si>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</si>
  <si>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</si>
  <si>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</si>
  <si>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</si>
  <si>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</si>
  <si>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</si>
  <si>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</si>
  <si>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</si>
  <si>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</si>
  <si>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</si>
  <si>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</si>
  <si>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</si>
  <si>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</si>
  <si>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</si>
  <si>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</si>
  <si>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</si>
  <si>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</si>
  <si>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</si>
  <si>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</si>
  <si>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</si>
  <si>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</si>
  <si>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</si>
  <si>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</si>
  <si>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</si>
  <si>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</si>
  <si>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</si>
  <si>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</si>
  <si>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</si>
  <si>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</si>
  <si>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</si>
  <si>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</si>
  <si>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</si>
  <si>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</si>
  <si>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</si>
  <si>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</si>
  <si>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</si>
  <si>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</si>
  <si>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</si>
  <si>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</si>
  <si>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</si>
  <si>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</si>
  <si>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</si>
  <si>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</si>
  <si>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</si>
  <si>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</si>
  <si>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</si>
  <si>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</si>
  <si>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</si>
  <si>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</si>
  <si>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</si>
  <si>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</si>
  <si>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</si>
  <si>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</si>
  <si>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</si>
  <si>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</si>
  <si>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</si>
  <si>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</si>
  <si>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</si>
  <si>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</si>
  <si>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</si>
  <si>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</si>
  <si>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</si>
  <si>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</si>
  <si>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</si>
  <si>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</si>
  <si>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</si>
  <si>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</si>
  <si>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</si>
  <si>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</si>
  <si>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</si>
  <si>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</si>
  <si>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</si>
  <si>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</si>
  <si>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</si>
  <si>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</si>
  <si>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</si>
  <si>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</si>
  <si>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</si>
  <si>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</si>
  <si>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</si>
  <si>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</si>
  <si>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</si>
  <si>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</si>
  <si>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</si>
  <si>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</si>
  <si>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</si>
  <si>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</si>
  <si>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</si>
  <si>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</si>
  <si>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</si>
  <si>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</si>
  <si>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</si>
  <si>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</si>
  <si>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</si>
  <si>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</si>
  <si>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</si>
  <si>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</si>
  <si>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</si>
  <si>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</si>
  <si>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</si>
  <si>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</si>
  <si>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</si>
  <si>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</si>
  <si>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</si>
  <si>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</si>
  <si>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</si>
  <si>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</si>
  <si>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</si>
  <si>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</si>
  <si>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</si>
  <si>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</si>
  <si>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</si>
  <si>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</si>
  <si>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</si>
  <si>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</si>
  <si>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</si>
  <si>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</si>
  <si>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</si>
  <si>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</si>
  <si>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</si>
  <si>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</si>
  <si>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</si>
  <si>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</si>
  <si>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</si>
  <si>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</si>
  <si>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</si>
  <si>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</si>
  <si>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</si>
  <si>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</si>
  <si>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</si>
  <si>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</si>
  <si>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</si>
  <si>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</si>
  <si>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</si>
  <si>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</si>
  <si>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</si>
  <si>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</si>
  <si>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</si>
  <si>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</si>
  <si>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</si>
  <si>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</si>
  <si>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</si>
  <si>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</si>
  <si>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</si>
  <si>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</si>
  <si>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</si>
  <si>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</si>
  <si>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</si>
  <si>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</si>
  <si>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</si>
  <si>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</si>
  <si>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</si>
  <si>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</si>
  <si>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</si>
  <si>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</si>
  <si>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</si>
  <si>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</si>
  <si>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</si>
  <si>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</si>
  <si>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</si>
  <si>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</si>
  <si>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</si>
  <si>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</si>
  <si>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</si>
  <si>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</si>
  <si>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</si>
  <si>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</si>
  <si>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</si>
  <si>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</si>
  <si>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</si>
  <si>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</si>
  <si>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</si>
  <si>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</si>
  <si>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</si>
  <si>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</si>
  <si>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</si>
  <si>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</si>
  <si>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</si>
  <si>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</si>
  <si>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</si>
  <si>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</si>
  <si>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</si>
  <si>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</si>
  <si>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</si>
  <si>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</si>
  <si>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</si>
  <si>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</si>
  <si>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</si>
  <si>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</si>
  <si>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</si>
  <si>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</si>
  <si>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</si>
  <si>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</si>
  <si>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</si>
  <si>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</si>
  <si>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</si>
  <si>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</si>
  <si>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</si>
  <si>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</si>
  <si>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</si>
  <si>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</si>
  <si>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</si>
  <si>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</si>
  <si>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</si>
  <si>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</si>
  <si>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</si>
  <si>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</si>
  <si>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</si>
  <si>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</si>
  <si>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</si>
  <si>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</si>
  <si>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</si>
  <si>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</si>
  <si>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</si>
  <si>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</si>
  <si>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</si>
  <si>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</si>
  <si>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</si>
  <si>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</si>
  <si>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</si>
  <si>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</si>
  <si>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</si>
  <si>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</si>
  <si>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</si>
  <si>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</si>
  <si>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</si>
  <si>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</si>
  <si>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</si>
  <si>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</si>
  <si>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</si>
  <si>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</si>
  <si>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</si>
  <si>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</si>
  <si>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</si>
  <si>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</si>
  <si>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</si>
  <si>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</si>
  <si>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</si>
  <si>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</si>
  <si>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</si>
  <si>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</si>
  <si>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</si>
  <si>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</si>
  <si>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</si>
  <si>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</si>
  <si>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</si>
  <si>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</si>
  <si>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</si>
  <si>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</si>
  <si>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</si>
  <si>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</si>
  <si>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</si>
  <si>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</si>
  <si>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</si>
  <si>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</si>
  <si>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</si>
  <si>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</si>
  <si>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</si>
  <si>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</si>
  <si>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</si>
  <si>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</si>
  <si>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</si>
  <si>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</si>
  <si>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</si>
  <si>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</si>
  <si>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</si>
  <si>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</si>
  <si>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</si>
  <si>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</si>
  <si>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</si>
  <si>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</si>
  <si>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</si>
  <si>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</si>
  <si>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</si>
  <si>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</si>
  <si>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</si>
  <si>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</si>
  <si>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</si>
  <si>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</si>
  <si>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</si>
  <si>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</si>
  <si>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</si>
  <si>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</si>
  <si>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</si>
  <si>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</si>
  <si>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</si>
  <si>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</si>
  <si>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</si>
  <si>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</si>
  <si>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</si>
  <si>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</si>
  <si>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</si>
  <si>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</si>
  <si>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</si>
  <si>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</si>
  <si>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</si>
  <si>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</si>
  <si>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</si>
  <si>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</si>
  <si>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</si>
  <si>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</si>
  <si>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</si>
  <si>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</si>
  <si>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</si>
  <si>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</si>
  <si>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</si>
  <si>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</si>
  <si>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</si>
  <si>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</si>
  <si>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</si>
  <si>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</si>
  <si>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</si>
  <si>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</si>
  <si>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</si>
  <si>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</si>
  <si>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</si>
  <si>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</si>
  <si>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</si>
  <si>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</si>
  <si>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</si>
  <si>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</si>
  <si>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</si>
  <si>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</si>
  <si>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</si>
  <si>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</si>
  <si>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</si>
  <si>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</si>
  <si>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</si>
  <si>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</si>
  <si>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</si>
  <si>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</si>
  <si>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</si>
  <si>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</si>
  <si>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</si>
  <si>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</si>
  <si>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</si>
  <si>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</si>
  <si>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</si>
  <si>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</si>
  <si>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</si>
  <si>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</si>
  <si>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</si>
  <si>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</si>
  <si>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</si>
  <si>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</si>
  <si>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</si>
  <si>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</si>
  <si>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</si>
  <si>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</si>
  <si>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</si>
  <si>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</si>
  <si>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</si>
  <si>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</si>
  <si>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</si>
  <si>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</si>
  <si>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</si>
  <si>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</si>
  <si>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</si>
  <si>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</si>
  <si>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</si>
  <si>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</si>
  <si>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</si>
  <si>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</si>
  <si>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</si>
  <si>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</si>
  <si>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</si>
  <si>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</si>
  <si>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</si>
  <si>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</si>
  <si>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</si>
  <si>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</si>
  <si>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</si>
  <si>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</si>
  <si>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</si>
  <si>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</si>
  <si>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</si>
  <si>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</si>
  <si>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</si>
  <si>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</si>
  <si>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</si>
  <si>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</si>
  <si>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</si>
  <si>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</si>
  <si>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</si>
  <si>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</si>
  <si>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</si>
  <si>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</si>
  <si>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</si>
  <si>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</si>
  <si>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</si>
  <si>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</si>
  <si>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</si>
  <si>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</si>
  <si>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</si>
  <si>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</si>
  <si>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</si>
  <si>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</si>
  <si>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</si>
  <si>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</si>
  <si>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</si>
  <si>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</si>
  <si>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</si>
  <si>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</si>
  <si>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</si>
  <si>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</si>
  <si>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</si>
  <si>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</si>
  <si>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</si>
  <si>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</si>
  <si>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</si>
  <si>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</si>
  <si>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</si>
  <si>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</si>
  <si>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</si>
  <si>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</si>
  <si>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</si>
  <si>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</si>
  <si>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</si>
  <si>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</si>
  <si>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</si>
  <si>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</si>
  <si>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</si>
  <si>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</si>
  <si>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</si>
  <si>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</si>
  <si>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</si>
  <si>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</si>
  <si>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</si>
  <si>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</si>
  <si>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</si>
  <si>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</si>
  <si>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</si>
  <si>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</si>
  <si>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</si>
  <si>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</si>
  <si>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</si>
  <si>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</si>
  <si>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</si>
  <si>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</si>
  <si>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</si>
  <si>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</si>
  <si>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</si>
  <si>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</si>
  <si>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</si>
  <si>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</si>
  <si>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</si>
  <si>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</si>
  <si>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</si>
  <si>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</si>
  <si>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</si>
  <si>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</si>
  <si>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</si>
  <si>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</si>
  <si>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</si>
  <si>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</si>
  <si>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</si>
  <si>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</si>
  <si>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</si>
  <si>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</si>
  <si>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</si>
  <si>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</si>
  <si>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</si>
  <si>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</si>
  <si>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</si>
  <si>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</si>
  <si>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</si>
  <si>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</si>
  <si>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</si>
  <si>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</si>
  <si>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</si>
  <si>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</si>
  <si>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</si>
  <si>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</si>
  <si>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</si>
  <si>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</si>
  <si>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</si>
  <si>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</si>
  <si>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</si>
  <si>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</si>
  <si>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</si>
  <si>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</si>
  <si>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</si>
  <si>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</si>
  <si>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</si>
  <si>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</si>
  <si>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</si>
  <si>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</si>
  <si>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</si>
  <si>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</si>
  <si>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</si>
  <si>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</si>
  <si>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</si>
  <si>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</si>
  <si>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</si>
  <si>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</si>
  <si>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</si>
  <si>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</si>
  <si>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</si>
  <si>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</si>
  <si>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</si>
  <si>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</si>
  <si>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</si>
  <si>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</si>
  <si>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</si>
  <si>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</si>
  <si>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</si>
  <si>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</si>
  <si>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</si>
  <si>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</si>
  <si>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</si>
  <si>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</si>
  <si>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</si>
  <si>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</si>
  <si>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</si>
  <si>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</si>
  <si>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</si>
  <si>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</si>
  <si>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</si>
  <si>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</si>
  <si>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</si>
  <si>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</si>
  <si>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</si>
  <si>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</si>
  <si>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</si>
  <si>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</si>
  <si>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</si>
  <si>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</si>
  <si>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</si>
  <si>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</si>
  <si>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</si>
  <si>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</si>
  <si>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</si>
  <si>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</si>
  <si>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</si>
  <si>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</si>
  <si>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</si>
  <si>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</si>
  <si>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</si>
  <si>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</si>
  <si>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</si>
  <si>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</si>
  <si>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</si>
  <si>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</si>
  <si>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</si>
  <si>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</si>
  <si>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</si>
  <si>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</si>
  <si>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</si>
  <si>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</si>
  <si>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</si>
  <si>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</si>
  <si>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</si>
  <si>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</si>
  <si>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</si>
  <si>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</si>
  <si>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</si>
  <si>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</si>
  <si>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</si>
  <si>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</si>
  <si>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</si>
  <si>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</si>
  <si>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</si>
  <si>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</si>
  <si>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</si>
  <si>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</si>
  <si>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</si>
  <si>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</si>
  <si>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</si>
  <si>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</si>
  <si>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</si>
  <si>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</si>
  <si>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</si>
  <si>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</si>
  <si>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</si>
  <si>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</si>
  <si>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</si>
  <si>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</si>
  <si>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</si>
  <si>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</si>
  <si>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</si>
  <si>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</si>
  <si>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</si>
  <si>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</si>
  <si>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</si>
  <si>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</si>
  <si>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</si>
  <si>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</si>
  <si>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</si>
  <si>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</si>
  <si>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</si>
  <si>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</si>
  <si>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</si>
  <si>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</si>
  <si>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</si>
  <si>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</si>
  <si>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</si>
  <si>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</si>
  <si>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</si>
  <si>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</si>
  <si>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</si>
  <si>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</si>
  <si>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</si>
  <si>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</si>
  <si>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</si>
  <si>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</si>
  <si>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</si>
  <si>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</si>
  <si>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</si>
  <si>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</si>
  <si>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</si>
  <si>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</si>
  <si>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</si>
  <si>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</si>
  <si>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</si>
  <si>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</si>
  <si>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</si>
  <si>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</si>
  <si>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</si>
  <si>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</si>
  <si>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</si>
  <si>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</si>
  <si>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</si>
  <si>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</si>
  <si>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</si>
  <si>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</si>
  <si>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</si>
  <si>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</si>
  <si>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</si>
  <si>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</si>
  <si>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</si>
  <si>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</si>
  <si>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</si>
  <si>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</si>
  <si>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</si>
  <si>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</si>
  <si>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</si>
  <si>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</si>
  <si>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</si>
  <si>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</si>
  <si>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</si>
  <si>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</si>
  <si>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</si>
  <si>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</si>
  <si>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</si>
  <si>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</si>
  <si>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</si>
  <si>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</si>
  <si>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</si>
  <si>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</si>
  <si>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</si>
  <si>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</si>
  <si>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</si>
  <si>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</si>
  <si>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</si>
  <si>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</si>
  <si>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</si>
  <si>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</si>
  <si>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</si>
  <si>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</si>
  <si>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</si>
  <si>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</si>
  <si>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</si>
  <si>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</si>
  <si>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</si>
  <si>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</si>
  <si>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</si>
  <si>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</si>
  <si>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</si>
  <si>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</si>
  <si>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</si>
  <si>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</si>
  <si>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</si>
  <si>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</si>
  <si>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</si>
  <si>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</si>
  <si>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</si>
  <si>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</si>
  <si>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</si>
  <si>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</si>
  <si>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</si>
  <si>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</si>
  <si>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</si>
  <si>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</si>
  <si>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</si>
  <si>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</si>
  <si>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</si>
  <si>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</si>
  <si>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</si>
  <si>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</si>
  <si>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</si>
  <si>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</si>
  <si>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</si>
  <si>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</si>
  <si>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</si>
  <si>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</si>
  <si>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</si>
  <si>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</si>
  <si>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</si>
  <si>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</si>
  <si>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</si>
  <si>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</si>
  <si>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</si>
  <si>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</si>
  <si>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</si>
  <si>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</si>
  <si>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</si>
  <si>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</si>
  <si>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</si>
  <si>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</si>
  <si>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</si>
  <si>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</si>
  <si>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</si>
  <si>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</si>
  <si>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</si>
  <si>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</si>
  <si>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</si>
  <si>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</si>
  <si>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</si>
  <si>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</si>
  <si>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</si>
  <si>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</si>
  <si>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</si>
  <si>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</si>
  <si>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</si>
  <si>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</si>
  <si>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</si>
  <si>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</si>
  <si>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</si>
  <si>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</si>
  <si>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</si>
  <si>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</si>
  <si>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</si>
  <si>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</si>
  <si>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</si>
  <si>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</si>
  <si>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</si>
  <si>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</si>
  <si>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</si>
  <si>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</si>
  <si>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</si>
  <si>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</si>
  <si>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</si>
  <si>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</si>
  <si>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</si>
  <si>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</si>
  <si>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</si>
  <si>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</si>
  <si>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</si>
  <si>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</si>
  <si>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</si>
  <si>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</si>
  <si>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</si>
  <si>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</si>
  <si>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</si>
  <si>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</si>
  <si>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</si>
  <si>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</si>
  <si>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</si>
  <si>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</si>
  <si>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</si>
  <si>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</si>
  <si>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</si>
  <si>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</si>
  <si>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</si>
  <si>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</si>
  <si>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</si>
  <si>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</si>
  <si>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</si>
  <si>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</si>
  <si>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</si>
  <si>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</si>
  <si>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</si>
  <si>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</si>
  <si>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</si>
  <si>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</si>
  <si>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</si>
  <si>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</si>
  <si>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</si>
  <si>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</si>
  <si>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</si>
  <si>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</si>
  <si>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</si>
  <si>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</si>
  <si>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</si>
  <si>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</si>
  <si>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</si>
  <si>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</si>
  <si>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</si>
  <si>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</si>
  <si>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</si>
  <si>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</si>
  <si>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</si>
  <si>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</si>
  <si>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</si>
  <si>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</si>
  <si>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</si>
  <si>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</si>
  <si>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</si>
  <si>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</si>
  <si>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</si>
  <si>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</si>
  <si>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</si>
  <si>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</si>
  <si>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</si>
  <si>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</si>
  <si>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</si>
  <si>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</si>
  <si>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</si>
  <si>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</si>
  <si>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</si>
  <si>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</si>
  <si>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</si>
  <si>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</si>
  <si>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</si>
  <si>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</si>
  <si>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</si>
  <si>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</si>
  <si>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</si>
  <si>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</si>
  <si>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</si>
  <si>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</si>
  <si>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</si>
  <si>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</si>
  <si>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</si>
  <si>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</si>
  <si>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</si>
  <si>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</si>
  <si>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</si>
  <si>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</si>
  <si>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</si>
  <si>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</si>
  <si>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</si>
  <si>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</si>
  <si>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</si>
  <si>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</si>
  <si>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</si>
  <si>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</si>
  <si>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</si>
  <si>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</si>
  <si>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</si>
  <si>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</si>
  <si>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</si>
  <si>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</si>
  <si>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</si>
  <si>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</si>
  <si>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</si>
  <si>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</si>
  <si>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</si>
  <si>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</si>
  <si>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</si>
  <si>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</si>
  <si>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</si>
  <si>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</si>
  <si>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</si>
  <si>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</si>
  <si>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</si>
  <si>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</si>
  <si>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</si>
  <si>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</si>
  <si>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</si>
  <si>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</si>
  <si>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</si>
  <si>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</si>
  <si>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</si>
  <si>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</si>
  <si>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</si>
  <si>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</si>
  <si>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</si>
  <si>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</si>
  <si>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</si>
  <si>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</si>
  <si>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</si>
  <si>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</si>
  <si>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</si>
  <si>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</si>
  <si>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</si>
  <si>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</si>
  <si>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</si>
  <si>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</si>
  <si>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</si>
  <si>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</si>
  <si>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</si>
  <si>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</si>
  <si>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</si>
  <si>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</si>
  <si>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</si>
  <si>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</si>
  <si>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</si>
  <si>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</si>
  <si>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</si>
  <si>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</si>
  <si>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</si>
  <si>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</si>
  <si>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</si>
  <si>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</si>
  <si>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</si>
  <si>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</si>
  <si>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</si>
  <si>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</si>
  <si>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</si>
  <si>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</si>
  <si>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</si>
  <si>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</si>
  <si>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</si>
  <si>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</si>
  <si>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</si>
  <si>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</si>
  <si>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</si>
  <si>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</si>
  <si>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</si>
  <si>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</si>
  <si>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</si>
  <si>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</si>
  <si>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</si>
  <si>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</si>
  <si>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</si>
  <si>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</si>
  <si>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</si>
  <si>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</si>
  <si>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</si>
  <si>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</si>
  <si>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</si>
  <si>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</si>
  <si>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</si>
  <si>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</si>
  <si>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</si>
  <si>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</si>
  <si>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</si>
  <si>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</si>
  <si>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</si>
  <si>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</si>
  <si>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</si>
  <si>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</si>
  <si>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</si>
  <si>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</si>
  <si>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</si>
  <si>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</si>
  <si>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</si>
  <si>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</si>
  <si>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</si>
  <si>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</si>
  <si>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</si>
  <si>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</si>
  <si>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</si>
  <si>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</si>
  <si>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</si>
  <si>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</si>
  <si>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</si>
  <si>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</si>
  <si>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</si>
  <si>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</si>
  <si>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</si>
  <si>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</si>
  <si>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</si>
  <si>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</si>
  <si>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</si>
  <si>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</si>
  <si>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</si>
  <si>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</si>
  <si>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</si>
  <si>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</si>
  <si>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</si>
  <si>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</si>
  <si>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</si>
  <si>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</si>
  <si>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</si>
  <si>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</si>
  <si>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</si>
  <si>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</si>
  <si>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</si>
  <si>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</si>
  <si>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</si>
  <si>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</si>
  <si>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</si>
  <si>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</si>
  <si>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</si>
  <si>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</si>
  <si>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</si>
  <si>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</si>
  <si>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</si>
  <si>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</si>
  <si>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</si>
  <si>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</si>
  <si>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</si>
  <si>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</si>
  <si>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</si>
  <si>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</si>
  <si>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</si>
  <si>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</si>
  <si>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</si>
  <si>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</si>
  <si>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</si>
  <si>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</si>
  <si>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</si>
  <si>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</si>
  <si>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</si>
  <si>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</si>
  <si>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</si>
  <si>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</si>
  <si>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</si>
  <si>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</si>
  <si>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</si>
  <si>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</si>
  <si>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</si>
  <si>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</si>
  <si>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</si>
  <si>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</si>
  <si>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</si>
  <si>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</si>
  <si>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</si>
  <si>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</si>
  <si>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</si>
  <si>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</si>
  <si>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</si>
  <si>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</si>
  <si>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</si>
  <si>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</si>
  <si>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</si>
  <si>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</si>
  <si>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</si>
  <si>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</si>
  <si>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</si>
  <si>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</si>
  <si>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</si>
  <si>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</si>
  <si>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</si>
  <si>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</si>
  <si>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</si>
  <si>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</si>
  <si>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</si>
  <si>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</si>
  <si>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</si>
  <si>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</si>
  <si>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</si>
  <si>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</si>
  <si>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</si>
  <si>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</si>
  <si>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</si>
  <si>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</si>
  <si>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</si>
  <si>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</si>
  <si>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</si>
  <si>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</si>
  <si>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</si>
  <si>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</si>
  <si>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</si>
  <si>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</si>
  <si>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</si>
  <si>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</si>
  <si>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</si>
  <si>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</si>
  <si>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</si>
  <si>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</si>
  <si>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</si>
  <si>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</si>
  <si>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</si>
  <si>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</si>
  <si>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</si>
  <si>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</si>
  <si>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</si>
  <si>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</si>
  <si>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</si>
  <si>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</si>
  <si>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</si>
  <si>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</si>
  <si>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</si>
  <si>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</si>
  <si>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</si>
  <si>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</si>
  <si>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</si>
  <si>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</si>
  <si>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</si>
  <si>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</si>
  <si>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</si>
  <si>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</si>
  <si>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</si>
  <si>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</si>
  <si>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</si>
  <si>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</si>
  <si>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</si>
  <si>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</si>
  <si>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</si>
  <si>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</si>
  <si>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</si>
  <si>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</si>
  <si>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</si>
  <si>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</si>
  <si>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</si>
  <si>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</si>
  <si>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</si>
  <si>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</si>
  <si>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</si>
  <si>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</si>
  <si>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</si>
  <si>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</si>
  <si>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</si>
  <si>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</si>
  <si>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</si>
  <si>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</si>
  <si>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</si>
  <si>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</si>
  <si>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</si>
  <si>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</si>
  <si>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</si>
  <si>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</si>
  <si>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</si>
  <si>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</si>
  <si>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</si>
  <si>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</si>
  <si>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</si>
  <si>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</si>
  <si>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</si>
  <si>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</si>
  <si>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</si>
  <si>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</si>
  <si>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</si>
  <si>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</si>
  <si>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</si>
  <si>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</si>
  <si>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</si>
  <si>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</si>
  <si>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</si>
  <si>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</si>
  <si>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</si>
  <si>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</si>
  <si>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</si>
  <si>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</si>
  <si>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</si>
  <si>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</si>
  <si>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</si>
  <si>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</si>
  <si>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</si>
  <si>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</si>
  <si>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</si>
  <si>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</si>
  <si>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</si>
  <si>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</si>
  <si>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</si>
  <si>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</si>
  <si>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</si>
  <si>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</si>
  <si>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</si>
  <si>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</si>
  <si>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</si>
  <si>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</si>
  <si>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</si>
  <si>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</si>
  <si>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</si>
  <si>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</si>
  <si>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</si>
  <si>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</si>
  <si>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</si>
  <si>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</si>
  <si>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</si>
  <si>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</si>
  <si>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</si>
  <si>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</si>
  <si>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</si>
  <si>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</si>
  <si>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</si>
  <si>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</si>
  <si>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</si>
  <si>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</si>
  <si>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</si>
  <si>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</si>
  <si>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</si>
  <si>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</si>
  <si>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</si>
  <si>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</si>
  <si>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</si>
  <si>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</si>
  <si>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</si>
  <si>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</si>
  <si>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</si>
  <si>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</si>
  <si>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</si>
  <si>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</si>
  <si>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</si>
  <si>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</si>
  <si>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</si>
  <si>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</si>
  <si>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</si>
  <si>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</si>
  <si>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</si>
  <si>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</si>
  <si>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</si>
  <si>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</si>
  <si>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</si>
  <si>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</si>
  <si>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</si>
  <si>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</si>
  <si>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</si>
  <si>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</si>
  <si>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</si>
  <si>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</si>
  <si>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</si>
  <si>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</si>
  <si>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</si>
  <si>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</si>
  <si>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</si>
  <si>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</si>
  <si>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</si>
  <si>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</si>
  <si>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</si>
  <si>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</si>
  <si>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</si>
  <si>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</si>
  <si>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</si>
  <si>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</si>
  <si>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</si>
  <si>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</si>
  <si>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</si>
  <si>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</si>
  <si>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</si>
  <si>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</si>
  <si>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</si>
  <si>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</si>
  <si>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</si>
  <si>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</si>
  <si>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</si>
  <si>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</si>
  <si>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</si>
  <si>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</si>
  <si>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</si>
  <si>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</si>
  <si>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</si>
  <si>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</si>
  <si>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</si>
  <si>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</si>
  <si>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</si>
  <si>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</si>
  <si>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</si>
  <si>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</si>
  <si>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</si>
  <si>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</si>
  <si>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</si>
  <si>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</si>
  <si>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</si>
  <si>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</si>
  <si>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</si>
  <si>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</si>
  <si>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</si>
  <si>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</si>
  <si>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</si>
  <si>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</si>
  <si>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</si>
  <si>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</si>
  <si>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</si>
  <si>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</si>
  <si>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</si>
  <si>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</si>
  <si>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</si>
  <si>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</si>
  <si>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</si>
  <si>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</si>
  <si>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</si>
  <si>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</si>
  <si>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</si>
  <si>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</si>
  <si>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</si>
  <si>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</si>
  <si>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</si>
  <si>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</si>
  <si>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</si>
  <si>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</si>
  <si>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</si>
  <si>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</si>
  <si>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</si>
  <si>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</si>
  <si>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</si>
  <si>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</si>
  <si>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</si>
  <si>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</si>
  <si>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</si>
  <si>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</si>
  <si>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</si>
  <si>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</si>
  <si>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</si>
  <si>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</si>
  <si>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</si>
  <si>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</si>
  <si>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</si>
  <si>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</si>
  <si>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</si>
  <si>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</si>
  <si>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</si>
  <si>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</si>
  <si>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</si>
  <si>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</si>
  <si>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</si>
  <si>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</si>
  <si>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</si>
  <si>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</si>
  <si>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</si>
  <si>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</si>
  <si>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</si>
  <si>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</si>
  <si>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</si>
  <si>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</si>
  <si>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</si>
  <si>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</si>
  <si>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</si>
  <si>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</si>
  <si>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</si>
  <si>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</si>
  <si>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</si>
  <si>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</si>
  <si>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</si>
  <si>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</si>
  <si>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</si>
  <si>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</si>
  <si>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</si>
  <si>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</si>
  <si>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</si>
  <si>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</si>
  <si>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</si>
  <si>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</si>
  <si>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</si>
  <si>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</si>
  <si>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</si>
  <si>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</si>
  <si>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</si>
  <si>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</si>
  <si>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</si>
  <si>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</si>
  <si>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</si>
  <si>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</si>
  <si>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</si>
  <si>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</si>
  <si>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</si>
  <si>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</si>
  <si>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</si>
  <si>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</si>
  <si>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</si>
  <si>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</si>
  <si>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</si>
  <si>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</si>
  <si>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</si>
  <si>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</si>
  <si>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</si>
  <si>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</si>
  <si>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</si>
  <si>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</si>
  <si>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</si>
  <si>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</si>
  <si>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</si>
  <si>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</si>
  <si>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</si>
  <si>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</si>
  <si>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</si>
  <si>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</si>
  <si>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</si>
  <si>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</si>
  <si>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</si>
  <si>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</si>
  <si>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</si>
  <si>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</si>
  <si>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</si>
  <si>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</si>
  <si>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</si>
  <si>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</si>
  <si>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</si>
  <si>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</si>
  <si>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</si>
  <si>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</si>
  <si>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</si>
  <si>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</si>
  <si>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</si>
  <si>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</si>
  <si>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</si>
  <si>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</si>
  <si>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</si>
  <si>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</si>
  <si>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</si>
  <si>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</si>
  <si>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</si>
  <si>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</si>
  <si>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</si>
  <si>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</si>
  <si>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</si>
  <si>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</si>
  <si>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</si>
  <si>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</si>
  <si>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</si>
  <si>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</si>
  <si>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</si>
  <si>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</si>
  <si>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</si>
  <si>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</si>
  <si>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</si>
  <si>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</si>
  <si>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</si>
  <si>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</si>
  <si>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</si>
  <si>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</si>
  <si>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</si>
  <si>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</si>
  <si>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</si>
  <si>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</si>
  <si>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</si>
  <si>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</si>
  <si>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</si>
  <si>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</si>
  <si>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</si>
  <si>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</si>
  <si>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</si>
  <si>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</si>
  <si>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</si>
  <si>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</si>
  <si>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</si>
  <si>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</si>
  <si>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</si>
  <si>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</si>
  <si>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quoteid</t>
  </si>
  <si>
    <t>QUO-01864-Y0V6G6</t>
  </si>
  <si>
    <t>RaisinAnalytics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</si>
</sst>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quot;$&quot;#,##0.00"/>
    <numFmt numFmtId="166" formatCode="0.0"/>
    <numFmt numFmtId="167" formatCode="[$$-409]#,##0.00"/>
    <numFmt numFmtId="168" formatCode="&quot;$&quot;#,##0"/>
    <numFmt numFmtId="169" formatCode="_-[$£-809]* #,##0_-;\-[$£-809]* #,##0_-;_-[$£-809]* &quot;-&quot;??_-;_-@_-"/>
    <numFmt numFmtId="170" formatCode="_([$€-2]\ * #,##0_);_([$€-2]\ * \(#,##0\);_([$€-2]\ * &quot;-&quot;??_);_(@_)"/>
    <numFmt numFmtId="171" formatCode="#,##0.0000"/>
    <numFmt numFmtId="172" formatCode="[$-409]mmm\ dd\,\ yyyy;@"/>
    <numFmt numFmtId="173" formatCode="&quot;$&quot;0.0,,&quot;M&quot;"/>
    <numFmt numFmtId="174" formatCode="&quot;$&quot;#,,&quot;M&quot;"/>
    <numFmt numFmtId="175" formatCode="0.0%"/>
    <numFmt numFmtId="176" formatCode="_(* #,##0_);_(* \(#,##0\);_(* &quot;-&quot;??_);_(@_)"/>
    <numFmt numFmtId="177" formatCode="dd\-mmm\-yyyy"/>
    <numFmt numFmtId="178" formatCode="&quot;$&quot;#,##0;\-#,##0;&quot;-&quot;"/>
    <numFmt numFmtId="179"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43" fontId="4" fillId="0" borderId="0" applyFont="0" applyFill="0" applyBorder="0" applyAlignment="0" applyProtection="0"/>
    <xf numFmtId="44"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44" fontId="4" fillId="0" borderId="0" applyFont="0" applyFill="0" applyBorder="0" applyAlignment="0" applyProtection="0"/>
    <xf numFmtId="0" fontId="65" fillId="0" borderId="0"/>
  </cellStyleXfs>
  <cellXfs count="2060">
    <xf numFmtId="0" fontId="0" fillId="0" borderId="0" xfId="0"/>
    <xf numFmtId="165"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66"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66"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65"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67"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68"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65"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1"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74"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67"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64" fontId="39" fillId="38" borderId="19" xfId="2" applyNumberFormat="1" applyFont="1" applyFill="1" applyBorder="1" applyAlignment="1" applyProtection="1">
      <alignment horizontal="right" vertical="center" wrapText="1" indent="2"/>
    </xf>
    <xf numFmtId="5" fontId="6" fillId="5" borderId="13" xfId="5" applyNumberFormat="1" applyFont="1" applyFill="1" applyBorder="1" applyAlignment="1" applyProtection="1">
      <alignment horizontal="right" vertical="center" wrapText="1" indent="2"/>
      <protection locked="0"/>
    </xf>
    <xf numFmtId="164"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64"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64"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64"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64"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64"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64" fontId="39" fillId="38" borderId="93" xfId="2" applyNumberFormat="1" applyFont="1" applyFill="1" applyBorder="1" applyAlignment="1">
      <alignment horizontal="right" vertical="center" wrapText="1" indent="2"/>
    </xf>
    <xf numFmtId="164" fontId="39" fillId="38" borderId="86" xfId="5" applyNumberFormat="1" applyFont="1" applyFill="1" applyBorder="1" applyAlignment="1">
      <alignment horizontal="right" vertical="center" wrapText="1" indent="2"/>
    </xf>
    <xf numFmtId="164" fontId="6" fillId="0" borderId="0" xfId="5" applyNumberFormat="1" applyFont="1" applyAlignment="1">
      <alignment horizontal="right" vertical="center" wrapText="1" indent="2"/>
    </xf>
    <xf numFmtId="164"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64" fontId="34" fillId="6" borderId="16" xfId="2" applyNumberFormat="1" applyFont="1" applyFill="1" applyBorder="1" applyProtection="1"/>
    <xf numFmtId="0" fontId="6" fillId="0" borderId="59" xfId="5" applyFont="1" applyBorder="1" applyAlignment="1">
      <alignment horizontal="center"/>
    </xf>
    <xf numFmtId="167" fontId="27" fillId="0" borderId="58" xfId="2" applyNumberFormat="1" applyFont="1" applyBorder="1" applyAlignment="1" applyProtection="1">
      <alignment vertical="center" wrapText="1"/>
      <protection locked="0"/>
    </xf>
    <xf numFmtId="167" fontId="27" fillId="0" borderId="55" xfId="2" applyNumberFormat="1" applyFont="1" applyBorder="1" applyAlignment="1" applyProtection="1">
      <alignment vertical="center" wrapText="1"/>
      <protection locked="0"/>
    </xf>
    <xf numFmtId="167" fontId="27" fillId="0" borderId="19" xfId="2" applyNumberFormat="1" applyFont="1" applyBorder="1" applyAlignment="1" applyProtection="1">
      <alignment vertical="center" wrapText="1"/>
      <protection locked="0"/>
    </xf>
    <xf numFmtId="167" fontId="27" fillId="0" borderId="14" xfId="2" applyNumberFormat="1" applyFont="1" applyBorder="1" applyAlignment="1" applyProtection="1">
      <alignment vertical="center" wrapText="1"/>
      <protection locked="0"/>
    </xf>
    <xf numFmtId="167" fontId="27" fillId="0" borderId="13" xfId="2" applyNumberFormat="1" applyFont="1" applyBorder="1" applyAlignment="1" applyProtection="1">
      <alignment vertical="center" wrapText="1"/>
      <protection locked="0"/>
    </xf>
    <xf numFmtId="164"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67" fontId="6" fillId="40" borderId="60" xfId="5" applyNumberFormat="1" applyFont="1" applyFill="1" applyBorder="1" applyAlignment="1" applyProtection="1">
      <alignment horizontal="center" wrapText="1"/>
      <protection locked="0"/>
    </xf>
    <xf numFmtId="164" fontId="27" fillId="41" borderId="16" xfId="2" applyNumberFormat="1" applyFont="1" applyFill="1" applyBorder="1" applyProtection="1"/>
    <xf numFmtId="0" fontId="34" fillId="0" borderId="0" xfId="5" applyFont="1" applyAlignment="1">
      <alignment horizontal="right" vertical="center"/>
    </xf>
    <xf numFmtId="5" fontId="6" fillId="0" borderId="3" xfId="5" applyNumberFormat="1" applyFont="1" applyBorder="1" applyAlignment="1">
      <alignment horizontal="right" indent="2"/>
    </xf>
    <xf numFmtId="175" fontId="27" fillId="0" borderId="3" xfId="6" applyNumberFormat="1" applyFont="1" applyBorder="1" applyAlignment="1" applyProtection="1">
      <alignment horizontal="right" indent="2"/>
    </xf>
    <xf numFmtId="0" fontId="6" fillId="0" borderId="60" xfId="5" applyFont="1" applyBorder="1" applyAlignment="1">
      <alignment horizontal="center"/>
    </xf>
    <xf numFmtId="164" fontId="27" fillId="40" borderId="18" xfId="2" applyNumberFormat="1" applyFont="1" applyFill="1" applyBorder="1" applyProtection="1"/>
    <xf numFmtId="0" fontId="87" fillId="0" borderId="0" xfId="5" applyFont="1" applyAlignment="1">
      <alignment horizontal="right" vertical="center"/>
    </xf>
    <xf numFmtId="5" fontId="87" fillId="7" borderId="3" xfId="5" applyNumberFormat="1" applyFont="1" applyFill="1" applyBorder="1" applyAlignment="1">
      <alignment horizontal="right" indent="2"/>
    </xf>
    <xf numFmtId="175" fontId="87" fillId="7" borderId="3" xfId="6" applyNumberFormat="1" applyFont="1" applyFill="1" applyBorder="1" applyAlignment="1" applyProtection="1">
      <alignment horizontal="right" indent="2"/>
    </xf>
    <xf numFmtId="175" fontId="27" fillId="31" borderId="3" xfId="6" applyNumberFormat="1" applyFont="1" applyFill="1" applyBorder="1" applyAlignment="1" applyProtection="1">
      <alignment horizontal="right" indent="2"/>
      <protection locked="0"/>
    </xf>
    <xf numFmtId="164" fontId="27" fillId="0" borderId="14" xfId="2" applyNumberFormat="1" applyFont="1" applyBorder="1" applyProtection="1"/>
    <xf numFmtId="0" fontId="34" fillId="0" borderId="0" xfId="5" applyFont="1"/>
    <xf numFmtId="164"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76"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76" fontId="27" fillId="0" borderId="88" xfId="1" applyNumberFormat="1" applyFont="1" applyBorder="1" applyProtection="1"/>
    <xf numFmtId="0" fontId="15" fillId="6" borderId="13" xfId="5" applyFont="1" applyFill="1" applyBorder="1" applyAlignment="1">
      <alignment vertical="center"/>
    </xf>
    <xf numFmtId="164"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64"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64"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68" fontId="6" fillId="4" borderId="0" xfId="0" applyNumberFormat="1" applyFont="1" applyFill="1" applyAlignment="1">
      <alignment horizontal="center"/>
    </xf>
    <xf numFmtId="168"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68" fontId="6" fillId="27" borderId="0" xfId="0" applyNumberFormat="1" applyFont="1" applyFill="1" applyAlignment="1">
      <alignment horizontal="center"/>
    </xf>
    <xf numFmtId="168" fontId="6" fillId="27" borderId="0" xfId="2" applyNumberFormat="1" applyFont="1" applyFill="1" applyBorder="1" applyAlignment="1">
      <alignment horizontal="center"/>
    </xf>
    <xf numFmtId="1" fontId="6" fillId="27" borderId="0" xfId="0" applyNumberFormat="1" applyFont="1" applyFill="1" applyAlignment="1">
      <alignment horizontal="center"/>
    </xf>
    <xf numFmtId="177"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68"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68"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69" fontId="6" fillId="0" borderId="65" xfId="0" applyNumberFormat="1" applyFont="1" applyBorder="1"/>
    <xf numFmtId="164"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64" fontId="6" fillId="0" borderId="65" xfId="2" applyNumberFormat="1" applyFont="1" applyFill="1" applyBorder="1"/>
    <xf numFmtId="164"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0"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65"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65"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64" fontId="6" fillId="16" borderId="0" xfId="2" applyNumberFormat="1" applyFont="1" applyFill="1" applyBorder="1"/>
    <xf numFmtId="164" fontId="54" fillId="16" borderId="0" xfId="2" applyNumberFormat="1" applyFont="1" applyFill="1" applyBorder="1" applyProtection="1">
      <protection locked="0"/>
    </xf>
    <xf numFmtId="164" fontId="51" fillId="16" borderId="0" xfId="2" applyNumberFormat="1" applyFont="1" applyFill="1" applyBorder="1"/>
    <xf numFmtId="164" fontId="6" fillId="16" borderId="0" xfId="2" applyNumberFormat="1" applyFont="1" applyFill="1" applyBorder="1" applyAlignment="1">
      <alignment vertical="center"/>
    </xf>
    <xf numFmtId="164"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64"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64"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64" fontId="26" fillId="16" borderId="0" xfId="2" applyNumberFormat="1" applyFont="1" applyFill="1" applyBorder="1" applyAlignment="1" applyProtection="1">
      <alignment horizontal="center" vertical="center"/>
      <protection locked="0"/>
    </xf>
    <xf numFmtId="164"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65" fontId="6" fillId="16" borderId="0" xfId="0" applyNumberFormat="1" applyFont="1" applyFill="1" applyProtection="1">
      <protection locked="0"/>
    </xf>
    <xf numFmtId="0" fontId="68" fillId="16" borderId="0" xfId="0" applyFont="1" applyFill="1" applyAlignment="1">
      <alignment vertical="center"/>
    </xf>
    <xf numFmtId="165" fontId="6" fillId="16" borderId="0" xfId="0" applyNumberFormat="1" applyFont="1" applyFill="1" applyAlignment="1">
      <alignment vertical="center"/>
    </xf>
    <xf numFmtId="2" fontId="6" fillId="16" borderId="0" xfId="0" applyNumberFormat="1" applyFont="1" applyFill="1" applyAlignment="1">
      <alignment horizontal="center" vertical="center"/>
    </xf>
    <xf numFmtId="165"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65" fontId="6" fillId="16" borderId="0" xfId="0" applyNumberFormat="1" applyFont="1" applyFill="1" applyAlignment="1" applyProtection="1">
      <alignment vertical="center"/>
      <protection locked="0"/>
    </xf>
    <xf numFmtId="0" fontId="0" fillId="16" borderId="0" xfId="0" applyFill="1" applyProtection="1">
      <protection locked="0"/>
    </xf>
    <xf numFmtId="165" fontId="6" fillId="16" borderId="50" xfId="0" applyNumberFormat="1" applyFont="1" applyFill="1" applyBorder="1"/>
    <xf numFmtId="2" fontId="6" fillId="16" borderId="50" xfId="0" applyNumberFormat="1" applyFont="1" applyFill="1" applyBorder="1" applyAlignment="1">
      <alignment horizontal="center" vertical="center"/>
    </xf>
    <xf numFmtId="165"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65"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66" fontId="21" fillId="16" borderId="0" xfId="0" applyNumberFormat="1" applyFont="1" applyFill="1" applyAlignment="1">
      <alignment horizontal="center"/>
    </xf>
    <xf numFmtId="166"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66" fontId="48" fillId="16" borderId="0" xfId="0" applyNumberFormat="1" applyFont="1" applyFill="1" applyAlignment="1" applyProtection="1">
      <alignment horizontal="left" vertical="center" wrapText="1"/>
      <protection locked="0"/>
    </xf>
    <xf numFmtId="166"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64"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68"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68"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64"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64" fontId="90" fillId="16" borderId="0" xfId="2" applyNumberFormat="1" applyFont="1" applyFill="1" applyBorder="1" applyAlignment="1" applyProtection="1">
      <alignment horizontal="right" vertical="center" wrapText="1" indent="2"/>
      <protection locked="0"/>
    </xf>
    <xf numFmtId="5" fontId="90" fillId="16" borderId="0" xfId="5" applyNumberFormat="1" applyFont="1" applyFill="1" applyAlignment="1" applyProtection="1">
      <alignment horizontal="right" vertical="center" wrapText="1" indent="2"/>
      <protection locked="0"/>
    </xf>
    <xf numFmtId="5" fontId="6" fillId="16" borderId="0" xfId="5" applyNumberFormat="1" applyFont="1" applyFill="1" applyAlignment="1" applyProtection="1">
      <alignment horizontal="right" vertical="center" wrapText="1" indent="2"/>
      <protection locked="0"/>
    </xf>
    <xf numFmtId="164"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64"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64"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67"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64" fontId="22" fillId="16" borderId="0" xfId="2" applyNumberFormat="1" applyFont="1" applyFill="1" applyBorder="1" applyProtection="1">
      <protection locked="0"/>
    </xf>
    <xf numFmtId="167"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5"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5" fontId="55" fillId="16" borderId="0" xfId="5" applyNumberFormat="1" applyFont="1" applyFill="1" applyAlignment="1" applyProtection="1">
      <alignment horizontal="right" indent="2"/>
      <protection locked="0"/>
    </xf>
    <xf numFmtId="167"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44"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68"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68"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68"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64"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6"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68"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68"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7"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68"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64"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64"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64"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64"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64"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64"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64"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64"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64"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64"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44" fontId="6" fillId="0" borderId="3" xfId="2" applyFont="1" applyBorder="1" applyAlignment="1" applyProtection="1">
      <alignment horizontal="center"/>
    </xf>
    <xf numFmtId="164"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6"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8"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43" fontId="84" fillId="42" borderId="7" xfId="1" applyFont="1" applyFill="1" applyBorder="1" applyAlignment="1">
      <alignment vertical="center"/>
    </xf>
    <xf numFmtId="0" fontId="84" fillId="42" borderId="8" xfId="5" applyFont="1" applyFill="1" applyBorder="1" applyAlignment="1">
      <alignment vertical="center"/>
    </xf>
    <xf numFmtId="43"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43"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43"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43"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43" fontId="22" fillId="16" borderId="0" xfId="1" applyFont="1" applyFill="1" applyAlignment="1">
      <alignment vertical="center"/>
    </xf>
    <xf numFmtId="43" fontId="109" fillId="42" borderId="10" xfId="1" applyFont="1" applyFill="1" applyBorder="1" applyAlignment="1">
      <alignment vertical="center"/>
    </xf>
    <xf numFmtId="0" fontId="110" fillId="42" borderId="0" xfId="5" applyFont="1" applyFill="1" applyAlignment="1">
      <alignment vertical="center"/>
    </xf>
    <xf numFmtId="43"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43"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65"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68"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64"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64"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64"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65"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64" fontId="27" fillId="49" borderId="66" xfId="2" applyNumberFormat="1" applyFont="1" applyFill="1" applyBorder="1" applyProtection="1"/>
    <xf numFmtId="164"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64"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64"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64"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64" fontId="54" fillId="4" borderId="125" xfId="2" applyNumberFormat="1" applyFont="1" applyFill="1" applyBorder="1" applyAlignment="1" applyProtection="1">
      <alignment vertical="center"/>
      <protection locked="0"/>
    </xf>
    <xf numFmtId="164"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64"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64"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78" fontId="22" fillId="4" borderId="65" xfId="2" applyNumberFormat="1" applyFont="1" applyFill="1" applyBorder="1" applyAlignment="1">
      <alignment horizontal="center" vertical="center" wrapText="1"/>
    </xf>
    <xf numFmtId="178"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78" fontId="17" fillId="4" borderId="65" xfId="2" applyNumberFormat="1" applyFont="1" applyFill="1" applyBorder="1" applyAlignment="1">
      <alignment horizontal="center" vertical="center" wrapText="1"/>
    </xf>
    <xf numFmtId="168"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44" fontId="6" fillId="4" borderId="3" xfId="2" applyFont="1" applyFill="1" applyBorder="1" applyAlignment="1" applyProtection="1">
      <alignment horizontal="center" vertical="center"/>
    </xf>
    <xf numFmtId="44"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68" fontId="11" fillId="0" borderId="3" xfId="5" applyNumberFormat="1" applyFont="1" applyBorder="1" applyAlignment="1">
      <alignment horizontal="center" vertical="center"/>
    </xf>
    <xf numFmtId="178" fontId="22" fillId="4" borderId="130" xfId="2" applyNumberFormat="1" applyFont="1" applyFill="1" applyBorder="1" applyAlignment="1">
      <alignment horizontal="center" vertical="center" wrapText="1"/>
    </xf>
    <xf numFmtId="178"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78" fontId="17" fillId="4" borderId="119" xfId="2" applyNumberFormat="1" applyFont="1" applyFill="1" applyBorder="1" applyAlignment="1">
      <alignment horizontal="center" vertical="center" wrapText="1"/>
    </xf>
    <xf numFmtId="168"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78" fontId="22" fillId="4" borderId="136" xfId="2" applyNumberFormat="1" applyFont="1" applyFill="1" applyBorder="1" applyAlignment="1">
      <alignment horizontal="center" vertical="center" wrapText="1"/>
    </xf>
    <xf numFmtId="178"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68" fontId="54" fillId="4" borderId="65" xfId="2" applyNumberFormat="1" applyFont="1" applyFill="1" applyBorder="1" applyAlignment="1" applyProtection="1">
      <alignment horizontal="left"/>
      <protection locked="0"/>
    </xf>
    <xf numFmtId="0" fontId="6" fillId="4" borderId="124" xfId="0" applyFont="1" applyFill="1" applyBorder="1"/>
    <xf numFmtId="168"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65"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68"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64" fontId="54" fillId="4" borderId="124" xfId="2" applyNumberFormat="1" applyFont="1" applyFill="1" applyBorder="1" applyAlignment="1">
      <alignment vertical="center"/>
    </xf>
    <xf numFmtId="164"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68"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44"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44"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64" fontId="40" fillId="4" borderId="65" xfId="2" applyNumberFormat="1" applyFont="1" applyFill="1" applyBorder="1" applyAlignment="1">
      <alignment vertical="center"/>
    </xf>
    <xf numFmtId="164" fontId="52" fillId="4" borderId="65" xfId="2" applyNumberFormat="1" applyFont="1" applyFill="1" applyBorder="1" applyAlignment="1">
      <alignment horizontal="center" vertical="center"/>
    </xf>
    <xf numFmtId="44" fontId="52" fillId="4" borderId="65" xfId="2" applyFont="1" applyFill="1" applyBorder="1" applyAlignment="1">
      <alignment horizontal="center" vertical="center"/>
    </xf>
    <xf numFmtId="9" fontId="6" fillId="4" borderId="65" xfId="6" applyFont="1" applyFill="1" applyBorder="1"/>
    <xf numFmtId="164" fontId="6" fillId="4" borderId="65" xfId="2" applyNumberFormat="1" applyFont="1" applyFill="1" applyBorder="1"/>
    <xf numFmtId="168" fontId="6" fillId="4" borderId="65" xfId="2" applyNumberFormat="1" applyFont="1" applyFill="1" applyBorder="1"/>
    <xf numFmtId="1" fontId="6" fillId="4" borderId="65" xfId="6" applyNumberFormat="1" applyFont="1" applyFill="1" applyBorder="1"/>
    <xf numFmtId="168" fontId="49" fillId="4" borderId="65" xfId="2" applyNumberFormat="1" applyFont="1" applyFill="1" applyBorder="1" applyAlignment="1">
      <alignment horizontal="left"/>
    </xf>
    <xf numFmtId="0" fontId="21" fillId="4" borderId="124" xfId="0" applyFont="1" applyFill="1" applyBorder="1" applyAlignment="1">
      <alignment vertical="center"/>
    </xf>
    <xf numFmtId="164" fontId="40" fillId="4" borderId="130" xfId="2" applyNumberFormat="1" applyFont="1" applyFill="1" applyBorder="1" applyAlignment="1">
      <alignment vertical="center"/>
    </xf>
    <xf numFmtId="164" fontId="40" fillId="4" borderId="125" xfId="2" applyNumberFormat="1" applyFont="1" applyFill="1" applyBorder="1" applyAlignment="1">
      <alignment vertical="center"/>
    </xf>
    <xf numFmtId="0" fontId="21" fillId="4" borderId="126" xfId="0" applyFont="1" applyFill="1" applyBorder="1" applyAlignment="1">
      <alignment vertical="center"/>
    </xf>
    <xf numFmtId="164" fontId="40" fillId="4" borderId="127" xfId="2" applyNumberFormat="1" applyFont="1" applyFill="1" applyBorder="1" applyAlignment="1">
      <alignment vertical="center"/>
    </xf>
    <xf numFmtId="0" fontId="40" fillId="4" borderId="126" xfId="0" applyFont="1" applyFill="1" applyBorder="1" applyAlignment="1">
      <alignment vertical="center"/>
    </xf>
    <xf numFmtId="44"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64" fontId="41" fillId="4" borderId="138" xfId="2" applyNumberFormat="1" applyFont="1" applyFill="1" applyBorder="1" applyAlignment="1">
      <alignment vertical="center"/>
    </xf>
    <xf numFmtId="164"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64"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68" fontId="49" fillId="4" borderId="130" xfId="2" applyNumberFormat="1" applyFont="1" applyFill="1" applyBorder="1" applyAlignment="1">
      <alignment horizontal="left"/>
    </xf>
    <xf numFmtId="168" fontId="49" fillId="4" borderId="125" xfId="2" applyNumberFormat="1" applyFont="1" applyFill="1" applyBorder="1" applyAlignment="1">
      <alignment horizontal="left"/>
    </xf>
    <xf numFmtId="168" fontId="49" fillId="4" borderId="127" xfId="2" applyNumberFormat="1" applyFont="1" applyFill="1" applyBorder="1" applyAlignment="1">
      <alignment horizontal="left"/>
    </xf>
    <xf numFmtId="168" fontId="49" fillId="4" borderId="119" xfId="2" applyNumberFormat="1" applyFont="1" applyFill="1" applyBorder="1" applyAlignment="1">
      <alignment horizontal="left"/>
    </xf>
    <xf numFmtId="168"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43"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68"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68"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68" fontId="11" fillId="4" borderId="123" xfId="0" applyNumberFormat="1" applyFont="1" applyFill="1" applyBorder="1" applyAlignment="1" applyProtection="1">
      <alignment horizontal="left" vertical="center"/>
      <protection locked="0"/>
    </xf>
    <xf numFmtId="164"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65"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66"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68" fontId="6" fillId="4" borderId="65" xfId="17" applyNumberFormat="1" applyFont="1" applyFill="1" applyBorder="1" applyAlignment="1">
      <alignment horizontal="center"/>
    </xf>
    <xf numFmtId="168" fontId="6" fillId="4" borderId="127" xfId="17" applyNumberFormat="1" applyFont="1" applyFill="1" applyBorder="1" applyAlignment="1">
      <alignment horizontal="center"/>
    </xf>
    <xf numFmtId="168" fontId="6" fillId="4" borderId="119" xfId="7" applyNumberFormat="1" applyFont="1" applyFill="1" applyBorder="1" applyAlignment="1">
      <alignment horizontal="center"/>
    </xf>
    <xf numFmtId="168"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43"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66" fontId="26" fillId="16" borderId="0" xfId="0" applyNumberFormat="1" applyFont="1" applyFill="1" applyAlignment="1" applyProtection="1">
      <alignment vertical="top" wrapText="1"/>
      <protection locked="0"/>
    </xf>
    <xf numFmtId="164" fontId="54" fillId="47" borderId="5" xfId="2" applyNumberFormat="1" applyFont="1" applyFill="1" applyBorder="1" applyProtection="1">
      <protection locked="0"/>
    </xf>
    <xf numFmtId="164" fontId="54" fillId="47" borderId="3" xfId="2" applyNumberFormat="1" applyFont="1" applyFill="1" applyBorder="1" applyProtection="1">
      <protection locked="0"/>
    </xf>
    <xf numFmtId="164"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79"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68"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44"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78"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78" fontId="17" fillId="4" borderId="134" xfId="2" applyNumberFormat="1" applyFont="1" applyFill="1" applyBorder="1" applyAlignment="1">
      <alignment horizontal="center" vertical="center" wrapText="1"/>
    </xf>
    <xf numFmtId="168"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64"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43" fontId="22" fillId="16" borderId="0" xfId="1" applyFont="1" applyFill="1" applyBorder="1" applyAlignment="1">
      <alignment vertical="center"/>
    </xf>
    <xf numFmtId="0" fontId="106" fillId="16" borderId="191" xfId="5" applyFont="1" applyFill="1" applyBorder="1" applyAlignment="1">
      <alignment vertical="center"/>
    </xf>
    <xf numFmtId="43"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68"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68"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68" fontId="49" fillId="52" borderId="127" xfId="2" applyNumberFormat="1" applyFont="1" applyFill="1" applyBorder="1" applyAlignment="1">
      <alignment horizontal="left" vertical="center"/>
    </xf>
    <xf numFmtId="168" fontId="6" fillId="52" borderId="127" xfId="6" applyNumberFormat="1" applyFont="1" applyFill="1" applyBorder="1" applyAlignment="1" applyProtection="1">
      <alignment horizontal="left" vertical="center"/>
      <protection locked="0"/>
    </xf>
    <xf numFmtId="168" fontId="6" fillId="52" borderId="127" xfId="0" applyNumberFormat="1" applyFont="1" applyFill="1" applyBorder="1" applyAlignment="1">
      <alignment horizontal="left" vertical="center"/>
    </xf>
    <xf numFmtId="168" fontId="6" fillId="52" borderId="142" xfId="0" applyNumberFormat="1" applyFont="1" applyFill="1" applyBorder="1" applyAlignment="1">
      <alignment horizontal="left" vertical="center"/>
    </xf>
    <xf numFmtId="6" fontId="21" fillId="52" borderId="125" xfId="0" applyNumberFormat="1" applyFont="1" applyFill="1" applyBorder="1" applyAlignment="1">
      <alignment horizontal="left"/>
    </xf>
    <xf numFmtId="6" fontId="21" fillId="52" borderId="127" xfId="0" applyNumberFormat="1" applyFont="1" applyFill="1" applyBorder="1" applyAlignment="1">
      <alignment horizontal="left"/>
    </xf>
    <xf numFmtId="168" fontId="21" fillId="52" borderId="127" xfId="2" applyNumberFormat="1" applyFont="1" applyFill="1" applyBorder="1" applyAlignment="1">
      <alignment horizontal="left"/>
    </xf>
    <xf numFmtId="168" fontId="21" fillId="52" borderId="142" xfId="2" applyNumberFormat="1" applyFont="1" applyFill="1" applyBorder="1" applyAlignment="1">
      <alignment horizontal="left"/>
    </xf>
    <xf numFmtId="168" fontId="31" fillId="52" borderId="123" xfId="0" applyNumberFormat="1" applyFont="1" applyFill="1" applyBorder="1" applyAlignment="1">
      <alignment horizontal="left"/>
    </xf>
    <xf numFmtId="168"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68"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68"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44" fontId="63" fillId="52" borderId="65" xfId="2" applyFont="1" applyFill="1" applyBorder="1" applyAlignment="1">
      <alignment horizontal="center" vertical="center"/>
    </xf>
    <xf numFmtId="44"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68"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68" fontId="6" fillId="52" borderId="130" xfId="2" applyNumberFormat="1" applyFont="1" applyFill="1" applyBorder="1" applyAlignment="1">
      <alignment horizontal="center" vertical="center"/>
    </xf>
    <xf numFmtId="168" fontId="6" fillId="52" borderId="125" xfId="2" applyNumberFormat="1" applyFont="1" applyFill="1" applyBorder="1" applyAlignment="1">
      <alignment horizontal="center" vertical="center"/>
    </xf>
    <xf numFmtId="168" fontId="6" fillId="52" borderId="65" xfId="2" applyNumberFormat="1" applyFont="1" applyFill="1" applyBorder="1" applyAlignment="1">
      <alignment horizontal="center" vertical="center"/>
    </xf>
    <xf numFmtId="168" fontId="6" fillId="52" borderId="127" xfId="2" applyNumberFormat="1" applyFont="1" applyFill="1" applyBorder="1" applyAlignment="1">
      <alignment horizontal="center" vertical="center"/>
    </xf>
    <xf numFmtId="168" fontId="6" fillId="52" borderId="119" xfId="2" applyNumberFormat="1" applyFont="1" applyFill="1" applyBorder="1" applyAlignment="1">
      <alignment horizontal="center" vertical="center"/>
    </xf>
    <xf numFmtId="168" fontId="6" fillId="52" borderId="129" xfId="2" applyNumberFormat="1" applyFont="1" applyFill="1" applyBorder="1" applyAlignment="1">
      <alignment horizontal="center" vertical="center"/>
    </xf>
    <xf numFmtId="164" fontId="6" fillId="16" borderId="49" xfId="2" applyNumberFormat="1" applyFont="1" applyFill="1" applyBorder="1"/>
    <xf numFmtId="0" fontId="11" fillId="16" borderId="39" xfId="0" applyFont="1" applyFill="1" applyBorder="1" applyAlignment="1">
      <alignment vertical="center"/>
    </xf>
    <xf numFmtId="164" fontId="6" fillId="16" borderId="192" xfId="2" applyNumberFormat="1" applyFont="1" applyFill="1" applyBorder="1"/>
    <xf numFmtId="164"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68"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64"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66"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64" fontId="17" fillId="16" borderId="0" xfId="2" applyNumberFormat="1" applyFont="1" applyFill="1" applyBorder="1" applyProtection="1"/>
    <xf numFmtId="164"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66"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68"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65" fontId="54" fillId="4" borderId="125" xfId="2" applyNumberFormat="1" applyFont="1" applyFill="1" applyBorder="1" applyAlignment="1" applyProtection="1">
      <alignment vertical="center"/>
      <protection locked="0"/>
    </xf>
    <xf numFmtId="165" fontId="54" fillId="4" borderId="127" xfId="2" applyNumberFormat="1" applyFont="1" applyFill="1" applyBorder="1" applyProtection="1">
      <protection locked="0"/>
    </xf>
    <xf numFmtId="165" fontId="54" fillId="4" borderId="142" xfId="2" applyNumberFormat="1" applyFont="1" applyFill="1" applyBorder="1" applyProtection="1">
      <protection locked="0"/>
    </xf>
    <xf numFmtId="168"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64" fontId="22" fillId="54" borderId="0" xfId="2" applyNumberFormat="1" applyFont="1" applyFill="1" applyBorder="1" applyAlignment="1" applyProtection="1">
      <alignment horizontal="center"/>
      <protection locked="0"/>
    </xf>
    <xf numFmtId="0" fontId="31" fillId="54" borderId="0" xfId="0" applyFont="1" applyFill="1"/>
    <xf numFmtId="168" fontId="31" fillId="54" borderId="0" xfId="0" applyNumberFormat="1" applyFont="1" applyFill="1" applyAlignment="1">
      <alignment horizontal="left"/>
    </xf>
    <xf numFmtId="168" fontId="31" fillId="52" borderId="144" xfId="0" applyNumberFormat="1" applyFont="1" applyFill="1" applyBorder="1" applyAlignment="1">
      <alignment horizontal="left" vertical="center"/>
    </xf>
    <xf numFmtId="168"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64"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66"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78" fontId="6" fillId="16" borderId="0" xfId="0" applyNumberFormat="1" applyFont="1" applyFill="1"/>
    <xf numFmtId="43" fontId="6" fillId="0" borderId="0" xfId="1" applyFont="1"/>
    <xf numFmtId="168" fontId="6" fillId="0" borderId="0" xfId="2" applyNumberFormat="1" applyFont="1"/>
    <xf numFmtId="168"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64" fontId="126" fillId="16" borderId="0" xfId="2" applyNumberFormat="1" applyFont="1" applyFill="1"/>
    <xf numFmtId="9" fontId="126" fillId="16" borderId="0" xfId="0" applyNumberFormat="1" applyFont="1" applyFill="1"/>
    <xf numFmtId="44"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9" fontId="87" fillId="31" borderId="3" xfId="6" applyFont="1" applyFill="1" applyBorder="1" applyAlignment="1" applyProtection="1">
      <alignment horizontal="right" vertical="center" wrapText="1" indent="2"/>
      <protection locked="0"/>
    </xf>
    <xf numFmtId="0" fontId="84" fillId="16" borderId="0" xfId="0" applyFont="1" applyFill="1" applyAlignment="1">
      <alignment vertical="center" wrapText="1"/>
    </xf>
    <xf numFmtId="43" fontId="22" fillId="16" borderId="0" xfId="1" applyFont="1" applyFill="1" applyAlignment="1">
      <alignment horizontal="left" vertical="top" wrapText="1" indent="2"/>
    </xf>
    <xf numFmtId="43" fontId="22" fillId="16" borderId="0" xfId="1" applyFont="1" applyFill="1" applyBorder="1" applyAlignment="1">
      <alignment horizontal="left" vertical="top" wrapText="1" indent="2"/>
    </xf>
    <xf numFmtId="0" fontId="22" fillId="16" borderId="0" xfId="5" applyFont="1" applyFill="1" applyAlignment="1">
      <alignment horizontal="left" vertical="top" wrapText="1" indent="2"/>
    </xf>
    <xf numFmtId="43" fontId="22" fillId="16" borderId="0" xfId="1" quotePrefix="1" applyFont="1" applyFill="1" applyBorder="1" applyAlignment="1">
      <alignment horizontal="left" vertical="top" wrapText="1" indent="4"/>
    </xf>
    <xf numFmtId="43" fontId="22" fillId="16" borderId="0" xfId="1" applyFont="1" applyFill="1" applyBorder="1" applyAlignment="1">
      <alignment horizontal="left" vertical="top" wrapText="1" indent="4"/>
    </xf>
    <xf numFmtId="43" fontId="22" fillId="16" borderId="0" xfId="1" quotePrefix="1" applyFont="1" applyFill="1" applyAlignment="1">
      <alignment horizontal="left" vertical="top" wrapText="1" indent="4"/>
    </xf>
    <xf numFmtId="43" fontId="22" fillId="16" borderId="0" xfId="1" applyFont="1" applyFill="1" applyAlignment="1">
      <alignment horizontal="left" vertical="top" wrapText="1" indent="4"/>
    </xf>
    <xf numFmtId="0" fontId="6" fillId="16" borderId="0" xfId="5" applyFont="1" applyFill="1" applyAlignment="1">
      <alignment horizontal="left" vertical="center" wrapText="1"/>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0" fontId="26" fillId="16" borderId="50" xfId="0" applyFont="1" applyFill="1" applyBorder="1" applyAlignment="1">
      <alignment horizontal="left" vertical="top" wrapText="1"/>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104" fillId="42" borderId="0" xfId="1" applyNumberFormat="1" applyFont="1" applyFill="1" applyAlignment="1">
      <alignment horizontal="left" vertical="top"/>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6" fillId="16" borderId="0" xfId="0" applyFont="1" applyFill="1" applyAlignment="1">
      <alignment horizontal="left" vertical="top"/>
    </xf>
    <xf numFmtId="0" fontId="6" fillId="16" borderId="0" xfId="0" applyFont="1" applyFill="1" applyAlignment="1">
      <alignment horizontal="left" vertical="top" indent="4"/>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51" fillId="16" borderId="0" xfId="0" applyFont="1" applyFill="1" applyAlignment="1" applyProtection="1">
      <alignment horizontal="center"/>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166" fontId="6" fillId="16" borderId="0" xfId="0" applyNumberFormat="1" applyFont="1" applyFill="1" applyAlignment="1" applyProtection="1">
      <alignment horizontal="left" vertical="top" wrapText="1"/>
      <protection locked="0"/>
    </xf>
    <xf numFmtId="0" fontId="18" fillId="16" borderId="0" xfId="3" applyFont="1" applyFill="1" applyBorder="1" applyAlignment="1" applyProtection="1">
      <alignment horizontal="center" vertical="center"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167" fontId="6" fillId="16" borderId="0" xfId="5" applyNumberFormat="1" applyFont="1" applyFill="1" applyAlignment="1" applyProtection="1">
      <alignment horizontal="center" wrapText="1"/>
      <protection locked="0"/>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84" fillId="42" borderId="0" xfId="1" applyNumberFormat="1" applyFont="1" applyFill="1" applyAlignment="1">
      <alignment horizontal="left" vertical="top" wrapText="1"/>
    </xf>
    <xf numFmtId="166" fontId="48" fillId="16" borderId="0" xfId="0" applyNumberFormat="1" applyFont="1" applyFill="1" applyAlignment="1" applyProtection="1">
      <alignment horizontal="left" vertical="center" wrapText="1"/>
      <protection locked="0"/>
    </xf>
    <xf numFmtId="0" fontId="6" fillId="16" borderId="0" xfId="0" quotePrefix="1" applyFont="1" applyFill="1" applyAlignment="1" applyProtection="1">
      <alignment horizontal="left" vertical="top" wrapText="1" indent="4"/>
      <protection locked="0"/>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18" fillId="20" borderId="1" xfId="3" applyFont="1" applyFill="1" applyBorder="1" applyAlignment="1" applyProtection="1">
      <alignment horizontal="center" vertical="center" wrapText="1"/>
      <protection locked="0"/>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6" fillId="16" borderId="0" xfId="0" quotePrefix="1" applyFont="1" applyFill="1" applyAlignment="1" applyProtection="1">
      <alignment horizontal="left" vertical="top"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22" fillId="16" borderId="0" xfId="0" applyFont="1" applyFill="1" applyAlignment="1">
      <alignment horizontal="left" vertical="top" wrapText="1"/>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64" fontId="22" fillId="52" borderId="71" xfId="2" applyNumberFormat="1" applyFont="1" applyFill="1" applyBorder="1" applyProtection="1">
      <protection locked="0"/>
    </xf>
    <xf numFmtId="164" fontId="22" fillId="52" borderId="91" xfId="2" applyNumberFormat="1" applyFont="1" applyFill="1" applyBorder="1" applyProtection="1">
      <protection locked="0"/>
    </xf>
    <xf numFmtId="164" fontId="22" fillId="52" borderId="71" xfId="2" applyNumberFormat="1" applyFont="1" applyFill="1" applyBorder="1" applyAlignment="1" applyProtection="1">
      <alignment vertical="center"/>
      <protection locked="0"/>
    </xf>
    <xf numFmtId="164"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34" fillId="8" borderId="47" xfId="5" applyFont="1" applyFill="1" applyBorder="1" applyAlignment="1" applyProtection="1">
      <alignment horizontal="center" vertical="center"/>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8"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167" fontId="6" fillId="19" borderId="41" xfId="5" applyNumberFormat="1" applyFont="1" applyFill="1" applyBorder="1" applyAlignment="1" applyProtection="1">
      <alignment horizontal="center" wrapText="1"/>
      <protection locked="0"/>
    </xf>
    <xf numFmtId="167" fontId="6" fillId="19" borderId="42" xfId="5" applyNumberFormat="1" applyFont="1" applyFill="1" applyBorder="1" applyAlignment="1" applyProtection="1">
      <alignment horizontal="center" wrapText="1"/>
      <protection locked="0"/>
    </xf>
    <xf numFmtId="167" fontId="6" fillId="19" borderId="53" xfId="5" applyNumberFormat="1" applyFont="1" applyFill="1" applyBorder="1" applyAlignment="1" applyProtection="1">
      <alignment horizontal="center" wrapText="1"/>
      <protection locked="0"/>
    </xf>
    <xf numFmtId="167" fontId="6" fillId="40" borderId="41" xfId="5" applyNumberFormat="1" applyFont="1" applyFill="1" applyBorder="1" applyAlignment="1" applyProtection="1">
      <alignment horizontal="center" wrapText="1"/>
      <protection locked="0"/>
    </xf>
    <xf numFmtId="167" fontId="6" fillId="40" borderId="53" xfId="5" applyNumberFormat="1" applyFont="1" applyFill="1" applyBorder="1" applyAlignment="1" applyProtection="1">
      <alignment horizontal="center" wrapText="1"/>
      <protection locked="0"/>
    </xf>
    <xf numFmtId="167" fontId="6" fillId="40" borderId="42" xfId="5" applyNumberFormat="1" applyFont="1" applyFill="1" applyBorder="1" applyAlignment="1" applyProtection="1">
      <alignment horizontal="center" wrapText="1"/>
      <protection locked="0"/>
    </xf>
    <xf numFmtId="167" fontId="6" fillId="7" borderId="36" xfId="5" applyNumberFormat="1" applyFont="1" applyFill="1" applyBorder="1" applyAlignment="1" applyProtection="1">
      <alignment horizontal="center" wrapText="1"/>
      <protection locked="0"/>
    </xf>
    <xf numFmtId="167" fontId="6" fillId="7" borderId="38" xfId="5" applyNumberFormat="1" applyFont="1" applyFill="1" applyBorder="1" applyAlignment="1" applyProtection="1">
      <alignment horizontal="center" wrapText="1"/>
      <protection locked="0"/>
    </xf>
    <xf numFmtId="167" fontId="6" fillId="10" borderId="36" xfId="5" applyNumberFormat="1" applyFont="1" applyFill="1" applyBorder="1" applyAlignment="1" applyProtection="1">
      <alignment horizontal="center" wrapText="1"/>
      <protection locked="0"/>
    </xf>
    <xf numFmtId="167"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167" fontId="6" fillId="7" borderId="43" xfId="5" applyNumberFormat="1" applyFont="1" applyFill="1" applyBorder="1" applyAlignment="1" applyProtection="1">
      <alignment horizontal="center" wrapText="1"/>
      <protection locked="0"/>
    </xf>
    <xf numFmtId="167" fontId="6" fillId="7" borderId="35" xfId="5" applyNumberFormat="1" applyFont="1" applyFill="1" applyBorder="1" applyAlignment="1" applyProtection="1">
      <alignment horizontal="center" wrapText="1"/>
      <protection locked="0"/>
    </xf>
    <xf numFmtId="167" fontId="6" fillId="7"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67" fontId="6" fillId="10" borderId="43" xfId="5" applyNumberFormat="1" applyFont="1" applyFill="1" applyBorder="1" applyAlignment="1" applyProtection="1">
      <alignment horizontal="center" wrapText="1"/>
      <protection locked="0"/>
    </xf>
    <xf numFmtId="167" fontId="6" fillId="10" borderId="35" xfId="5" applyNumberFormat="1" applyFont="1" applyFill="1" applyBorder="1" applyAlignment="1" applyProtection="1">
      <alignment horizontal="center" wrapText="1"/>
      <protection locked="0"/>
    </xf>
    <xf numFmtId="167" fontId="6" fillId="10" borderId="31" xfId="5" applyNumberFormat="1" applyFont="1" applyFill="1" applyBorder="1" applyAlignment="1" applyProtection="1">
      <alignment horizontal="center" wrapText="1"/>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6" fillId="16" borderId="72" xfId="0" quotePrefix="1" applyFont="1" applyFill="1" applyBorder="1" applyAlignment="1">
      <alignment horizontal="left" vertical="top" wrapText="1"/>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6" fillId="16" borderId="0" xfId="0" applyFont="1" applyFill="1" applyAlignment="1">
      <alignment horizontal="left" vertical="top" wrapText="1" indent="4"/>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68" fontId="17" fillId="4" borderId="154" xfId="2" applyNumberFormat="1" applyFont="1" applyFill="1" applyBorder="1" applyAlignment="1" applyProtection="1">
      <alignment horizontal="center"/>
    </xf>
    <xf numFmtId="168" fontId="17" fillId="4" borderId="148" xfId="2" applyNumberFormat="1" applyFont="1" applyFill="1" applyBorder="1" applyAlignment="1" applyProtection="1">
      <alignment horizontal="center"/>
    </xf>
    <xf numFmtId="168" fontId="17" fillId="4" borderId="156" xfId="2" applyNumberFormat="1" applyFont="1" applyFill="1" applyBorder="1" applyAlignment="1" applyProtection="1">
      <alignment horizontal="center"/>
    </xf>
    <xf numFmtId="168"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0" fontId="84" fillId="42" borderId="0" xfId="0" applyFont="1" applyFill="1" applyAlignment="1">
      <alignment vertical="center" wrapText="1"/>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173" fontId="6" fillId="4" borderId="154" xfId="2" applyNumberFormat="1" applyFont="1" applyFill="1" applyBorder="1" applyAlignment="1" applyProtection="1">
      <alignment horizontal="center" vertical="center" wrapText="1"/>
      <protection locked="0"/>
    </xf>
    <xf numFmtId="173" fontId="6" fillId="4" borderId="199" xfId="2" applyNumberFormat="1" applyFont="1" applyFill="1" applyBorder="1" applyAlignment="1" applyProtection="1">
      <alignment horizontal="center" vertical="center" wrapText="1"/>
      <protection locked="0"/>
    </xf>
    <xf numFmtId="173"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64" fontId="54" fillId="4" borderId="155" xfId="2" applyNumberFormat="1" applyFont="1" applyFill="1" applyBorder="1" applyAlignment="1" applyProtection="1">
      <alignment horizontal="center" vertical="center" wrapText="1"/>
      <protection locked="0"/>
    </xf>
    <xf numFmtId="164" fontId="54" fillId="4" borderId="153" xfId="2" applyNumberFormat="1" applyFont="1" applyFill="1" applyBorder="1" applyAlignment="1" applyProtection="1">
      <alignment horizontal="center" vertical="center" wrapText="1"/>
      <protection locked="0"/>
    </xf>
    <xf numFmtId="164"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165" fontId="71" fillId="0" borderId="155" xfId="2" applyNumberFormat="1" applyFont="1" applyBorder="1" applyAlignment="1" applyProtection="1">
      <alignment horizontal="center" vertical="center" wrapText="1" readingOrder="1"/>
      <protection locked="0"/>
    </xf>
    <xf numFmtId="165" fontId="71" fillId="0" borderId="153" xfId="2" applyNumberFormat="1" applyFont="1" applyBorder="1" applyAlignment="1" applyProtection="1">
      <alignment horizontal="center" vertical="center" wrapText="1" readingOrder="1"/>
      <protection locked="0"/>
    </xf>
    <xf numFmtId="165" fontId="71" fillId="0" borderId="120" xfId="2" applyNumberFormat="1" applyFont="1" applyBorder="1" applyAlignment="1" applyProtection="1">
      <alignment horizontal="center" vertical="center" wrapText="1" readingOrder="1"/>
      <protection locked="0"/>
    </xf>
    <xf numFmtId="0" fontId="17" fillId="20" borderId="209" xfId="8" applyFont="1" applyFill="1" applyBorder="1" applyAlignment="1">
      <alignment horizontal="center" wrapText="1"/>
    </xf>
    <xf numFmtId="165" fontId="71" fillId="4" borderId="155" xfId="2" applyNumberFormat="1" applyFont="1" applyFill="1" applyBorder="1" applyAlignment="1" applyProtection="1">
      <alignment horizontal="center" vertical="center" wrapText="1" readingOrder="1"/>
      <protection locked="0"/>
    </xf>
    <xf numFmtId="165" fontId="71" fillId="4" borderId="209" xfId="2" applyNumberFormat="1" applyFont="1" applyFill="1" applyBorder="1" applyAlignment="1" applyProtection="1">
      <alignment horizontal="center" vertical="center" wrapText="1" readingOrder="1"/>
      <protection locked="0"/>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42" borderId="107" xfId="0" applyFont="1" applyFill="1" applyBorder="1" applyAlignment="1">
      <alignment horizontal="center" vertical="center"/>
    </xf>
    <xf numFmtId="164" fontId="6" fillId="4" borderId="65" xfId="2" applyNumberFormat="1" applyFont="1" applyFill="1" applyBorder="1" applyAlignment="1" applyProtection="1">
      <alignment horizontal="center" vertical="center" wrapText="1"/>
      <protection locked="0"/>
    </xf>
    <xf numFmtId="164" fontId="6" fillId="4" borderId="127" xfId="2" applyNumberFormat="1" applyFont="1" applyFill="1" applyBorder="1" applyAlignment="1" applyProtection="1">
      <alignment horizontal="center" vertical="center" wrapText="1"/>
      <protection locked="0"/>
    </xf>
    <xf numFmtId="172" fontId="6" fillId="4" borderId="65" xfId="2" applyNumberFormat="1" applyFont="1" applyFill="1" applyBorder="1" applyAlignment="1" applyProtection="1">
      <alignment horizontal="center" vertical="center" wrapText="1"/>
      <protection locked="0"/>
    </xf>
    <xf numFmtId="172"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17" fillId="16" borderId="0" xfId="8" applyFont="1" applyFill="1" applyBorder="1" applyAlignment="1" applyProtection="1">
      <alignment horizontal="center" vertical="center" wrapText="1"/>
    </xf>
    <xf numFmtId="164" fontId="54" fillId="4" borderId="65" xfId="2" applyNumberFormat="1" applyFont="1" applyFill="1" applyBorder="1" applyAlignment="1" applyProtection="1">
      <alignment horizontal="center" vertical="center" wrapText="1"/>
      <protection locked="0"/>
    </xf>
    <xf numFmtId="164" fontId="54" fillId="4" borderId="127" xfId="2" applyNumberFormat="1" applyFont="1" applyFill="1" applyBorder="1" applyAlignment="1" applyProtection="1">
      <alignment horizontal="center" vertical="center" wrapText="1"/>
      <protection locked="0"/>
    </xf>
    <xf numFmtId="164" fontId="22" fillId="4" borderId="65" xfId="2" applyNumberFormat="1" applyFont="1" applyFill="1" applyBorder="1" applyAlignment="1" applyProtection="1">
      <alignment horizontal="center" vertical="center" wrapText="1"/>
      <protection locked="0"/>
    </xf>
    <xf numFmtId="164" fontId="22" fillId="4" borderId="127" xfId="2" applyNumberFormat="1" applyFont="1" applyFill="1" applyBorder="1" applyAlignment="1" applyProtection="1">
      <alignment horizontal="center" vertical="center" wrapText="1"/>
      <protection locked="0"/>
    </xf>
    <xf numFmtId="164" fontId="6" fillId="4" borderId="130" xfId="2" applyNumberFormat="1" applyFont="1" applyFill="1" applyBorder="1" applyAlignment="1" applyProtection="1">
      <alignment horizontal="center" vertical="center" wrapText="1"/>
      <protection locked="0"/>
    </xf>
    <xf numFmtId="164" fontId="6" fillId="4" borderId="125" xfId="2" applyNumberFormat="1" applyFont="1" applyFill="1" applyBorder="1" applyAlignment="1" applyProtection="1">
      <alignment horizontal="center" vertical="center" wrapText="1"/>
      <protection locked="0"/>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44" fontId="71" fillId="4" borderId="156" xfId="2" applyFont="1" applyFill="1" applyBorder="1" applyAlignment="1" applyProtection="1">
      <alignment horizontal="right" vertical="center" wrapText="1" readingOrder="1"/>
      <protection locked="0"/>
    </xf>
    <xf numFmtId="44" fontId="71" fillId="4" borderId="210" xfId="2" applyFont="1" applyFill="1" applyBorder="1" applyAlignment="1" applyProtection="1">
      <alignment horizontal="right" vertical="center" wrapText="1" readingOrder="1"/>
      <protection locked="0"/>
    </xf>
    <xf numFmtId="44" fontId="71" fillId="0" borderId="156" xfId="2" applyFont="1" applyBorder="1" applyAlignment="1" applyProtection="1">
      <alignment horizontal="center" vertical="center" wrapText="1" readingOrder="1"/>
      <protection locked="0"/>
    </xf>
    <xf numFmtId="44" fontId="71" fillId="0" borderId="157" xfId="2" applyFont="1" applyBorder="1" applyAlignment="1" applyProtection="1">
      <alignment horizontal="center" vertical="center" wrapText="1" readingOrder="1"/>
      <protection locked="0"/>
    </xf>
    <xf numFmtId="44" fontId="71" fillId="0" borderId="137" xfId="2" applyFont="1" applyBorder="1" applyAlignment="1" applyProtection="1">
      <alignment horizontal="center" vertical="center" wrapText="1" readingOrder="1"/>
      <protection locked="0"/>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80" fillId="4" borderId="0" xfId="1" applyNumberFormat="1" applyFont="1" applyFill="1" applyAlignment="1">
      <alignment horizontal="left" vertical="top" indent="2"/>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11" fillId="4" borderId="0" xfId="0" applyFont="1" applyFill="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1" formatCode="[$CAD]\ #,##0.00"/>
      <fill>
        <patternFill patternType="none">
          <bgColor auto="1"/>
        </patternFill>
      </fill>
    </dxf>
    <dxf>
      <numFmt numFmtId="165" formatCode="&quot;$&quot;#,##0.00"/>
    </dxf>
    <dxf>
      <numFmt numFmtId="180" formatCode="[$£-809]#,##0.00"/>
    </dxf>
    <dxf>
      <numFmt numFmtId="167" formatCode="[$$-409]#,##0.00"/>
    </dxf>
    <dxf>
      <numFmt numFmtId="167" formatCode="[$$-409]#,##0.00"/>
    </dxf>
    <dxf>
      <numFmt numFmtId="165" formatCode="&quot;$&quot;#,##0.00"/>
    </dxf>
    <dxf>
      <numFmt numFmtId="181" formatCode="[$CAD]\ #,##0.00"/>
      <fill>
        <patternFill patternType="none">
          <bgColor auto="1"/>
        </patternFill>
      </fill>
    </dxf>
    <dxf>
      <numFmt numFmtId="180"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0" formatCode="[$£-809]#,##0.00"/>
    </dxf>
    <dxf>
      <numFmt numFmtId="167" formatCode="[$$-409]#,##0.00"/>
    </dxf>
    <dxf>
      <numFmt numFmtId="165" formatCode="&quot;$&quot;#,##0.00"/>
    </dxf>
    <dxf>
      <numFmt numFmtId="181"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33">
      <pivotArea type="all" dataOnly="0" outline="0" fieldPosition="0"/>
    </format>
    <format dxfId="232">
      <pivotArea outline="0" collapsedLevelsAreSubtotals="1" fieldPosition="0"/>
    </format>
    <format dxfId="231">
      <pivotArea dataOnly="0" labelOnly="1" grandRow="1" outline="0" fieldPosition="0"/>
    </format>
    <format dxfId="230">
      <pivotArea dataOnly="0" labelOnly="1" outline="0" axis="axisValues" fieldPosition="0"/>
    </format>
    <format dxfId="229">
      <pivotArea type="all" dataOnly="0" outline="0" fieldPosition="0"/>
    </format>
    <format dxfId="228">
      <pivotArea outline="0" collapsedLevelsAreSubtotals="1" fieldPosition="0"/>
    </format>
    <format dxfId="227">
      <pivotArea dataOnly="0" labelOnly="1" grandRow="1" outline="0" fieldPosition="0"/>
    </format>
    <format dxfId="226">
      <pivotArea dataOnly="0" labelOnly="1" outline="0" axis="axisValues" fieldPosition="0"/>
    </format>
    <format dxfId="225">
      <pivotArea type="all" dataOnly="0" outline="0" fieldPosition="0"/>
    </format>
    <format dxfId="224">
      <pivotArea outline="0" collapsedLevelsAreSubtotals="1" fieldPosition="0"/>
    </format>
    <format dxfId="223">
      <pivotArea dataOnly="0" labelOnly="1" grandRow="1" outline="0" fieldPosition="0"/>
    </format>
    <format dxfId="222">
      <pivotArea dataOnly="0" labelOnly="1" outline="0" axis="axisValues" fieldPosition="0"/>
    </format>
    <format dxfId="221">
      <pivotArea type="all" dataOnly="0" outline="0" fieldPosition="0"/>
    </format>
    <format dxfId="220">
      <pivotArea outline="0" collapsedLevelsAreSubtotals="1" fieldPosition="0"/>
    </format>
    <format dxfId="219">
      <pivotArea dataOnly="0" labelOnly="1" grandRow="1" outline="0" fieldPosition="0"/>
    </format>
    <format dxfId="218">
      <pivotArea dataOnly="0" labelOnly="1" outline="0" axis="axisValues" fieldPosition="0"/>
    </format>
    <format dxfId="217">
      <pivotArea grandRow="1" outline="0" collapsedLevelsAreSubtotals="1" fieldPosition="0"/>
    </format>
    <format dxfId="216">
      <pivotArea dataOnly="0" labelOnly="1" grandRow="1" outline="0" fieldPosition="0"/>
    </format>
    <format dxfId="215">
      <pivotArea type="all" dataOnly="0" outline="0" fieldPosition="0"/>
    </format>
    <format dxfId="214">
      <pivotArea dataOnly="0" labelOnly="1" outline="0" axis="axisValues" fieldPosition="0"/>
    </format>
    <format dxfId="213">
      <pivotArea field="2" type="button" dataOnly="0" labelOnly="1" outline="0" axis="axisRow" fieldPosition="1"/>
    </format>
    <format dxfId="212">
      <pivotArea dataOnly="0" labelOnly="1" outline="0" axis="axisValues" fieldPosition="0"/>
    </format>
    <format dxfId="211">
      <pivotArea field="2" type="button" dataOnly="0" labelOnly="1" outline="0" axis="axisRow" fieldPosition="1"/>
    </format>
    <format dxfId="210">
      <pivotArea dataOnly="0" labelOnly="1" outline="0" axis="axisValues" fieldPosition="0"/>
    </format>
    <format dxfId="209">
      <pivotArea dataOnly="0" labelOnly="1" fieldPosition="0">
        <references count="1">
          <reference field="2" count="0"/>
        </references>
      </pivotArea>
    </format>
    <format dxfId="208">
      <pivotArea outline="0" collapsedLevelsAreSubtotals="1" fieldPosition="0"/>
    </format>
    <format dxfId="207">
      <pivotArea dataOnly="0" labelOnly="1" fieldPosition="0">
        <references count="1">
          <reference field="2" count="11">
            <x v="0"/>
            <x v="2"/>
            <x v="3"/>
            <x v="4"/>
            <x v="5"/>
            <x v="6"/>
            <x v="7"/>
            <x v="8"/>
            <x v="9"/>
            <x v="10"/>
            <x v="11"/>
          </reference>
        </references>
      </pivotArea>
    </format>
    <format dxfId="206">
      <pivotArea dataOnly="0" labelOnly="1" grandRow="1" outline="0" fieldPosition="0"/>
    </format>
    <format dxfId="205">
      <pivotArea field="0" type="button" dataOnly="0" labelOnly="1" outline="0" axis="axisRow" fieldPosition="0"/>
    </format>
    <format dxfId="204">
      <pivotArea field="0" type="button" dataOnly="0" labelOnly="1" outline="0" axis="axisRow" fieldPosition="0"/>
    </format>
    <format dxfId="203">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65">
      <pivotArea type="all" dataOnly="0" outline="0" fieldPosition="0"/>
    </format>
    <format dxfId="264">
      <pivotArea outline="0" collapsedLevelsAreSubtotals="1" fieldPosition="0"/>
    </format>
    <format dxfId="263">
      <pivotArea dataOnly="0" labelOnly="1" grandRow="1" outline="0" fieldPosition="0"/>
    </format>
    <format dxfId="262">
      <pivotArea dataOnly="0" labelOnly="1" outline="0" axis="axisValues" fieldPosition="0"/>
    </format>
    <format dxfId="261">
      <pivotArea type="all" dataOnly="0" outline="0" fieldPosition="0"/>
    </format>
    <format dxfId="260">
      <pivotArea outline="0" collapsedLevelsAreSubtotals="1" fieldPosition="0"/>
    </format>
    <format dxfId="259">
      <pivotArea dataOnly="0" labelOnly="1" grandRow="1" outline="0" fieldPosition="0"/>
    </format>
    <format dxfId="258">
      <pivotArea dataOnly="0" labelOnly="1" outline="0" axis="axisValues" fieldPosition="0"/>
    </format>
    <format dxfId="257">
      <pivotArea type="all" dataOnly="0" outline="0" fieldPosition="0"/>
    </format>
    <format dxfId="256">
      <pivotArea outline="0" collapsedLevelsAreSubtotals="1" fieldPosition="0"/>
    </format>
    <format dxfId="255">
      <pivotArea dataOnly="0" labelOnly="1" grandRow="1" outline="0" fieldPosition="0"/>
    </format>
    <format dxfId="254">
      <pivotArea dataOnly="0" labelOnly="1" outline="0" axis="axisValues" fieldPosition="0"/>
    </format>
    <format dxfId="253">
      <pivotArea type="all" dataOnly="0" outline="0" fieldPosition="0"/>
    </format>
    <format dxfId="252">
      <pivotArea outline="0" collapsedLevelsAreSubtotals="1" fieldPosition="0"/>
    </format>
    <format dxfId="251">
      <pivotArea dataOnly="0" labelOnly="1" grandRow="1" outline="0" fieldPosition="0"/>
    </format>
    <format dxfId="250">
      <pivotArea dataOnly="0" labelOnly="1" outline="0" axis="axisValues" fieldPosition="0"/>
    </format>
    <format dxfId="249">
      <pivotArea grandRow="1" outline="0" collapsedLevelsAreSubtotals="1" fieldPosition="0"/>
    </format>
    <format dxfId="248">
      <pivotArea dataOnly="0" labelOnly="1" grandRow="1" outline="0" fieldPosition="0"/>
    </format>
    <format dxfId="247">
      <pivotArea type="all" dataOnly="0" outline="0" fieldPosition="0"/>
    </format>
    <format dxfId="246">
      <pivotArea dataOnly="0" labelOnly="1" outline="0" axis="axisValues" fieldPosition="0"/>
    </format>
    <format dxfId="245">
      <pivotArea field="2" type="button" dataOnly="0" labelOnly="1" outline="0" axis="axisRow" fieldPosition="1"/>
    </format>
    <format dxfId="244">
      <pivotArea dataOnly="0" labelOnly="1" outline="0" axis="axisValues" fieldPosition="0"/>
    </format>
    <format dxfId="243">
      <pivotArea field="2" type="button" dataOnly="0" labelOnly="1" outline="0" axis="axisRow" fieldPosition="1"/>
    </format>
    <format dxfId="242">
      <pivotArea dataOnly="0" labelOnly="1" outline="0" axis="axisValues" fieldPosition="0"/>
    </format>
    <format dxfId="241">
      <pivotArea dataOnly="0" labelOnly="1" fieldPosition="0">
        <references count="1">
          <reference field="2" count="0"/>
        </references>
      </pivotArea>
    </format>
    <format dxfId="240">
      <pivotArea outline="0" collapsedLevelsAreSubtotals="1" fieldPosition="0"/>
    </format>
    <format dxfId="239">
      <pivotArea dataOnly="0" labelOnly="1" fieldPosition="0">
        <references count="1">
          <reference field="2" count="11">
            <x v="0"/>
            <x v="2"/>
            <x v="3"/>
            <x v="4"/>
            <x v="5"/>
            <x v="6"/>
            <x v="7"/>
            <x v="8"/>
            <x v="9"/>
            <x v="10"/>
            <x v="11"/>
          </reference>
        </references>
      </pivotArea>
    </format>
    <format dxfId="238">
      <pivotArea dataOnly="0" labelOnly="1" grandRow="1" outline="0" fieldPosition="0"/>
    </format>
    <format dxfId="237">
      <pivotArea field="0" type="button" dataOnly="0" labelOnly="1" outline="0" axis="axisRow" fieldPosition="0"/>
    </format>
    <format dxfId="236">
      <pivotArea field="0" type="button" dataOnly="0" labelOnly="1" outline="0" axis="axisRow" fieldPosition="0"/>
    </format>
    <format dxfId="235">
      <pivotArea dataOnly="0" labelOnly="1" grandRow="1" outline="0" offset="A256" fieldPosition="0"/>
    </format>
    <format dxfId="234">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grandRow="1" outline="0" offset="A256" fieldPosition="0"/>
    </format>
    <format dxfId="266">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31" t="s">
        <v>2360</v>
      </c>
      <c r="C8" s="1631"/>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5" t="s">
        <v>6</v>
      </c>
      <c r="C11" s="1625"/>
      <c r="D11" s="854"/>
      <c r="E11" s="854"/>
      <c r="F11" s="773"/>
      <c r="H11" s="771"/>
      <c r="W11" s="772"/>
    </row>
    <row r="12" spans="1:30" ht="13.8" x14ac:dyDescent="0.3">
      <c r="A12" s="769"/>
      <c r="B12" s="1625" t="s">
        <v>2359</v>
      </c>
      <c r="C12" s="1625"/>
      <c r="H12" s="476"/>
      <c r="W12" s="772"/>
    </row>
    <row r="13" spans="1:30" ht="13.95" customHeight="1" x14ac:dyDescent="0.3">
      <c r="A13" s="769"/>
      <c r="B13" s="1625" t="s">
        <v>2356</v>
      </c>
      <c r="C13" s="1625"/>
      <c r="H13" s="476"/>
      <c r="U13" s="774"/>
      <c r="W13" s="772"/>
    </row>
    <row r="14" spans="1:30" ht="13.95" customHeight="1" x14ac:dyDescent="0.3">
      <c r="A14" s="769"/>
      <c r="B14" s="1625" t="s">
        <v>3</v>
      </c>
      <c r="C14" s="1625"/>
      <c r="G14" s="775"/>
      <c r="H14" s="476"/>
      <c r="U14" s="770"/>
      <c r="W14" s="772"/>
    </row>
    <row r="15" spans="1:30" ht="13.95" customHeight="1" x14ac:dyDescent="0.3">
      <c r="A15" s="769"/>
      <c r="B15" s="1625" t="s">
        <v>5</v>
      </c>
      <c r="C15" s="1625"/>
      <c r="H15" s="476"/>
      <c r="U15" s="407"/>
      <c r="W15" s="772"/>
    </row>
    <row r="16" spans="1:30" ht="13.8" x14ac:dyDescent="0.3">
      <c r="A16" s="769"/>
      <c r="B16" s="1624" t="s">
        <v>2354</v>
      </c>
      <c r="C16" s="1624"/>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6" t="s">
        <v>2365</v>
      </c>
      <c r="C19" s="1626"/>
      <c r="H19" s="476"/>
      <c r="W19" s="772"/>
    </row>
    <row r="20" spans="1:23" ht="13.8" x14ac:dyDescent="0.3">
      <c r="A20" s="769"/>
      <c r="B20" s="1626" t="s">
        <v>2362</v>
      </c>
      <c r="C20" s="1626"/>
      <c r="H20" s="476"/>
      <c r="W20" s="772"/>
    </row>
    <row r="21" spans="1:23" ht="13.8" x14ac:dyDescent="0.3">
      <c r="A21" s="769"/>
      <c r="B21" s="1629" t="s">
        <v>2395</v>
      </c>
      <c r="C21" s="1630"/>
      <c r="H21" s="476"/>
      <c r="W21" s="772"/>
    </row>
    <row r="22" spans="1:23" ht="13.8" x14ac:dyDescent="0.3">
      <c r="A22" s="769"/>
      <c r="B22" s="1629" t="s">
        <v>2396</v>
      </c>
      <c r="C22" s="1630"/>
      <c r="H22" s="476"/>
      <c r="W22" s="772"/>
    </row>
    <row r="23" spans="1:23" ht="13.8" x14ac:dyDescent="0.3">
      <c r="A23" s="769"/>
      <c r="B23" s="1629" t="s">
        <v>2397</v>
      </c>
      <c r="C23" s="1630"/>
      <c r="H23" s="476"/>
      <c r="W23" s="772"/>
    </row>
    <row r="24" spans="1:23" ht="13.8" x14ac:dyDescent="0.3">
      <c r="A24" s="769"/>
      <c r="B24" s="1629" t="s">
        <v>2398</v>
      </c>
      <c r="C24" s="1630"/>
      <c r="W24" s="772"/>
    </row>
    <row r="25" spans="1:23" ht="13.8" x14ac:dyDescent="0.3">
      <c r="A25" s="769"/>
      <c r="B25" s="1627" t="s">
        <v>3188</v>
      </c>
      <c r="C25" s="1628"/>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3"/>
      <c r="F31" s="1623"/>
      <c r="G31" s="1623"/>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B11:C11"/>
    <mergeCell ref="B8:C8"/>
    <mergeCell ref="B13:C13"/>
    <mergeCell ref="B14:C14"/>
    <mergeCell ref="B20:C20"/>
    <mergeCell ref="E31:G31"/>
    <mergeCell ref="B16:C16"/>
    <mergeCell ref="B12:C12"/>
    <mergeCell ref="B19:C19"/>
    <mergeCell ref="B25:C25"/>
    <mergeCell ref="B22:C22"/>
    <mergeCell ref="B23:C23"/>
    <mergeCell ref="B24:C24"/>
    <mergeCell ref="B21:C21"/>
    <mergeCell ref="B15:C15"/>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tabSelected="1" zoomScale="95" zoomScaleNormal="112" workbookViewId="0">
      <pane ySplit="4" topLeftCell="A22" activePane="bottomLeft" state="frozen"/>
      <selection activeCell="G20" sqref="G20"/>
      <selection pane="bottomLeft" activeCell="E32" sqref="E32"/>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50" t="s">
        <v>0</v>
      </c>
      <c r="E2" s="1651"/>
      <c r="F2" s="1652"/>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35" t="s">
        <v>3250</v>
      </c>
      <c r="C7" s="1635"/>
      <c r="D7" s="1635"/>
      <c r="E7" s="1635"/>
      <c r="F7" s="1635"/>
      <c r="G7" s="848"/>
      <c r="H7" s="848"/>
      <c r="I7" s="848"/>
      <c r="L7" s="847"/>
    </row>
    <row r="8" spans="2:15" s="624" customFormat="1" ht="13.8" x14ac:dyDescent="0.3">
      <c r="B8" s="1643" t="s">
        <v>2310</v>
      </c>
      <c r="C8" s="1643"/>
      <c r="D8" s="1643"/>
      <c r="E8" s="1643"/>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44" t="s">
        <v>3252</v>
      </c>
      <c r="C10" s="1644"/>
      <c r="D10" s="1644"/>
      <c r="E10" s="1644"/>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58" t="s">
        <v>2167</v>
      </c>
      <c r="C16" s="1659"/>
      <c r="I16" s="413"/>
      <c r="J16" s="395"/>
      <c r="K16" s="395"/>
      <c r="L16" s="405"/>
    </row>
    <row r="17" spans="2:12" ht="19.95" customHeight="1" x14ac:dyDescent="0.3">
      <c r="B17" s="865" t="s">
        <v>15</v>
      </c>
      <c r="C17" s="866" t="s">
        <v>295</v>
      </c>
      <c r="D17" s="831"/>
      <c r="E17" s="1653" t="s">
        <v>2269</v>
      </c>
      <c r="F17" s="1654"/>
      <c r="G17" s="418"/>
      <c r="I17" s="416"/>
      <c r="J17" s="416"/>
      <c r="K17" s="416"/>
      <c r="L17" s="413"/>
    </row>
    <row r="18" spans="2:12" ht="24.45" customHeight="1" x14ac:dyDescent="0.3">
      <c r="B18" s="867" t="s">
        <v>1304</v>
      </c>
      <c r="C18" s="868" t="s">
        <v>1431</v>
      </c>
      <c r="D18" s="419"/>
      <c r="E18" s="1655"/>
      <c r="F18" s="1656"/>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3693</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45916</v>
      </c>
      <c r="D27" s="426"/>
      <c r="J27" s="395"/>
      <c r="K27" s="398"/>
    </row>
    <row r="28" spans="2:12" ht="19.95" customHeight="1" x14ac:dyDescent="0.3">
      <c r="B28" s="867" t="s">
        <v>27</v>
      </c>
      <c r="C28" s="1377" t="s">
        <v>223</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2192</v>
      </c>
      <c r="J31" s="395"/>
      <c r="K31" s="398"/>
    </row>
    <row r="32" spans="2:12" ht="19.95" customHeight="1" x14ac:dyDescent="0.3">
      <c r="B32" s="867" t="s">
        <v>2366</v>
      </c>
      <c r="C32" s="872" t="s">
        <v>2194</v>
      </c>
      <c r="D32" s="420"/>
      <c r="J32" s="395"/>
      <c r="K32" s="398"/>
    </row>
    <row r="33" spans="2:15" ht="26.25" customHeight="1" x14ac:dyDescent="0.3">
      <c r="B33" s="797" t="s">
        <v>2349</v>
      </c>
      <c r="C33" s="1647"/>
      <c r="D33" s="1647"/>
      <c r="E33" s="1647"/>
      <c r="F33" s="1647"/>
      <c r="G33" s="403"/>
      <c r="H33" s="403"/>
      <c r="I33" s="403"/>
      <c r="J33" s="427"/>
      <c r="K33" s="428"/>
      <c r="L33" s="403"/>
      <c r="M33" s="403"/>
      <c r="N33" s="428"/>
      <c r="O33" s="428"/>
    </row>
    <row r="34" spans="2:15" s="624" customFormat="1" ht="28.95" customHeight="1" x14ac:dyDescent="0.3">
      <c r="B34" s="1637" t="s">
        <v>2375</v>
      </c>
      <c r="C34" s="1637"/>
      <c r="D34" s="1637"/>
      <c r="E34" s="1637"/>
      <c r="F34" s="1637"/>
      <c r="G34" s="1262"/>
      <c r="H34" s="1262"/>
    </row>
    <row r="35" spans="2:15" s="624" customFormat="1" ht="29.55" customHeight="1" x14ac:dyDescent="0.3">
      <c r="B35" s="1638" t="s">
        <v>3200</v>
      </c>
      <c r="C35" s="1638"/>
      <c r="D35" s="1638"/>
      <c r="E35" s="1638"/>
      <c r="F35" s="1638"/>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60" t="s">
        <v>2313</v>
      </c>
      <c r="C37" s="1661"/>
      <c r="D37" s="397"/>
      <c r="E37" s="412"/>
      <c r="H37" s="397"/>
      <c r="I37" s="412"/>
      <c r="K37" s="395"/>
      <c r="L37" s="429"/>
      <c r="M37" s="429"/>
    </row>
    <row r="38" spans="2:15" x14ac:dyDescent="0.3">
      <c r="B38" s="1648" t="s">
        <v>3178</v>
      </c>
      <c r="C38" s="1649"/>
      <c r="D38" s="430"/>
      <c r="E38" s="1657"/>
      <c r="F38" s="431"/>
      <c r="G38" s="432"/>
      <c r="H38" s="397"/>
      <c r="I38" s="433"/>
      <c r="J38" s="433"/>
      <c r="K38" s="433"/>
      <c r="L38" s="433"/>
      <c r="M38" s="433"/>
    </row>
    <row r="39" spans="2:15" x14ac:dyDescent="0.3">
      <c r="B39" s="1645" t="s">
        <v>3179</v>
      </c>
      <c r="C39" s="1646"/>
      <c r="D39" s="430"/>
      <c r="E39" s="1657"/>
      <c r="F39" s="431"/>
      <c r="G39" s="432"/>
      <c r="H39" s="397"/>
      <c r="I39" s="434"/>
      <c r="J39" s="432"/>
      <c r="K39" s="425"/>
      <c r="L39" s="432"/>
      <c r="M39" s="435"/>
    </row>
    <row r="40" spans="2:15" ht="17.25" customHeight="1" x14ac:dyDescent="0.3">
      <c r="B40" s="1645" t="s">
        <v>3180</v>
      </c>
      <c r="C40" s="1646"/>
      <c r="D40" s="430"/>
      <c r="E40" s="1657"/>
      <c r="F40" s="431"/>
      <c r="G40" s="432"/>
      <c r="H40" s="397"/>
      <c r="I40" s="434"/>
      <c r="J40" s="432"/>
      <c r="K40" s="425"/>
      <c r="L40" s="432"/>
      <c r="M40" s="435"/>
    </row>
    <row r="41" spans="2:15" x14ac:dyDescent="0.3">
      <c r="B41" s="1645" t="s">
        <v>3181</v>
      </c>
      <c r="C41" s="1646"/>
      <c r="D41" s="430"/>
      <c r="E41" s="1657"/>
      <c r="F41" s="436"/>
      <c r="G41" s="432"/>
      <c r="H41" s="397"/>
      <c r="I41" s="434"/>
      <c r="J41" s="432"/>
      <c r="K41" s="425"/>
      <c r="L41" s="432"/>
      <c r="M41" s="435"/>
    </row>
    <row r="42" spans="2:15" x14ac:dyDescent="0.3">
      <c r="B42" s="1645" t="s">
        <v>3182</v>
      </c>
      <c r="C42" s="1646"/>
      <c r="D42" s="430"/>
      <c r="E42" s="1657"/>
      <c r="F42" s="436"/>
      <c r="G42" s="432"/>
      <c r="H42" s="397"/>
      <c r="I42" s="434"/>
      <c r="J42" s="432"/>
      <c r="K42" s="425"/>
      <c r="L42" s="432"/>
      <c r="M42" s="435"/>
    </row>
    <row r="43" spans="2:15" x14ac:dyDescent="0.3">
      <c r="B43" s="1645" t="s">
        <v>3183</v>
      </c>
      <c r="C43" s="1646"/>
      <c r="D43" s="430"/>
      <c r="E43" s="1657"/>
      <c r="F43" s="436"/>
      <c r="G43" s="432"/>
      <c r="H43" s="397"/>
      <c r="I43" s="434"/>
      <c r="J43" s="432"/>
      <c r="K43" s="425"/>
      <c r="L43" s="432"/>
      <c r="M43" s="435"/>
    </row>
    <row r="44" spans="2:15" x14ac:dyDescent="0.3">
      <c r="B44" s="1641" t="s">
        <v>2242</v>
      </c>
      <c r="C44" s="1642"/>
      <c r="D44" s="430"/>
      <c r="E44" s="1657"/>
      <c r="F44" s="436"/>
      <c r="G44" s="432"/>
      <c r="H44" s="397"/>
      <c r="I44" s="434"/>
      <c r="J44" s="432"/>
      <c r="K44" s="437"/>
      <c r="L44" s="432"/>
      <c r="M44" s="435"/>
    </row>
    <row r="45" spans="2:15" x14ac:dyDescent="0.3">
      <c r="B45" s="1641" t="s">
        <v>2243</v>
      </c>
      <c r="C45" s="1642"/>
      <c r="D45" s="430"/>
      <c r="E45" s="1657"/>
      <c r="F45" s="436"/>
      <c r="G45" s="432"/>
      <c r="H45" s="397"/>
      <c r="I45" s="438"/>
      <c r="J45" s="432"/>
      <c r="K45" s="437"/>
      <c r="L45" s="432"/>
      <c r="M45" s="437"/>
    </row>
    <row r="46" spans="2:15" x14ac:dyDescent="0.3">
      <c r="B46" s="1641" t="s">
        <v>2244</v>
      </c>
      <c r="C46" s="1642"/>
      <c r="D46" s="430"/>
      <c r="E46" s="1657"/>
      <c r="F46" s="436"/>
      <c r="G46" s="432"/>
      <c r="H46" s="397"/>
      <c r="J46" s="397"/>
      <c r="K46" s="395"/>
    </row>
    <row r="47" spans="2:15" x14ac:dyDescent="0.3">
      <c r="B47" s="1641" t="s">
        <v>2245</v>
      </c>
      <c r="C47" s="1642"/>
      <c r="D47" s="430"/>
      <c r="E47" s="1657"/>
      <c r="F47" s="436"/>
      <c r="G47" s="432"/>
      <c r="H47" s="397"/>
      <c r="I47" s="439"/>
      <c r="J47" s="395"/>
      <c r="K47" s="395"/>
    </row>
    <row r="48" spans="2:15" x14ac:dyDescent="0.3">
      <c r="B48" s="1641" t="s">
        <v>2246</v>
      </c>
      <c r="C48" s="1642"/>
      <c r="D48" s="430"/>
      <c r="E48" s="440"/>
      <c r="F48" s="441"/>
      <c r="G48" s="442"/>
      <c r="H48" s="397"/>
      <c r="I48" s="413"/>
      <c r="J48" s="443"/>
      <c r="K48" s="443"/>
      <c r="L48" s="413"/>
      <c r="M48" s="413"/>
    </row>
    <row r="49" spans="2:15" x14ac:dyDescent="0.3">
      <c r="B49" s="1641" t="s">
        <v>2247</v>
      </c>
      <c r="C49" s="1642"/>
      <c r="D49" s="430"/>
      <c r="E49" s="440"/>
      <c r="F49" s="441"/>
      <c r="G49" s="442"/>
      <c r="H49" s="397"/>
      <c r="I49" s="413"/>
      <c r="J49" s="443"/>
      <c r="K49" s="443"/>
      <c r="L49" s="413"/>
      <c r="M49" s="413"/>
    </row>
    <row r="50" spans="2:15" x14ac:dyDescent="0.3">
      <c r="B50" s="1641" t="s">
        <v>2248</v>
      </c>
      <c r="C50" s="1642"/>
      <c r="D50" s="430"/>
      <c r="E50" s="440"/>
      <c r="F50" s="441"/>
      <c r="G50" s="442"/>
      <c r="H50" s="397"/>
      <c r="I50" s="413"/>
      <c r="J50" s="443"/>
      <c r="K50" s="443"/>
      <c r="L50" s="413"/>
      <c r="M50" s="413"/>
    </row>
    <row r="51" spans="2:15" x14ac:dyDescent="0.3">
      <c r="B51" s="1641" t="s">
        <v>2249</v>
      </c>
      <c r="C51" s="1642"/>
      <c r="D51" s="430"/>
      <c r="E51" s="440"/>
      <c r="F51" s="441"/>
      <c r="G51" s="442"/>
      <c r="H51" s="397"/>
      <c r="I51" s="413"/>
      <c r="J51" s="443"/>
      <c r="K51" s="443"/>
      <c r="L51" s="413"/>
      <c r="M51" s="413"/>
    </row>
    <row r="52" spans="2:15" x14ac:dyDescent="0.3">
      <c r="B52" s="1641" t="s">
        <v>2250</v>
      </c>
      <c r="C52" s="1642"/>
      <c r="D52" s="430"/>
      <c r="E52" s="440"/>
      <c r="F52" s="441"/>
      <c r="G52" s="442"/>
      <c r="H52" s="397"/>
      <c r="I52" s="413"/>
      <c r="J52" s="443"/>
      <c r="K52" s="443"/>
      <c r="L52" s="413"/>
      <c r="M52" s="413"/>
    </row>
    <row r="53" spans="2:15" x14ac:dyDescent="0.3">
      <c r="B53" s="1641" t="s">
        <v>2251</v>
      </c>
      <c r="C53" s="1642"/>
      <c r="D53" s="430"/>
      <c r="E53" s="440"/>
      <c r="F53" s="441"/>
      <c r="G53" s="442"/>
      <c r="H53" s="397"/>
      <c r="I53" s="413"/>
      <c r="J53" s="443"/>
      <c r="K53" s="443"/>
      <c r="L53" s="413"/>
      <c r="M53" s="413"/>
    </row>
    <row r="54" spans="2:15" x14ac:dyDescent="0.3">
      <c r="B54" s="1641" t="s">
        <v>2252</v>
      </c>
      <c r="C54" s="1642"/>
      <c r="D54" s="430"/>
      <c r="E54" s="440"/>
      <c r="F54" s="441"/>
      <c r="G54" s="442"/>
      <c r="H54" s="397"/>
      <c r="I54" s="413"/>
      <c r="J54" s="443"/>
      <c r="K54" s="443"/>
      <c r="L54" s="413"/>
      <c r="M54" s="413"/>
    </row>
    <row r="55" spans="2:15" x14ac:dyDescent="0.3">
      <c r="B55" s="1641" t="s">
        <v>2253</v>
      </c>
      <c r="C55" s="1642"/>
      <c r="D55" s="430"/>
      <c r="E55" s="440"/>
      <c r="F55" s="441"/>
      <c r="G55" s="442"/>
      <c r="H55" s="397"/>
      <c r="I55" s="413"/>
      <c r="J55" s="443"/>
      <c r="K55" s="443"/>
      <c r="L55" s="413"/>
      <c r="M55" s="413"/>
    </row>
    <row r="56" spans="2:15" x14ac:dyDescent="0.3">
      <c r="B56" s="1641" t="s">
        <v>2254</v>
      </c>
      <c r="C56" s="1642"/>
      <c r="D56" s="430"/>
      <c r="E56" s="440"/>
      <c r="F56" s="441"/>
      <c r="G56" s="442"/>
      <c r="H56" s="397"/>
      <c r="I56" s="413"/>
      <c r="J56" s="443"/>
      <c r="K56" s="443"/>
      <c r="L56" s="413"/>
      <c r="M56" s="413"/>
    </row>
    <row r="57" spans="2:15" x14ac:dyDescent="0.3">
      <c r="B57" s="1639" t="s">
        <v>2255</v>
      </c>
      <c r="C57" s="1640"/>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32" t="s">
        <v>3177</v>
      </c>
      <c r="C60" s="1632"/>
      <c r="D60" s="1632"/>
      <c r="E60" s="1632"/>
      <c r="F60" s="1214"/>
      <c r="G60" s="1214"/>
      <c r="H60" s="1209"/>
      <c r="I60" s="838"/>
      <c r="J60" s="849"/>
      <c r="K60" s="850"/>
      <c r="L60" s="838"/>
      <c r="M60" s="838"/>
      <c r="N60" s="851"/>
      <c r="O60" s="851"/>
    </row>
    <row r="61" spans="2:15" s="624" customFormat="1" x14ac:dyDescent="0.3">
      <c r="B61" s="1636" t="s">
        <v>2404</v>
      </c>
      <c r="C61" s="1636"/>
      <c r="D61" s="1636"/>
      <c r="E61" s="1636"/>
      <c r="F61" s="1636"/>
      <c r="G61" s="1636"/>
      <c r="H61" s="1636"/>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33" t="s">
        <v>2163</v>
      </c>
      <c r="C63" s="1634"/>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52:C52"/>
    <mergeCell ref="B51:C51"/>
    <mergeCell ref="B50:C50"/>
    <mergeCell ref="B49:C49"/>
    <mergeCell ref="B48:C48"/>
    <mergeCell ref="B38:C38"/>
    <mergeCell ref="B47:C47"/>
    <mergeCell ref="B46:C46"/>
    <mergeCell ref="D2:F2"/>
    <mergeCell ref="E17:F18"/>
    <mergeCell ref="E38:E47"/>
    <mergeCell ref="B16:C16"/>
    <mergeCell ref="B37:C37"/>
    <mergeCell ref="B45:C45"/>
    <mergeCell ref="B44:C44"/>
    <mergeCell ref="B43:C43"/>
    <mergeCell ref="B42:C42"/>
    <mergeCell ref="B41:C41"/>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85" zoomScaleNormal="85" workbookViewId="0">
      <pane ySplit="4" topLeftCell="A44" activePane="bottomLeft" state="frozen"/>
      <selection activeCell="G20" sqref="G20"/>
      <selection pane="bottomLeft" activeCell="I54" sqref="I54"/>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04"/>
      <c r="AI1" s="1704"/>
      <c r="AJ1" s="1704"/>
    </row>
    <row r="2" spans="1:152" s="469" customFormat="1" ht="25.8" x14ac:dyDescent="0.25">
      <c r="C2" s="855" t="s">
        <v>2376</v>
      </c>
      <c r="F2" s="1693" t="s">
        <v>0</v>
      </c>
      <c r="G2" s="1693"/>
      <c r="H2" s="1693"/>
      <c r="I2" s="1693"/>
      <c r="J2" s="1693"/>
      <c r="K2" s="1693"/>
      <c r="L2" s="1697" t="s">
        <v>2241</v>
      </c>
      <c r="M2" s="1697"/>
      <c r="Q2" s="1700" t="s">
        <v>1677</v>
      </c>
      <c r="R2" s="1700"/>
      <c r="S2" s="1700"/>
      <c r="T2" s="1700"/>
      <c r="U2" s="1700"/>
      <c r="V2" s="1700"/>
      <c r="W2" s="1700"/>
      <c r="X2" s="1700"/>
      <c r="Y2" s="1700"/>
      <c r="AH2" s="470"/>
      <c r="AI2" s="471"/>
      <c r="AJ2" s="471"/>
    </row>
    <row r="3" spans="1:152" s="472" customFormat="1" ht="28.05" customHeight="1" x14ac:dyDescent="0.3">
      <c r="C3" s="1706" t="s">
        <v>2403</v>
      </c>
      <c r="D3" s="1706"/>
      <c r="F3" s="832" t="s">
        <v>2159</v>
      </c>
      <c r="G3" s="743"/>
      <c r="H3" s="743"/>
      <c r="I3" s="742" t="s">
        <v>2260</v>
      </c>
      <c r="J3" s="836" t="s">
        <v>2239</v>
      </c>
      <c r="K3" s="836" t="s">
        <v>2239</v>
      </c>
      <c r="L3" s="1698" t="str">
        <f>IF('5. Import Checklist'!C14="ROPE Ready for Upload",'5. Import Checklist'!C14,"ROPE INCOMPLETE -- WILL NOT UPLOAD")</f>
        <v>ROPE Ready for Upload</v>
      </c>
      <c r="M3" s="1699"/>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694" t="s">
        <v>2315</v>
      </c>
      <c r="D7" s="1694"/>
      <c r="E7" s="1694"/>
      <c r="F7" s="1694"/>
      <c r="G7" s="1694"/>
      <c r="H7" s="1695"/>
      <c r="I7" s="1694"/>
      <c r="J7" s="837"/>
      <c r="K7" s="1635" t="s">
        <v>13</v>
      </c>
      <c r="L7" s="1635"/>
      <c r="M7" s="1635"/>
      <c r="N7" s="1635"/>
      <c r="O7" s="1635"/>
      <c r="P7" s="1635"/>
      <c r="Q7" s="1635"/>
      <c r="R7" s="779"/>
      <c r="S7" s="1210"/>
      <c r="AH7" s="787"/>
      <c r="AI7" s="846"/>
      <c r="AJ7" s="846"/>
    </row>
    <row r="8" spans="1:152" s="624" customFormat="1" x14ac:dyDescent="0.3">
      <c r="C8" s="1702" t="s">
        <v>3242</v>
      </c>
      <c r="D8" s="1702"/>
      <c r="E8" s="1702"/>
      <c r="F8" s="1702"/>
      <c r="G8" s="1702"/>
      <c r="H8" s="1702"/>
      <c r="I8" s="1702"/>
      <c r="J8" s="1702"/>
      <c r="K8" s="1702"/>
      <c r="L8" s="1702"/>
      <c r="M8" s="1702"/>
      <c r="N8" s="1702"/>
      <c r="O8" s="779"/>
      <c r="P8" s="779"/>
      <c r="Q8" s="779"/>
      <c r="R8" s="779"/>
      <c r="S8" s="1210"/>
      <c r="AH8" s="787"/>
      <c r="AI8" s="846"/>
      <c r="AJ8" s="846"/>
    </row>
    <row r="9" spans="1:152" s="624" customFormat="1" x14ac:dyDescent="0.3">
      <c r="C9" s="1702" t="s">
        <v>3201</v>
      </c>
      <c r="D9" s="1702"/>
      <c r="E9" s="1702"/>
      <c r="F9" s="1702"/>
      <c r="G9" s="1702"/>
      <c r="H9" s="1702"/>
      <c r="I9" s="1702"/>
      <c r="J9" s="1702"/>
      <c r="K9" s="1702"/>
      <c r="L9" s="1702"/>
      <c r="M9" s="1702"/>
      <c r="N9" s="1702"/>
      <c r="O9" s="791"/>
      <c r="P9" s="791"/>
      <c r="Q9" s="405"/>
      <c r="R9" s="405"/>
      <c r="S9" s="1217"/>
      <c r="AH9" s="787"/>
      <c r="AI9" s="846"/>
      <c r="AJ9" s="846"/>
    </row>
    <row r="10" spans="1:152" s="624" customFormat="1" ht="13.95" customHeight="1" x14ac:dyDescent="0.3">
      <c r="C10" s="1702" t="s">
        <v>3243</v>
      </c>
      <c r="D10" s="1702"/>
      <c r="E10" s="1702"/>
      <c r="F10" s="1702"/>
      <c r="G10" s="1702"/>
      <c r="H10" s="1702"/>
      <c r="I10" s="1702"/>
      <c r="J10" s="1702"/>
      <c r="K10" s="1702"/>
      <c r="L10" s="1702"/>
      <c r="M10" s="1702"/>
      <c r="N10" s="1702"/>
      <c r="O10" s="779"/>
      <c r="P10" s="779"/>
      <c r="Q10" s="405"/>
      <c r="R10" s="405"/>
      <c r="S10" s="1217"/>
      <c r="AH10" s="787"/>
      <c r="AI10" s="846"/>
      <c r="AJ10" s="846"/>
    </row>
    <row r="11" spans="1:152" s="624" customFormat="1" x14ac:dyDescent="0.3">
      <c r="C11" s="1702" t="s">
        <v>3244</v>
      </c>
      <c r="D11" s="1702"/>
      <c r="E11" s="1702"/>
      <c r="F11" s="1702"/>
      <c r="G11" s="1702"/>
      <c r="H11" s="1702"/>
      <c r="I11" s="1702"/>
      <c r="J11" s="1702"/>
      <c r="K11" s="1702"/>
      <c r="L11" s="1702"/>
      <c r="M11" s="1702"/>
      <c r="N11" s="1702"/>
      <c r="O11" s="1468"/>
      <c r="P11" s="1468"/>
      <c r="Q11" s="405"/>
      <c r="R11" s="405"/>
      <c r="S11" s="1217"/>
      <c r="AH11" s="787"/>
      <c r="AI11" s="846"/>
      <c r="AJ11" s="846"/>
    </row>
    <row r="12" spans="1:152" s="624" customFormat="1" x14ac:dyDescent="0.3">
      <c r="C12" s="1701" t="s">
        <v>3245</v>
      </c>
      <c r="D12" s="1701"/>
      <c r="E12" s="1701"/>
      <c r="F12" s="1701"/>
      <c r="G12" s="1701"/>
      <c r="H12" s="1701"/>
      <c r="I12" s="1701"/>
      <c r="J12" s="1701"/>
      <c r="K12" s="1701"/>
      <c r="L12" s="1701"/>
      <c r="M12" s="1701"/>
      <c r="N12" s="1701"/>
      <c r="O12" s="1701"/>
      <c r="P12" s="1701"/>
      <c r="Q12" s="1701"/>
      <c r="R12" s="1701"/>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696" t="s">
        <v>3246</v>
      </c>
      <c r="D15" s="1696"/>
      <c r="E15" s="1696"/>
      <c r="F15" s="1696"/>
      <c r="G15" s="1696"/>
      <c r="H15" s="1696"/>
      <c r="I15" s="1696"/>
      <c r="AH15" s="845"/>
      <c r="AI15" s="846"/>
      <c r="AJ15" s="846"/>
    </row>
    <row r="16" spans="1:152" x14ac:dyDescent="0.25">
      <c r="AH16" s="404"/>
      <c r="AI16" s="477"/>
      <c r="AJ16" s="477"/>
    </row>
    <row r="17" spans="3:97" ht="23.55" customHeight="1" x14ac:dyDescent="0.25">
      <c r="C17" s="1716" t="s">
        <v>2199</v>
      </c>
      <c r="D17" s="1717"/>
      <c r="E17" s="1717"/>
      <c r="F17" s="1718"/>
      <c r="G17" s="479"/>
      <c r="H17" s="479"/>
      <c r="J17" s="479"/>
      <c r="K17" s="480"/>
      <c r="L17" s="480"/>
      <c r="M17" s="480"/>
      <c r="N17" s="480"/>
      <c r="O17" s="1707"/>
      <c r="P17" s="1707"/>
      <c r="Q17" s="1707"/>
      <c r="R17" s="1707"/>
      <c r="S17" s="1707"/>
      <c r="T17" s="1707"/>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664" t="s">
        <v>15</v>
      </c>
      <c r="D18" s="1664"/>
      <c r="E18" s="1736" t="str">
        <f>'1. Project Inputs'!C17</f>
        <v>Dallas</v>
      </c>
      <c r="F18" s="1737"/>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665" t="s">
        <v>1304</v>
      </c>
      <c r="D19" s="1665"/>
      <c r="E19" s="1738" t="str">
        <f>'1. Project Inputs'!C18</f>
        <v>C Spire</v>
      </c>
      <c r="F19" s="1739"/>
      <c r="G19" s="491"/>
      <c r="H19" s="491"/>
      <c r="I19" s="491"/>
      <c r="J19" s="491"/>
      <c r="K19" s="413"/>
      <c r="L19" s="1607" t="s">
        <v>2021</v>
      </c>
      <c r="M19" s="1608">
        <f>'3. Financial Inputs'!C67</f>
        <v>0</v>
      </c>
      <c r="N19" s="413"/>
      <c r="O19" s="492"/>
      <c r="P19" s="492"/>
      <c r="Q19" s="492"/>
      <c r="R19" s="492"/>
      <c r="S19" s="492"/>
      <c r="T19" s="795"/>
      <c r="U19" s="795"/>
      <c r="V19" s="795"/>
      <c r="W19" s="398"/>
      <c r="X19" s="398"/>
      <c r="Y19" s="493"/>
      <c r="Z19" s="493"/>
      <c r="AH19" s="492"/>
      <c r="AI19" s="1705"/>
      <c r="AJ19" s="1705"/>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665" t="s">
        <v>3573</v>
      </c>
      <c r="D20" s="1665"/>
      <c r="E20" s="1738" t="str">
        <f>'1. Project Inputs'!C19</f>
        <v>TA Digital</v>
      </c>
      <c r="F20" s="1739"/>
      <c r="G20" s="488"/>
      <c r="H20" s="488"/>
      <c r="I20" s="488"/>
      <c r="J20" s="488"/>
      <c r="K20" s="494"/>
      <c r="L20" s="1607"/>
      <c r="M20" s="1609"/>
      <c r="N20" s="494"/>
      <c r="O20" s="804"/>
      <c r="P20" s="804"/>
      <c r="Q20" s="804"/>
      <c r="R20" s="804"/>
      <c r="S20" s="804"/>
      <c r="T20" s="496"/>
      <c r="U20" s="496"/>
      <c r="V20" s="399"/>
      <c r="W20" s="399"/>
      <c r="X20" s="399"/>
      <c r="Y20" s="399"/>
      <c r="Z20" s="496"/>
      <c r="AH20" s="495"/>
      <c r="AI20" s="1703"/>
      <c r="AJ20" s="1703"/>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665" t="s">
        <v>19</v>
      </c>
      <c r="D21" s="1665"/>
      <c r="E21" s="1738" t="str">
        <f>'1. Project Inputs'!C19</f>
        <v>TA Digital</v>
      </c>
      <c r="F21" s="1739"/>
      <c r="G21" s="488"/>
      <c r="H21" s="488"/>
      <c r="I21" s="488"/>
      <c r="J21" s="488"/>
      <c r="K21" s="494"/>
      <c r="L21" s="1607" t="s">
        <v>3299</v>
      </c>
      <c r="M21" s="1610">
        <f>'4. Summary &amp; Totals'!C45</f>
        <v>1010625</v>
      </c>
      <c r="N21" s="494"/>
      <c r="O21" s="804"/>
      <c r="P21" s="804"/>
      <c r="Q21" s="804"/>
      <c r="R21" s="804"/>
      <c r="S21" s="804"/>
      <c r="T21" s="496"/>
      <c r="U21" s="496"/>
      <c r="V21" s="399"/>
      <c r="W21" s="399"/>
      <c r="X21" s="399"/>
      <c r="Y21" s="399"/>
      <c r="Z21" s="496"/>
      <c r="AH21" s="495"/>
      <c r="AI21" s="1703"/>
      <c r="AJ21" s="1703"/>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665" t="s">
        <v>3212</v>
      </c>
      <c r="D22" s="1665"/>
      <c r="E22" s="1738" t="str">
        <f>'1. Project Inputs'!C20</f>
        <v>No</v>
      </c>
      <c r="F22" s="1739"/>
      <c r="G22" s="488"/>
      <c r="H22" s="488"/>
      <c r="I22" s="488"/>
      <c r="J22" s="488"/>
      <c r="K22" s="494"/>
      <c r="L22" s="1607" t="s">
        <v>1673</v>
      </c>
      <c r="M22" s="1609">
        <f>'4. Summary &amp; Totals'!C37</f>
        <v>0.58576763485477179</v>
      </c>
      <c r="N22" s="494"/>
      <c r="O22" s="804"/>
      <c r="P22" s="804"/>
      <c r="Q22" s="804"/>
      <c r="R22" s="804"/>
      <c r="S22" s="804"/>
      <c r="T22" s="496"/>
      <c r="U22" s="496"/>
      <c r="V22" s="399"/>
      <c r="W22" s="399"/>
      <c r="X22" s="399"/>
      <c r="Y22" s="399"/>
      <c r="Z22" s="496"/>
      <c r="AH22" s="495"/>
      <c r="AI22" s="1703"/>
      <c r="AJ22" s="1703"/>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666" t="s">
        <v>2064</v>
      </c>
      <c r="D23" s="1666"/>
      <c r="E23" s="1738">
        <f>'1. Project Inputs'!C22</f>
        <v>1324</v>
      </c>
      <c r="F23" s="1739"/>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03"/>
      <c r="AJ23" s="1703"/>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666" t="s">
        <v>22</v>
      </c>
      <c r="D24" s="1666"/>
      <c r="E24" s="1738" t="str">
        <f>'1. Project Inputs'!C23</f>
        <v>RaisinAnalytics</v>
      </c>
      <c r="F24" s="1739"/>
      <c r="G24" s="488"/>
      <c r="H24" s="488"/>
      <c r="I24" s="488"/>
      <c r="J24" s="488"/>
      <c r="K24" s="484"/>
      <c r="L24" s="1607"/>
      <c r="M24" s="1607"/>
      <c r="N24" s="484"/>
      <c r="O24" s="804"/>
      <c r="P24" s="804"/>
      <c r="Q24" s="804"/>
      <c r="R24" s="804"/>
      <c r="S24" s="804"/>
      <c r="T24" s="496"/>
      <c r="U24" s="496"/>
      <c r="V24" s="399"/>
      <c r="W24" s="399"/>
      <c r="X24" s="399"/>
      <c r="Y24" s="399"/>
      <c r="Z24" s="496"/>
      <c r="AC24" s="1686" t="s">
        <v>100</v>
      </c>
      <c r="AD24" s="1686"/>
      <c r="AE24" s="1686"/>
      <c r="AF24" s="1686"/>
      <c r="AH24" s="495"/>
      <c r="AI24" s="1703"/>
      <c r="AJ24" s="1703"/>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666" t="s">
        <v>23</v>
      </c>
      <c r="D25" s="1666"/>
      <c r="E25" s="1736" t="str">
        <f>'1. Project Inputs'!C24</f>
        <v>Digital - Systems Implementation</v>
      </c>
      <c r="F25" s="1737"/>
      <c r="G25" s="488"/>
      <c r="H25" s="488"/>
      <c r="I25" s="488"/>
      <c r="J25" s="488"/>
      <c r="K25" s="413"/>
      <c r="L25" s="413"/>
      <c r="M25" s="413"/>
      <c r="N25" s="413"/>
      <c r="O25" s="804"/>
      <c r="P25" s="804"/>
      <c r="Q25" s="804"/>
      <c r="R25" s="804"/>
      <c r="S25" s="804"/>
      <c r="T25" s="496"/>
      <c r="U25" s="496"/>
      <c r="V25" s="399"/>
      <c r="W25" s="399"/>
      <c r="X25" s="399"/>
      <c r="Y25" s="399"/>
      <c r="Z25" s="496"/>
      <c r="AB25" s="466"/>
      <c r="AC25" s="1686"/>
      <c r="AD25" s="1686"/>
      <c r="AE25" s="1686"/>
      <c r="AF25" s="1686"/>
      <c r="AH25" s="495"/>
      <c r="AI25" s="1703"/>
      <c r="AJ25" s="1703"/>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666" t="s">
        <v>24</v>
      </c>
      <c r="D26" s="1666"/>
      <c r="E26" s="1736" t="str">
        <f>'1. Project Inputs'!C25</f>
        <v>Standard Rates</v>
      </c>
      <c r="F26" s="1737"/>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03"/>
      <c r="AJ26" s="1703"/>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667" t="s">
        <v>2311</v>
      </c>
      <c r="D27" s="1667"/>
      <c r="E27" s="1738" t="str">
        <f>IF(ISBLANK('1. Project Inputs'!C26)," ",'1. Project Inputs'!C26)</f>
        <v xml:space="preserve"> </v>
      </c>
      <c r="F27" s="1739"/>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03"/>
      <c r="AJ27" s="1703"/>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665" t="s">
        <v>1890</v>
      </c>
      <c r="D28" s="1665"/>
      <c r="E28" s="1740">
        <f>'1. Project Inputs'!C27</f>
        <v>45916</v>
      </c>
      <c r="F28" s="1741"/>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756400</v>
      </c>
      <c r="AE28" s="517">
        <f>IF(AE48="","",SUMIFS($D$291:$D$390,$AE$48:$AE$147,"Yes"))</f>
        <v>252400</v>
      </c>
      <c r="AF28" s="1457">
        <f>IF(AF48="","",SUMIFS($D$291:$D$390,$AF$48:$AF$147,"Yes"))</f>
        <v>330400</v>
      </c>
      <c r="AH28" s="495"/>
      <c r="AI28" s="1703"/>
      <c r="AJ28" s="1703"/>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665" t="s">
        <v>27</v>
      </c>
      <c r="D29" s="1665"/>
      <c r="E29" s="1740" t="str">
        <f>'1. Project Inputs'!C28</f>
        <v>T&amp;M</v>
      </c>
      <c r="F29" s="1741"/>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333840</v>
      </c>
      <c r="AE29" s="517">
        <f>IF(AE48="","",SUMIFS($F$291:$F$390,$AE$48:$AE$147,"Yes"))</f>
        <v>99840</v>
      </c>
      <c r="AF29" s="1457">
        <f>IF(AF48="","",SUMIFS($F$291:$F$390,$AF$48:$AF$147,"Yes"))</f>
        <v>141840</v>
      </c>
      <c r="AH29" s="495"/>
      <c r="AI29" s="1703"/>
      <c r="AJ29" s="1703"/>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668" t="s">
        <v>2286</v>
      </c>
      <c r="D30" s="1668"/>
      <c r="E30" s="1742">
        <f>'1. Project Inputs'!C29</f>
        <v>30</v>
      </c>
      <c r="F30" s="1743"/>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58.774647887323944</v>
      </c>
      <c r="AE30" s="1459">
        <f>IFERROR(AE29/SUMIFS($M$291:$M$390,AE48:AE147,"Yes"),"")</f>
        <v>48</v>
      </c>
      <c r="AF30" s="1460">
        <f>IFERROR(AF29/SUMIFS($M$291:$M$390,AF48:AF147,"Yes"),"")</f>
        <v>43.243902439024389</v>
      </c>
      <c r="AH30" s="441"/>
      <c r="AI30" s="1703"/>
      <c r="AJ30" s="1703"/>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713" t="s">
        <v>2292</v>
      </c>
      <c r="G32" s="1713"/>
      <c r="H32" s="1713"/>
      <c r="I32" s="1713"/>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19" t="s">
        <v>3202</v>
      </c>
      <c r="D35" s="1719"/>
      <c r="E35" s="1719"/>
      <c r="F35" s="1719"/>
      <c r="G35" s="1719"/>
      <c r="H35" s="1719"/>
      <c r="I35" s="1719"/>
      <c r="J35" s="1719"/>
      <c r="K35" s="1719"/>
      <c r="L35" s="1719"/>
      <c r="M35" s="1719"/>
      <c r="N35" s="1719"/>
      <c r="O35" s="1719"/>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74" t="s">
        <v>2315</v>
      </c>
      <c r="D36" s="1674"/>
      <c r="E36" s="1674"/>
      <c r="F36" s="1674"/>
      <c r="G36" s="1674"/>
      <c r="H36" s="1674"/>
      <c r="I36" s="1674"/>
      <c r="J36" s="1674"/>
      <c r="K36" s="1674"/>
      <c r="L36" s="1674"/>
      <c r="M36" s="1674"/>
      <c r="N36" s="1674"/>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675" t="s">
        <v>3235</v>
      </c>
      <c r="D37" s="1675"/>
      <c r="E37" s="1675"/>
      <c r="F37" s="1675"/>
      <c r="G37" s="1675"/>
      <c r="H37" s="1675"/>
      <c r="I37" s="1675"/>
      <c r="J37" s="1675"/>
      <c r="K37" s="1675"/>
      <c r="L37" s="1675"/>
      <c r="M37" s="1675"/>
      <c r="N37" s="1675"/>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675" t="s">
        <v>3236</v>
      </c>
      <c r="D38" s="1675"/>
      <c r="E38" s="1675"/>
      <c r="F38" s="1675"/>
      <c r="G38" s="1675"/>
      <c r="H38" s="1675"/>
      <c r="I38" s="1675"/>
      <c r="J38" s="1675"/>
      <c r="K38" s="1675"/>
      <c r="L38" s="1675"/>
      <c r="M38" s="1675"/>
      <c r="N38" s="1675"/>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670" t="s">
        <v>3237</v>
      </c>
      <c r="D39" s="1670"/>
      <c r="E39" s="1670"/>
      <c r="F39" s="1670"/>
      <c r="G39" s="1670"/>
      <c r="H39" s="1670"/>
      <c r="I39" s="1670"/>
      <c r="J39" s="1670"/>
      <c r="K39" s="1670"/>
      <c r="L39" s="1670"/>
      <c r="M39" s="1670"/>
      <c r="N39" s="1670"/>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675" t="s">
        <v>3238</v>
      </c>
      <c r="D40" s="1675"/>
      <c r="E40" s="1675"/>
      <c r="F40" s="1675"/>
      <c r="G40" s="1675"/>
      <c r="H40" s="1675"/>
      <c r="I40" s="1675"/>
      <c r="J40" s="1675"/>
      <c r="K40" s="1675"/>
      <c r="L40" s="1675"/>
      <c r="M40" s="1675"/>
      <c r="N40" s="1675"/>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671" t="s">
        <v>3203</v>
      </c>
      <c r="D41" s="1671"/>
      <c r="E41" s="1671"/>
      <c r="F41" s="1671"/>
      <c r="G41" s="1671"/>
      <c r="H41" s="1671"/>
      <c r="I41" s="1671"/>
      <c r="J41" s="1671"/>
      <c r="K41" s="1671"/>
      <c r="L41" s="1671"/>
      <c r="M41" s="1671"/>
      <c r="N41" s="1671"/>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675" t="s">
        <v>3239</v>
      </c>
      <c r="D42" s="1675"/>
      <c r="E42" s="1675"/>
      <c r="F42" s="1675"/>
      <c r="G42" s="1675"/>
      <c r="H42" s="1675"/>
      <c r="I42" s="1675"/>
      <c r="J42" s="1675"/>
      <c r="K42" s="1675"/>
      <c r="L42" s="1675"/>
      <c r="M42" s="1675"/>
      <c r="N42" s="1675"/>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20" t="s">
        <v>3240</v>
      </c>
      <c r="D43" s="1720"/>
      <c r="E43" s="1720"/>
      <c r="F43" s="1720"/>
      <c r="G43" s="1720"/>
      <c r="H43" s="1720"/>
      <c r="I43" s="1720"/>
      <c r="J43" s="1720"/>
      <c r="K43" s="1720"/>
      <c r="L43" s="1720"/>
      <c r="M43" s="1720"/>
      <c r="N43" s="1720"/>
      <c r="O43" s="842"/>
      <c r="P43" s="842"/>
      <c r="Q43" s="842"/>
      <c r="R43" s="842"/>
      <c r="S43" s="842"/>
      <c r="T43" s="841"/>
      <c r="U43" s="841"/>
      <c r="V43" s="841"/>
      <c r="W43" s="841"/>
      <c r="X43" s="841"/>
      <c r="Y43" s="1733" t="str">
        <f>IF(COUNTIFS(Y48:Y147,"&gt;40")&gt;0,"You have one or more resource staffed over 40 hours a week. If this was intentional, please ignore this message. If this was in error, please check your scheduled weekly hours.","")</f>
        <v/>
      </c>
      <c r="Z43" s="1733"/>
      <c r="AA43" s="1733"/>
      <c r="AB43" s="1733"/>
      <c r="AC43" s="841"/>
      <c r="AD43" s="841"/>
      <c r="AE43" s="841"/>
      <c r="AF43" s="518"/>
      <c r="AG43" s="843"/>
      <c r="AH43" s="844"/>
      <c r="AI43" s="844"/>
      <c r="AJ43" s="843"/>
      <c r="AK43" s="843"/>
      <c r="AL43" s="843"/>
      <c r="AM43" s="843"/>
      <c r="CM43" s="838"/>
    </row>
    <row r="44" spans="1:97" s="624" customFormat="1" ht="13.95" customHeight="1" x14ac:dyDescent="0.3">
      <c r="B44" s="841"/>
      <c r="C44" s="1721" t="s">
        <v>3241</v>
      </c>
      <c r="D44" s="1721"/>
      <c r="E44" s="1721"/>
      <c r="F44" s="1721"/>
      <c r="G44" s="1721"/>
      <c r="H44" s="1721"/>
      <c r="I44" s="1721"/>
      <c r="J44" s="1721"/>
      <c r="K44" s="1721"/>
      <c r="L44" s="1721"/>
      <c r="M44" s="1721"/>
      <c r="N44" s="1721"/>
      <c r="O44" s="842"/>
      <c r="P44" s="842"/>
      <c r="Q44" s="842"/>
      <c r="R44" s="842"/>
      <c r="S44" s="842"/>
      <c r="T44" s="841"/>
      <c r="U44" s="841"/>
      <c r="V44" s="841"/>
      <c r="W44" s="841"/>
      <c r="X44" s="841"/>
      <c r="Y44" s="1733"/>
      <c r="Z44" s="1733"/>
      <c r="AA44" s="1733"/>
      <c r="AB44" s="1733"/>
      <c r="AC44" s="841"/>
      <c r="AD44" s="841"/>
      <c r="AE44" s="841"/>
      <c r="AF44" s="518"/>
      <c r="AG44" s="843"/>
      <c r="AH44" s="844"/>
      <c r="AI44" s="844"/>
      <c r="AJ44" s="843"/>
      <c r="AK44" s="843"/>
      <c r="AL44" s="843"/>
      <c r="AM44" s="843"/>
      <c r="CM44" s="838"/>
    </row>
    <row r="45" spans="1:97" x14ac:dyDescent="0.25">
      <c r="Y45" s="1733"/>
      <c r="Z45" s="1733"/>
      <c r="AA45" s="1733"/>
      <c r="AB45" s="1733"/>
    </row>
    <row r="46" spans="1:97" s="624" customFormat="1" ht="13.95" customHeight="1" x14ac:dyDescent="0.3">
      <c r="B46" s="841"/>
      <c r="C46" s="1687"/>
      <c r="D46" s="1687"/>
      <c r="E46" s="1687"/>
      <c r="F46" s="1687"/>
      <c r="G46" s="1687"/>
      <c r="H46" s="1687"/>
      <c r="I46" s="1687"/>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714" t="s">
        <v>237</v>
      </c>
      <c r="L47" s="1714"/>
      <c r="M47" s="1714"/>
      <c r="N47" s="1279" t="s">
        <v>2406</v>
      </c>
      <c r="O47" s="1714" t="s">
        <v>238</v>
      </c>
      <c r="P47" s="1714"/>
      <c r="Q47" s="1714"/>
      <c r="R47" s="1714"/>
      <c r="S47" s="1714"/>
      <c r="T47" s="1709" t="str">
        <f>IF('1. Project Inputs'!C25="Client Custom Rates","Custom Client Rate Card Title","Custom Client Rate Title Do Not Use")</f>
        <v>Custom Client Rate Title Do Not Use</v>
      </c>
      <c r="U47" s="1709"/>
      <c r="V47" s="1281" t="s">
        <v>2369</v>
      </c>
      <c r="W47" s="1281" t="s">
        <v>2314</v>
      </c>
      <c r="X47" s="1594" t="s">
        <v>2096</v>
      </c>
      <c r="Y47" s="1280" t="s">
        <v>2259</v>
      </c>
      <c r="Z47" s="1279" t="s">
        <v>2096</v>
      </c>
      <c r="AA47" s="1279" t="s">
        <v>2258</v>
      </c>
      <c r="AB47" s="1279" t="s">
        <v>64</v>
      </c>
      <c r="AC47" s="1714" t="s">
        <v>104</v>
      </c>
      <c r="AD47" s="1730"/>
      <c r="AE47" s="1282" t="s">
        <v>105</v>
      </c>
      <c r="AF47" s="1279" t="s">
        <v>106</v>
      </c>
      <c r="AH47" s="1689"/>
      <c r="AI47" s="1689"/>
      <c r="AJ47" s="1283"/>
      <c r="AK47" s="1283"/>
      <c r="AL47" s="1283"/>
      <c r="AM47" s="1283"/>
      <c r="CM47" s="1284"/>
    </row>
    <row r="48" spans="1:97" ht="14.55" customHeight="1" x14ac:dyDescent="0.25">
      <c r="C48" s="1182" t="s">
        <v>430</v>
      </c>
      <c r="D48" s="1183" t="s">
        <v>297</v>
      </c>
      <c r="E48" s="1183" t="str">
        <f>IFERROR(_xlfn.XLOOKUP(D48,TADIndia,'Rates &amp; Drop Downs INT'!$CH$6:$CH$747),"")</f>
        <v>DOTNET</v>
      </c>
      <c r="F48" s="1183" t="s">
        <v>279</v>
      </c>
      <c r="G48" s="1187" t="str">
        <f>IFERROR(_xlfn.XLOOKUP(F48,'Rates &amp; Drop Downs INT'!$CI$6:$CI$747,'Rates &amp; Drop Downs INT'!$CJ$6:$CJ$747),"")</f>
        <v>DOTNET_Sitecore</v>
      </c>
      <c r="H48" s="1187" t="str">
        <f>_xlfn.XLOOKUP(F48,'Rates &amp; Drop Downs INT'!$DF$6:$DF$173,'Rates &amp; Drop Downs INT'!$DG$6:$DG$173,"")</f>
        <v>SITECORESP</v>
      </c>
      <c r="I48" s="1183" t="s">
        <v>3434</v>
      </c>
      <c r="J48" s="1184" t="str">
        <f>C48</f>
        <v>TADNorthAmerica</v>
      </c>
      <c r="K48" s="1682" t="s">
        <v>534</v>
      </c>
      <c r="L48" s="1683"/>
      <c r="M48" s="1684"/>
      <c r="N48" s="1190" cm="1">
        <f t="array" ref="N48">IF($E$20="Credera US",V48,SUMPRODUCT(('Rates &amp; Drop Downs INT'!$CG$6:$CG$747=$D48)*('Rates &amp; Drop Downs INT'!$CI$6:$CI$747=$F48)*('Rates &amp; Drop Downs INT'!$CK$6:$CK$747=$K48)*('Rates &amp; Drop Downs INT'!$CM$6:$CM$747)))</f>
        <v>2</v>
      </c>
      <c r="O48" s="1715"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15"/>
      <c r="Q48" s="1715"/>
      <c r="R48" s="1715"/>
      <c r="S48" s="1715"/>
      <c r="T48" s="1710"/>
      <c r="U48" s="1710"/>
      <c r="V48" s="1221">
        <f>IFERROR(IF(ISBLANK(K48)," ",_xlfn.XLOOKUP(K48,'Rates &amp; Drop Downs INT'!C:C,'Rates &amp; Drop Downs INT'!J:J)),N48)</f>
        <v>0</v>
      </c>
      <c r="W48" s="1202" t="str">
        <f>IF(ISBLANK($K48)," ",IF(OR($C48="Credera US",$C48="TADNorthAmerica"),"Onshore","Offshore"))</f>
        <v>Onshore</v>
      </c>
      <c r="X48" s="1202"/>
      <c r="Y48" s="890">
        <v>40</v>
      </c>
      <c r="Z48" s="1183" t="s">
        <v>295</v>
      </c>
      <c r="AA48" s="1185"/>
      <c r="AB48" s="1273"/>
      <c r="AC48" s="1731" t="s">
        <v>78</v>
      </c>
      <c r="AD48" s="1732"/>
      <c r="AE48" s="1596" t="s">
        <v>275</v>
      </c>
      <c r="AF48" s="891" t="s">
        <v>78</v>
      </c>
      <c r="AH48" s="1685"/>
      <c r="AI48" s="1685"/>
      <c r="CM48" s="425"/>
    </row>
    <row r="49" spans="3:91" ht="16.05" customHeight="1" x14ac:dyDescent="0.25">
      <c r="C49" s="1186" t="s">
        <v>269</v>
      </c>
      <c r="D49" s="1187" t="s">
        <v>255</v>
      </c>
      <c r="E49" s="1187" t="str">
        <f>IFERROR(_xlfn.XLOOKUP(D49,TADIndia,'Rates &amp; Drop Downs INT'!$CH$6:$CH$747),"")</f>
        <v>Acquia</v>
      </c>
      <c r="F49" s="1187" t="s">
        <v>1218</v>
      </c>
      <c r="G49" s="1187" t="str">
        <f>IFERROR(_xlfn.XLOOKUP(F49,'Rates &amp; Drop Downs INT'!$CI$6:$CI$747,'Rates &amp; Drop Downs INT'!$CJ$6:$CJ$747),"")</f>
        <v>Acquia_CDP</v>
      </c>
      <c r="H49" s="1187" t="str">
        <f>_xlfn.XLOOKUP(F49,'Rates &amp; Drop Downs INT'!$DF$6:$DF$173,'Rates &amp; Drop Downs INT'!$DG$6:$DG$173,"")</f>
        <v>ACQUIACDPSP</v>
      </c>
      <c r="I49" s="1187" t="s">
        <v>1798</v>
      </c>
      <c r="J49" s="1188" t="str">
        <f>C49</f>
        <v>TADIndia</v>
      </c>
      <c r="K49" s="1682" t="s">
        <v>367</v>
      </c>
      <c r="L49" s="1683"/>
      <c r="M49" s="1684"/>
      <c r="N49" s="1190" cm="1">
        <f t="array" ref="N49">IF($E$20="Credera US",V49,SUMPRODUCT(('Rates &amp; Drop Downs INT'!$CG$6:$CG$747=$D49)*('Rates &amp; Drop Downs INT'!$CI$6:$CI$747=$F49)*('Rates &amp; Drop Downs INT'!$CK$6:$CK$747=$K49)*('Rates &amp; Drop Downs INT'!$CM$6:$CM$747)))</f>
        <v>2</v>
      </c>
      <c r="O49" s="1676"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77"/>
      <c r="Q49" s="1677"/>
      <c r="R49" s="1677"/>
      <c r="S49" s="1678"/>
      <c r="T49" s="1711"/>
      <c r="U49" s="1712"/>
      <c r="V49" s="1222">
        <f>IFERROR(IF(ISBLANK(K49)," ",_xlfn.XLOOKUP(K49,'Rates &amp; Drop Downs INT'!C:C,'Rates &amp; Drop Downs INT'!J:J)),N49)</f>
        <v>2</v>
      </c>
      <c r="W49" s="1203" t="str">
        <f t="shared" ref="W49:W112" si="0">IF(ISBLANK($K49)," ",IF(OR($C49="Credera US",$C49="TADNorthAmerica"),"Onshore","Offshore"))</f>
        <v>Offshore</v>
      </c>
      <c r="X49" s="1203"/>
      <c r="Y49" s="880">
        <v>40</v>
      </c>
      <c r="Z49" s="1187"/>
      <c r="AA49" s="1190"/>
      <c r="AB49" s="1274"/>
      <c r="AC49" s="1690" t="s">
        <v>78</v>
      </c>
      <c r="AD49" s="1691"/>
      <c r="AE49" s="881" t="s">
        <v>78</v>
      </c>
      <c r="AF49" s="892" t="s">
        <v>78</v>
      </c>
      <c r="AH49" s="1685"/>
      <c r="AI49" s="1685"/>
      <c r="CM49" s="425"/>
    </row>
    <row r="50" spans="3:91" ht="16.05" customHeight="1" x14ac:dyDescent="0.25">
      <c r="C50" s="1186" t="s">
        <v>430</v>
      </c>
      <c r="D50" s="1187" t="s">
        <v>325</v>
      </c>
      <c r="E50" s="1187" t="str">
        <f>IFERROR(_xlfn.XLOOKUP(D50,TADIndia,'Rates &amp; Drop Downs INT'!$CH$6:$CH$747),"")</f>
        <v>Experience_Design</v>
      </c>
      <c r="F50" s="1187" t="s">
        <v>1174</v>
      </c>
      <c r="G50" s="1187" t="str">
        <f>IFERROR(_xlfn.XLOOKUP(F50,'Rates &amp; Drop Downs INT'!$CI$6:$CI$747,'Rates &amp; Drop Downs INT'!$CJ$6:$CJ$747),"")</f>
        <v>Design</v>
      </c>
      <c r="H50" s="1187" t="str">
        <f>_xlfn.XLOOKUP(F50,'Rates &amp; Drop Downs INT'!$DF$6:$DF$173,'Rates &amp; Drop Downs INT'!$DG$6:$DG$173,"")</f>
        <v>DESIGNDESIGNSP</v>
      </c>
      <c r="I50" s="1187" t="s">
        <v>3461</v>
      </c>
      <c r="J50" s="1188" t="str">
        <f>C50</f>
        <v>TADNorthAmerica</v>
      </c>
      <c r="K50" s="1682" t="s">
        <v>749</v>
      </c>
      <c r="L50" s="1683"/>
      <c r="M50" s="1684"/>
      <c r="N50" s="1190" cm="1">
        <f t="array" ref="N50">IF($E$20="Credera US",V50,SUMPRODUCT(('Rates &amp; Drop Downs INT'!$CG$6:$CG$747=$D50)*('Rates &amp; Drop Downs INT'!$CI$6:$CI$747=$F50)*('Rates &amp; Drop Downs INT'!$CK$6:$CK$747=$K50)*('Rates &amp; Drop Downs INT'!$CM$6:$CM$747)))</f>
        <v>2</v>
      </c>
      <c r="O50" s="1676"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77"/>
      <c r="Q50" s="1677"/>
      <c r="R50" s="1677"/>
      <c r="S50" s="1678"/>
      <c r="T50" s="1711"/>
      <c r="U50" s="1712"/>
      <c r="V50" s="1222">
        <f>IFERROR(IF(ISBLANK(K50)," ",_xlfn.XLOOKUP(K50,'Rates &amp; Drop Downs INT'!C:C,'Rates &amp; Drop Downs INT'!J:J)),N50)</f>
        <v>2</v>
      </c>
      <c r="W50" s="1203" t="str">
        <f t="shared" si="0"/>
        <v>Onshore</v>
      </c>
      <c r="X50" s="1203"/>
      <c r="Y50" s="880">
        <v>40</v>
      </c>
      <c r="Z50" s="1187"/>
      <c r="AA50" s="1190"/>
      <c r="AB50" s="1274"/>
      <c r="AC50" s="1690" t="s">
        <v>78</v>
      </c>
      <c r="AD50" s="1691"/>
      <c r="AE50" s="881" t="s">
        <v>78</v>
      </c>
      <c r="AF50" s="892"/>
      <c r="AH50" s="1685"/>
      <c r="AI50" s="1685"/>
      <c r="CM50" s="425"/>
    </row>
    <row r="51" spans="3:91" ht="16.05" customHeight="1" x14ac:dyDescent="0.25">
      <c r="C51" s="1186" t="s">
        <v>269</v>
      </c>
      <c r="D51" s="1187" t="s">
        <v>276</v>
      </c>
      <c r="E51" s="1187" t="str">
        <f>IFERROR(_xlfn.XLOOKUP(D51,TADIndia,'Rates &amp; Drop Downs INT'!$CH$6:$CH$747),"")</f>
        <v>Salesforce</v>
      </c>
      <c r="F51" s="1187" t="s">
        <v>1235</v>
      </c>
      <c r="G51" s="1187" t="str">
        <f>IFERROR(_xlfn.XLOOKUP(F51,'Rates &amp; Drop Downs INT'!$CI$6:$CI$747,'Rates &amp; Drop Downs INT'!$CJ$6:$CJ$747),"")</f>
        <v>Salesforce_UI</v>
      </c>
      <c r="H51" s="1187" t="str">
        <f>_xlfn.XLOOKUP(F51,'Rates &amp; Drop Downs INT'!$DF$6:$DF$173,'Rates &amp; Drop Downs INT'!$DG$6:$DG$173,"")</f>
        <v>SALESFORCEUISP</v>
      </c>
      <c r="I51" s="1187" t="s">
        <v>1173</v>
      </c>
      <c r="J51" s="1188" t="str">
        <f t="shared" ref="J51:J112" si="1">C51</f>
        <v>TADIndia</v>
      </c>
      <c r="K51" s="1682" t="s">
        <v>534</v>
      </c>
      <c r="L51" s="1683"/>
      <c r="M51" s="1684"/>
      <c r="N51" s="1190" cm="1">
        <f t="array" ref="N51">IF($E$20="Credera US",V51,SUMPRODUCT(('Rates &amp; Drop Downs INT'!$CG$6:$CG$747=$D51)*('Rates &amp; Drop Downs INT'!$CI$6:$CI$747=$F51)*('Rates &amp; Drop Downs INT'!$CK$6:$CK$747=$K51)*('Rates &amp; Drop Downs INT'!$CM$6:$CM$747)))</f>
        <v>2</v>
      </c>
      <c r="O51" s="1676"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77"/>
      <c r="Q51" s="1677"/>
      <c r="R51" s="1677"/>
      <c r="S51" s="1678"/>
      <c r="T51" s="1711"/>
      <c r="U51" s="1712"/>
      <c r="V51" s="1222">
        <f>IFERROR(IF(ISBLANK(K51)," ",_xlfn.XLOOKUP(K51,'Rates &amp; Drop Downs INT'!C:C,'Rates &amp; Drop Downs INT'!J:J)),N51)</f>
        <v>0</v>
      </c>
      <c r="W51" s="1203" t="str">
        <f t="shared" si="0"/>
        <v>Offshore</v>
      </c>
      <c r="X51" s="1203"/>
      <c r="Y51" s="880">
        <v>40</v>
      </c>
      <c r="Z51" s="1187"/>
      <c r="AA51" s="1190"/>
      <c r="AB51" s="1274"/>
      <c r="AC51" s="1690" t="s">
        <v>78</v>
      </c>
      <c r="AD51" s="1691"/>
      <c r="AE51" s="881"/>
      <c r="AF51" s="892" t="s">
        <v>78</v>
      </c>
      <c r="AH51" s="1685"/>
      <c r="AI51" s="1685"/>
      <c r="CM51" s="425"/>
    </row>
    <row r="52" spans="3:91" ht="16.05" customHeight="1" x14ac:dyDescent="0.25">
      <c r="C52" s="1186" t="s">
        <v>430</v>
      </c>
      <c r="D52" s="1187" t="s">
        <v>262</v>
      </c>
      <c r="E52" s="1187" t="str">
        <f>IFERROR(_xlfn.XLOOKUP(D52,TADIndia,'Rates &amp; Drop Downs INT'!$CH$6:$CH$747),"")</f>
        <v>Adobe</v>
      </c>
      <c r="F52" s="1187" t="s">
        <v>1209</v>
      </c>
      <c r="G52" s="1187" t="str">
        <f>IFERROR(_xlfn.XLOOKUP(F52,'Rates &amp; Drop Downs INT'!$CI$6:$CI$747,'Rates &amp; Drop Downs INT'!$CJ$6:$CJ$747),"")</f>
        <v>Adobe_UI</v>
      </c>
      <c r="H52" s="1187" t="str">
        <f>_xlfn.XLOOKUP(F52,'Rates &amp; Drop Downs INT'!$DF$6:$DF$173,'Rates &amp; Drop Downs INT'!$DG$6:$DG$173,"")</f>
        <v>ADOBEUISP</v>
      </c>
      <c r="I52" s="1187"/>
      <c r="J52" s="1188" t="str">
        <f t="shared" si="1"/>
        <v>TADNorthAmerica</v>
      </c>
      <c r="K52" s="1682" t="s">
        <v>536</v>
      </c>
      <c r="L52" s="1683"/>
      <c r="M52" s="1684"/>
      <c r="N52" s="1190" cm="1">
        <f t="array" ref="N52">IF($E$20="Credera US",V52,SUMPRODUCT(('Rates &amp; Drop Downs INT'!$CG$6:$CG$747=$D52)*('Rates &amp; Drop Downs INT'!$CI$6:$CI$747=$F52)*('Rates &amp; Drop Downs INT'!$CK$6:$CK$747=$K52)*('Rates &amp; Drop Downs INT'!$CM$6:$CM$747)))</f>
        <v>3</v>
      </c>
      <c r="O52" s="1676"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77"/>
      <c r="Q52" s="1677"/>
      <c r="R52" s="1677"/>
      <c r="S52" s="1678"/>
      <c r="T52" s="1711"/>
      <c r="U52" s="1712"/>
      <c r="V52" s="1222">
        <f>IFERROR(IF(ISBLANK(K52)," ",_xlfn.XLOOKUP(K52,'Rates &amp; Drop Downs INT'!C:C,'Rates &amp; Drop Downs INT'!J:J)),N52)</f>
        <v>0</v>
      </c>
      <c r="W52" s="1203" t="str">
        <f t="shared" si="0"/>
        <v>Onshore</v>
      </c>
      <c r="X52" s="1203"/>
      <c r="Y52" s="880">
        <v>40</v>
      </c>
      <c r="Z52" s="1187"/>
      <c r="AA52" s="1190"/>
      <c r="AB52" s="1274"/>
      <c r="AC52" s="1690" t="s">
        <v>78</v>
      </c>
      <c r="AD52" s="1691"/>
      <c r="AE52" s="881"/>
      <c r="AF52" s="892"/>
      <c r="AH52" s="1685"/>
      <c r="AI52" s="1685"/>
      <c r="CM52" s="425"/>
    </row>
    <row r="53" spans="3:91" ht="16.05" customHeight="1" x14ac:dyDescent="0.25">
      <c r="C53" s="1186" t="s">
        <v>269</v>
      </c>
      <c r="D53" s="1187" t="s">
        <v>288</v>
      </c>
      <c r="E53" s="1187" t="str">
        <f>IFERROR(_xlfn.XLOOKUP(D53,TADIndia,'Rates &amp; Drop Downs INT'!$CH$6:$CH$747),"")</f>
        <v>MACH</v>
      </c>
      <c r="F53" s="1187" t="s">
        <v>1225</v>
      </c>
      <c r="G53" s="1187" t="str">
        <f>IFERROR(_xlfn.XLOOKUP(F53,'Rates &amp; Drop Downs INT'!$CI$6:$CI$747,'Rates &amp; Drop Downs INT'!$CJ$6:$CJ$747),"")</f>
        <v>MACH_DevOps</v>
      </c>
      <c r="H53" s="1187" t="str">
        <f>_xlfn.XLOOKUP(F53,'Rates &amp; Drop Downs INT'!$DF$6:$DF$173,'Rates &amp; Drop Downs INT'!$DG$6:$DG$173,"")</f>
        <v>MACHDEVOPSSP</v>
      </c>
      <c r="I53" s="1187"/>
      <c r="J53" s="1188" t="str">
        <f t="shared" si="1"/>
        <v>TADIndia</v>
      </c>
      <c r="K53" s="1682" t="s">
        <v>3363</v>
      </c>
      <c r="L53" s="1683"/>
      <c r="M53" s="1684"/>
      <c r="N53" s="1190" cm="1">
        <f t="array" ref="N53">IF($E$20="Credera US",V53,SUMPRODUCT(('Rates &amp; Drop Downs INT'!$CG$6:$CG$747=$D53)*('Rates &amp; Drop Downs INT'!$CI$6:$CI$747=$F53)*('Rates &amp; Drop Downs INT'!$CK$6:$CK$747=$K53)*('Rates &amp; Drop Downs INT'!$CM$6:$CM$747)))</f>
        <v>2</v>
      </c>
      <c r="O53" s="1676"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77"/>
      <c r="Q53" s="1677"/>
      <c r="R53" s="1677"/>
      <c r="S53" s="1678"/>
      <c r="T53" s="1711"/>
      <c r="U53" s="1712"/>
      <c r="V53" s="1222">
        <f>IFERROR(IF(ISBLANK(K53)," ",_xlfn.XLOOKUP(K53,'Rates &amp; Drop Downs INT'!C:C,'Rates &amp; Drop Downs INT'!J:J)),N53)</f>
        <v>2</v>
      </c>
      <c r="W53" s="1203" t="str">
        <f t="shared" si="0"/>
        <v>Offshore</v>
      </c>
      <c r="X53" s="1203"/>
      <c r="Y53" s="880">
        <v>32</v>
      </c>
      <c r="Z53" s="1187"/>
      <c r="AA53" s="1190"/>
      <c r="AB53" s="1274"/>
      <c r="AC53" s="1690"/>
      <c r="AD53" s="1691"/>
      <c r="AE53" s="881"/>
      <c r="AF53" s="892"/>
      <c r="AH53" s="1685"/>
      <c r="AI53" s="1685"/>
      <c r="CM53" s="425"/>
    </row>
    <row r="54" spans="3:91" ht="16.05" customHeight="1" x14ac:dyDescent="0.25">
      <c r="C54" s="1186" t="s">
        <v>269</v>
      </c>
      <c r="D54" s="1187" t="s">
        <v>262</v>
      </c>
      <c r="E54" s="1187" t="str">
        <f>IFERROR(_xlfn.XLOOKUP(D54,TADIndia,'Rates &amp; Drop Downs INT'!$CH$6:$CH$747),"")</f>
        <v>Adobe</v>
      </c>
      <c r="F54" s="1187" t="s">
        <v>2543</v>
      </c>
      <c r="G54" s="1187" t="str">
        <f>IFERROR(_xlfn.XLOOKUP(F54,'Rates &amp; Drop Downs INT'!$CI$6:$CI$747,'Rates &amp; Drop Downs INT'!$CJ$6:$CJ$747),"")</f>
        <v>Adobe_BA</v>
      </c>
      <c r="H54" s="1187" t="str">
        <f>_xlfn.XLOOKUP(F54,'Rates &amp; Drop Downs INT'!$DF$6:$DF$173,'Rates &amp; Drop Downs INT'!$DG$6:$DG$173,"")</f>
        <v>ADOBEBASP</v>
      </c>
      <c r="I54" s="1187"/>
      <c r="J54" s="1188"/>
      <c r="K54" s="1682" t="s">
        <v>380</v>
      </c>
      <c r="L54" s="1683"/>
      <c r="M54" s="1684"/>
      <c r="N54" s="1190" cm="1">
        <f t="array" ref="N54">IF($E$20="Credera US",V54,SUMPRODUCT(('Rates &amp; Drop Downs INT'!$CG$6:$CG$747=$D54)*('Rates &amp; Drop Downs INT'!$CI$6:$CI$747=$F54)*('Rates &amp; Drop Downs INT'!$CK$6:$CK$747=$K54)*('Rates &amp; Drop Downs INT'!$CM$6:$CM$747)))</f>
        <v>2</v>
      </c>
      <c r="O54" s="1676"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77"/>
      <c r="Q54" s="1677"/>
      <c r="R54" s="1677"/>
      <c r="S54" s="1678"/>
      <c r="T54" s="1711"/>
      <c r="U54" s="1712"/>
      <c r="V54" s="1222">
        <f>IFERROR(IF(ISBLANK(K54)," ",_xlfn.XLOOKUP(K54,'Rates &amp; Drop Downs INT'!C:C,'Rates &amp; Drop Downs INT'!J:J)),N54)</f>
        <v>2</v>
      </c>
      <c r="W54" s="1203" t="str">
        <f t="shared" si="0"/>
        <v>Offshore</v>
      </c>
      <c r="X54" s="1203"/>
      <c r="Y54" s="880">
        <v>40</v>
      </c>
      <c r="Z54" s="1187"/>
      <c r="AA54" s="1190"/>
      <c r="AB54" s="1274"/>
      <c r="AC54" s="1690"/>
      <c r="AD54" s="1691"/>
      <c r="AE54" s="881"/>
      <c r="AF54" s="892"/>
      <c r="AH54" s="1685"/>
      <c r="AI54" s="1685"/>
      <c r="CM54" s="425"/>
    </row>
    <row r="55" spans="3:91" ht="16.05" customHeight="1" x14ac:dyDescent="0.25">
      <c r="C55" s="1186" t="s">
        <v>269</v>
      </c>
      <c r="D55" s="1187" t="s">
        <v>336</v>
      </c>
      <c r="E55" s="1187" t="str">
        <f>IFERROR(_xlfn.XLOOKUP(D55,TADIndia,'Rates &amp; Drop Downs INT'!$CH$6:$CH$747),"")</f>
        <v>Delivery</v>
      </c>
      <c r="F55" s="1187" t="s">
        <v>336</v>
      </c>
      <c r="G55" s="1187" t="str">
        <f>IFERROR(_xlfn.XLOOKUP(F55,'Rates &amp; Drop Downs INT'!$CI$6:$CI$747,'Rates &amp; Drop Downs INT'!$CJ$6:$CJ$747),"")</f>
        <v>Delivery_Delivery</v>
      </c>
      <c r="H55" s="1187" t="str">
        <f>_xlfn.XLOOKUP(F55,'Rates &amp; Drop Downs INT'!$DF$6:$DF$173,'Rates &amp; Drop Downs INT'!$DG$6:$DG$173,"")</f>
        <v>DELIVERYDELIVERYSP</v>
      </c>
      <c r="I55" s="1187"/>
      <c r="J55" s="1188" t="str">
        <f t="shared" si="1"/>
        <v>TADIndia</v>
      </c>
      <c r="K55" s="1682" t="s">
        <v>444</v>
      </c>
      <c r="L55" s="1683"/>
      <c r="M55" s="1684"/>
      <c r="N55" s="1190" cm="1">
        <f t="array" ref="N55">IF($E$20="Credera US",V55,SUMPRODUCT(('Rates &amp; Drop Downs INT'!$CG$6:$CG$747=$D55)*('Rates &amp; Drop Downs INT'!$CI$6:$CI$747=$F55)*('Rates &amp; Drop Downs INT'!$CK$6:$CK$747=$K55)*('Rates &amp; Drop Downs INT'!$CM$6:$CM$747)))</f>
        <v>5</v>
      </c>
      <c r="O55" s="1676"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77"/>
      <c r="Q55" s="1677"/>
      <c r="R55" s="1677"/>
      <c r="S55" s="1678"/>
      <c r="T55" s="1711"/>
      <c r="U55" s="1712"/>
      <c r="V55" s="1222">
        <f>IFERROR(IF(ISBLANK(K55)," ",_xlfn.XLOOKUP(K55,'Rates &amp; Drop Downs INT'!C:C,'Rates &amp; Drop Downs INT'!J:J)),N55)</f>
        <v>0</v>
      </c>
      <c r="W55" s="1203" t="str">
        <f t="shared" si="0"/>
        <v>Offshore</v>
      </c>
      <c r="X55" s="1203"/>
      <c r="Y55" s="880">
        <v>20</v>
      </c>
      <c r="Z55" s="1187"/>
      <c r="AA55" s="1190"/>
      <c r="AB55" s="1274"/>
      <c r="AC55" s="1690"/>
      <c r="AD55" s="1691"/>
      <c r="AE55" s="881"/>
      <c r="AF55" s="892"/>
      <c r="AH55" s="1685"/>
      <c r="AI55" s="1685"/>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2"/>
      <c r="L56" s="1683"/>
      <c r="M56" s="1684"/>
      <c r="N56" s="1190" cm="1">
        <f t="array" ref="N56">IF($E$20="Credera US",V56,SUMPRODUCT(('Rates &amp; Drop Downs INT'!$CG$6:$CG$747=$D56)*('Rates &amp; Drop Downs INT'!$CI$6:$CI$747=$F56)*('Rates &amp; Drop Downs INT'!$CK$6:$CK$747=$K56)*('Rates &amp; Drop Downs INT'!$CM$6:$CM$747)))</f>
        <v>0</v>
      </c>
      <c r="O56" s="1676"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77"/>
      <c r="Q56" s="1677"/>
      <c r="R56" s="1677"/>
      <c r="S56" s="1678"/>
      <c r="T56" s="1711"/>
      <c r="U56" s="1712"/>
      <c r="V56" s="1222" t="str">
        <f>IFERROR(IF(ISBLANK(K56)," ",_xlfn.XLOOKUP(K56,'Rates &amp; Drop Downs INT'!C:C,'Rates &amp; Drop Downs INT'!J:J)),N56)</f>
        <v xml:space="preserve"> </v>
      </c>
      <c r="W56" s="1203" t="str">
        <f t="shared" si="0"/>
        <v xml:space="preserve"> </v>
      </c>
      <c r="X56" s="1203"/>
      <c r="Y56" s="880" t="s">
        <v>2271</v>
      </c>
      <c r="Z56" s="1187"/>
      <c r="AA56" s="1190"/>
      <c r="AB56" s="1274"/>
      <c r="AC56" s="1690"/>
      <c r="AD56" s="1691"/>
      <c r="AE56" s="881"/>
      <c r="AF56" s="892"/>
      <c r="AH56" s="1685"/>
      <c r="AI56" s="168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2"/>
      <c r="L57" s="1683"/>
      <c r="M57" s="1684"/>
      <c r="N57" s="1190" cm="1">
        <f t="array" ref="N57">IF($E$20="Credera US",V57,SUMPRODUCT(('Rates &amp; Drop Downs INT'!$CG$6:$CG$747=$D57)*('Rates &amp; Drop Downs INT'!$CI$6:$CI$747=$F57)*('Rates &amp; Drop Downs INT'!$CK$6:$CK$747=$K57)*('Rates &amp; Drop Downs INT'!$CM$6:$CM$747)))</f>
        <v>0</v>
      </c>
      <c r="O57" s="1676"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77"/>
      <c r="Q57" s="1677"/>
      <c r="R57" s="1677"/>
      <c r="S57" s="1678"/>
      <c r="T57" s="1711"/>
      <c r="U57" s="1712"/>
      <c r="V57" s="1222" t="str">
        <f>IFERROR(IF(ISBLANK(K57)," ",_xlfn.XLOOKUP(K57,'Rates &amp; Drop Downs INT'!C:C,'Rates &amp; Drop Downs INT'!J:J)),N57)</f>
        <v xml:space="preserve"> </v>
      </c>
      <c r="W57" s="1203" t="str">
        <f t="shared" si="0"/>
        <v xml:space="preserve"> </v>
      </c>
      <c r="X57" s="1203"/>
      <c r="Y57" s="880" t="s">
        <v>2271</v>
      </c>
      <c r="Z57" s="1187"/>
      <c r="AA57" s="1190"/>
      <c r="AB57" s="1274"/>
      <c r="AC57" s="1690"/>
      <c r="AD57" s="1691"/>
      <c r="AE57" s="881"/>
      <c r="AF57" s="892"/>
      <c r="AH57" s="1685"/>
      <c r="AI57" s="168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2"/>
      <c r="L58" s="1683"/>
      <c r="M58" s="1684"/>
      <c r="N58" s="1190" cm="1">
        <f t="array" ref="N58">IF($E$20="Credera US",V58,SUMPRODUCT(('Rates &amp; Drop Downs INT'!$CG$6:$CG$747=$D58)*('Rates &amp; Drop Downs INT'!$CI$6:$CI$747=$F58)*('Rates &amp; Drop Downs INT'!$CK$6:$CK$747=$K58)*('Rates &amp; Drop Downs INT'!$CM$6:$CM$747)))</f>
        <v>0</v>
      </c>
      <c r="O58" s="1676"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77"/>
      <c r="Q58" s="1677"/>
      <c r="R58" s="1677"/>
      <c r="S58" s="1678"/>
      <c r="T58" s="1711"/>
      <c r="U58" s="1712"/>
      <c r="V58" s="1222" t="str">
        <f>IFERROR(IF(ISBLANK(K58)," ",_xlfn.XLOOKUP(K58,'Rates &amp; Drop Downs INT'!C:C,'Rates &amp; Drop Downs INT'!J:J)),N58)</f>
        <v xml:space="preserve"> </v>
      </c>
      <c r="W58" s="1203" t="str">
        <f t="shared" si="0"/>
        <v xml:space="preserve"> </v>
      </c>
      <c r="X58" s="1203"/>
      <c r="Y58" s="880" t="s">
        <v>2271</v>
      </c>
      <c r="Z58" s="1187"/>
      <c r="AA58" s="1190"/>
      <c r="AB58" s="1274"/>
      <c r="AC58" s="1690"/>
      <c r="AD58" s="1691"/>
      <c r="AE58" s="881"/>
      <c r="AF58" s="892"/>
      <c r="AH58" s="1685"/>
      <c r="AI58" s="168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2"/>
      <c r="L59" s="1683"/>
      <c r="M59" s="1684"/>
      <c r="N59" s="1190" cm="1">
        <f t="array" ref="N59">IF($E$20="Credera US",V59,SUMPRODUCT(('Rates &amp; Drop Downs INT'!$CG$6:$CG$747=$D59)*('Rates &amp; Drop Downs INT'!$CI$6:$CI$747=$F59)*('Rates &amp; Drop Downs INT'!$CK$6:$CK$747=$K59)*('Rates &amp; Drop Downs INT'!$CM$6:$CM$747)))</f>
        <v>0</v>
      </c>
      <c r="O59" s="1676"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77"/>
      <c r="Q59" s="1677"/>
      <c r="R59" s="1677"/>
      <c r="S59" s="1678"/>
      <c r="T59" s="1711"/>
      <c r="U59" s="1712"/>
      <c r="V59" s="1222" t="str">
        <f>IFERROR(IF(ISBLANK(K59)," ",_xlfn.XLOOKUP(K59,'Rates &amp; Drop Downs INT'!C:C,'Rates &amp; Drop Downs INT'!J:J)),N59)</f>
        <v xml:space="preserve"> </v>
      </c>
      <c r="W59" s="1203" t="str">
        <f t="shared" si="0"/>
        <v xml:space="preserve"> </v>
      </c>
      <c r="X59" s="1203"/>
      <c r="Y59" s="880" t="s">
        <v>2271</v>
      </c>
      <c r="Z59" s="1187"/>
      <c r="AA59" s="1190"/>
      <c r="AB59" s="1274"/>
      <c r="AC59" s="1690"/>
      <c r="AD59" s="1691"/>
      <c r="AE59" s="881"/>
      <c r="AF59" s="892"/>
      <c r="AH59" s="1685"/>
      <c r="AI59" s="168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2"/>
      <c r="L60" s="1683"/>
      <c r="M60" s="1684"/>
      <c r="N60" s="1190" cm="1">
        <f t="array" ref="N60">IF($E$20="Credera US",V60,SUMPRODUCT(('Rates &amp; Drop Downs INT'!$CG$6:$CG$747=$D60)*('Rates &amp; Drop Downs INT'!$CI$6:$CI$747=$F60)*('Rates &amp; Drop Downs INT'!$CK$6:$CK$747=$K60)*('Rates &amp; Drop Downs INT'!$CM$6:$CM$747)))</f>
        <v>0</v>
      </c>
      <c r="O60" s="1676"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77"/>
      <c r="Q60" s="1677"/>
      <c r="R60" s="1677"/>
      <c r="S60" s="1678"/>
      <c r="T60" s="1711"/>
      <c r="U60" s="1712"/>
      <c r="V60" s="1222" t="str">
        <f>IFERROR(IF(ISBLANK(K60)," ",_xlfn.XLOOKUP(K60,'Rates &amp; Drop Downs INT'!C:C,'Rates &amp; Drop Downs INT'!J:J)),N60)</f>
        <v xml:space="preserve"> </v>
      </c>
      <c r="W60" s="1203" t="str">
        <f t="shared" si="0"/>
        <v xml:space="preserve"> </v>
      </c>
      <c r="X60" s="1203"/>
      <c r="Y60" s="880" t="s">
        <v>2271</v>
      </c>
      <c r="Z60" s="1187"/>
      <c r="AA60" s="1190"/>
      <c r="AB60" s="1274"/>
      <c r="AC60" s="1690"/>
      <c r="AD60" s="1691"/>
      <c r="AE60" s="881"/>
      <c r="AF60" s="892"/>
      <c r="AH60" s="1685"/>
      <c r="AI60" s="168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2"/>
      <c r="L61" s="1683"/>
      <c r="M61" s="1684"/>
      <c r="N61" s="1190" cm="1">
        <f t="array" ref="N61">IF($E$20="Credera US",V61,SUMPRODUCT(('Rates &amp; Drop Downs INT'!$CG$6:$CG$747=$D61)*('Rates &amp; Drop Downs INT'!$CI$6:$CI$747=$F61)*('Rates &amp; Drop Downs INT'!$CK$6:$CK$747=$K61)*('Rates &amp; Drop Downs INT'!$CM$6:$CM$747)))</f>
        <v>0</v>
      </c>
      <c r="O61" s="1676"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77"/>
      <c r="Q61" s="1677"/>
      <c r="R61" s="1677"/>
      <c r="S61" s="1678"/>
      <c r="T61" s="1711"/>
      <c r="U61" s="1712"/>
      <c r="V61" s="1222" t="str">
        <f>IFERROR(IF(ISBLANK(K61)," ",_xlfn.XLOOKUP(K61,'Rates &amp; Drop Downs INT'!C:C,'Rates &amp; Drop Downs INT'!J:J)),N61)</f>
        <v xml:space="preserve"> </v>
      </c>
      <c r="W61" s="1203" t="str">
        <f t="shared" si="0"/>
        <v xml:space="preserve"> </v>
      </c>
      <c r="X61" s="1203"/>
      <c r="Y61" s="880" t="s">
        <v>2271</v>
      </c>
      <c r="Z61" s="1187"/>
      <c r="AA61" s="1190"/>
      <c r="AB61" s="1274"/>
      <c r="AC61" s="1690"/>
      <c r="AD61" s="1691"/>
      <c r="AE61" s="881"/>
      <c r="AF61" s="892"/>
      <c r="AH61" s="1685"/>
      <c r="AI61" s="168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2"/>
      <c r="L62" s="1683"/>
      <c r="M62" s="1684"/>
      <c r="N62" s="1190" cm="1">
        <f t="array" ref="N62">IF($E$20="Credera US",V62,SUMPRODUCT(('Rates &amp; Drop Downs INT'!$CG$6:$CG$747=$D62)*('Rates &amp; Drop Downs INT'!$CI$6:$CI$747=$F62)*('Rates &amp; Drop Downs INT'!$CK$6:$CK$747=$K62)*('Rates &amp; Drop Downs INT'!$CM$6:$CM$747)))</f>
        <v>0</v>
      </c>
      <c r="O62" s="1676"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77"/>
      <c r="Q62" s="1677"/>
      <c r="R62" s="1677"/>
      <c r="S62" s="1678"/>
      <c r="T62" s="1711"/>
      <c r="U62" s="1712"/>
      <c r="V62" s="1222" t="str">
        <f>IFERROR(IF(ISBLANK(K62)," ",_xlfn.XLOOKUP(K62,'Rates &amp; Drop Downs INT'!C:C,'Rates &amp; Drop Downs INT'!J:J)),N62)</f>
        <v xml:space="preserve"> </v>
      </c>
      <c r="W62" s="1203" t="str">
        <f t="shared" si="0"/>
        <v xml:space="preserve"> </v>
      </c>
      <c r="X62" s="1203"/>
      <c r="Y62" s="880" t="s">
        <v>2271</v>
      </c>
      <c r="Z62" s="1187"/>
      <c r="AA62" s="1190"/>
      <c r="AB62" s="1274"/>
      <c r="AC62" s="1690"/>
      <c r="AD62" s="1691"/>
      <c r="AE62" s="881"/>
      <c r="AF62" s="892"/>
      <c r="AH62" s="1685"/>
      <c r="AI62" s="168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2"/>
      <c r="L63" s="1683"/>
      <c r="M63" s="1684"/>
      <c r="N63" s="1190" cm="1">
        <f t="array" ref="N63">IF($E$20="Credera US",V63,SUMPRODUCT(('Rates &amp; Drop Downs INT'!$CG$6:$CG$747=$D63)*('Rates &amp; Drop Downs INT'!$CI$6:$CI$747=$F63)*('Rates &amp; Drop Downs INT'!$CK$6:$CK$747=$K63)*('Rates &amp; Drop Downs INT'!$CM$6:$CM$747)))</f>
        <v>0</v>
      </c>
      <c r="O63" s="1676"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77"/>
      <c r="Q63" s="1677"/>
      <c r="R63" s="1677"/>
      <c r="S63" s="1678"/>
      <c r="T63" s="1711"/>
      <c r="U63" s="1712"/>
      <c r="V63" s="1222" t="str">
        <f>IFERROR(IF(ISBLANK(K63)," ",_xlfn.XLOOKUP(K63,'Rates &amp; Drop Downs INT'!C:C,'Rates &amp; Drop Downs INT'!J:J)),N63)</f>
        <v xml:space="preserve"> </v>
      </c>
      <c r="W63" s="1203" t="str">
        <f t="shared" si="0"/>
        <v xml:space="preserve"> </v>
      </c>
      <c r="X63" s="1203"/>
      <c r="Y63" s="880" t="s">
        <v>2271</v>
      </c>
      <c r="Z63" s="1187"/>
      <c r="AA63" s="1190"/>
      <c r="AB63" s="1274"/>
      <c r="AC63" s="1690"/>
      <c r="AD63" s="1691"/>
      <c r="AE63" s="881"/>
      <c r="AF63" s="892"/>
      <c r="AH63" s="1685"/>
      <c r="AI63" s="168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2"/>
      <c r="L64" s="1683"/>
      <c r="M64" s="1684"/>
      <c r="N64" s="1190" cm="1">
        <f t="array" ref="N64">IF($E$20="Credera US",V64,SUMPRODUCT(('Rates &amp; Drop Downs INT'!$CG$6:$CG$747=$D64)*('Rates &amp; Drop Downs INT'!$CI$6:$CI$747=$F64)*('Rates &amp; Drop Downs INT'!$CK$6:$CK$747=$K64)*('Rates &amp; Drop Downs INT'!$CM$6:$CM$747)))</f>
        <v>0</v>
      </c>
      <c r="O64" s="1676"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77"/>
      <c r="Q64" s="1677"/>
      <c r="R64" s="1677"/>
      <c r="S64" s="1678"/>
      <c r="T64" s="1711"/>
      <c r="U64" s="1712"/>
      <c r="V64" s="1222" t="str">
        <f>IFERROR(IF(ISBLANK(K64)," ",_xlfn.XLOOKUP(K64,'Rates &amp; Drop Downs INT'!C:C,'Rates &amp; Drop Downs INT'!J:J)),N64)</f>
        <v xml:space="preserve"> </v>
      </c>
      <c r="W64" s="1203" t="str">
        <f t="shared" si="0"/>
        <v xml:space="preserve"> </v>
      </c>
      <c r="X64" s="1203"/>
      <c r="Y64" s="880" t="s">
        <v>2271</v>
      </c>
      <c r="Z64" s="1187"/>
      <c r="AA64" s="1190"/>
      <c r="AB64" s="1274"/>
      <c r="AC64" s="1690"/>
      <c r="AD64" s="1691"/>
      <c r="AE64" s="881"/>
      <c r="AF64" s="892"/>
      <c r="AH64" s="1685"/>
      <c r="AI64" s="1685"/>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2"/>
      <c r="L65" s="1683"/>
      <c r="M65" s="1684"/>
      <c r="N65" s="1190" cm="1">
        <f t="array" ref="N65">IF($E$20="Credera US",V65,SUMPRODUCT(('Rates &amp; Drop Downs INT'!$CG$6:$CG$747=$D65)*('Rates &amp; Drop Downs INT'!$CI$6:$CI$747=$F65)*('Rates &amp; Drop Downs INT'!$CK$6:$CK$747=$K65)*('Rates &amp; Drop Downs INT'!$CM$6:$CM$747)))</f>
        <v>0</v>
      </c>
      <c r="O65" s="1676"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77"/>
      <c r="Q65" s="1677"/>
      <c r="R65" s="1677"/>
      <c r="S65" s="1678"/>
      <c r="T65" s="1711"/>
      <c r="U65" s="1712"/>
      <c r="V65" s="1222" t="str">
        <f>IFERROR(IF(ISBLANK(K65)," ",_xlfn.XLOOKUP(K65,'Rates &amp; Drop Downs INT'!C:C,'Rates &amp; Drop Downs INT'!J:J)),N65)</f>
        <v xml:space="preserve"> </v>
      </c>
      <c r="W65" s="1203" t="str">
        <f t="shared" si="0"/>
        <v xml:space="preserve"> </v>
      </c>
      <c r="X65" s="1203"/>
      <c r="Y65" s="880" t="s">
        <v>2271</v>
      </c>
      <c r="Z65" s="1187"/>
      <c r="AA65" s="1190"/>
      <c r="AB65" s="1274"/>
      <c r="AC65" s="1690"/>
      <c r="AD65" s="1691"/>
      <c r="AE65" s="881"/>
      <c r="AF65" s="892"/>
      <c r="AH65" s="1685"/>
      <c r="AI65" s="1685"/>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2"/>
      <c r="L66" s="1683"/>
      <c r="M66" s="1684"/>
      <c r="N66" s="1190" cm="1">
        <f t="array" ref="N66">IF($E$20="Credera US",V66,SUMPRODUCT(('Rates &amp; Drop Downs INT'!$CG$6:$CG$747=$D66)*('Rates &amp; Drop Downs INT'!$CI$6:$CI$747=$F66)*('Rates &amp; Drop Downs INT'!$CK$6:$CK$747=$K66)*('Rates &amp; Drop Downs INT'!$CM$6:$CM$747)))</f>
        <v>0</v>
      </c>
      <c r="O66" s="1676"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77"/>
      <c r="Q66" s="1677"/>
      <c r="R66" s="1677"/>
      <c r="S66" s="1678"/>
      <c r="T66" s="1711"/>
      <c r="U66" s="1712"/>
      <c r="V66" s="1222" t="str">
        <f>IFERROR(IF(ISBLANK(K66)," ",_xlfn.XLOOKUP(K66,'Rates &amp; Drop Downs INT'!C:C,'Rates &amp; Drop Downs INT'!J:J)),N66)</f>
        <v xml:space="preserve"> </v>
      </c>
      <c r="W66" s="1203" t="str">
        <f t="shared" si="0"/>
        <v xml:space="preserve"> </v>
      </c>
      <c r="X66" s="1203"/>
      <c r="Y66" s="880" t="s">
        <v>2271</v>
      </c>
      <c r="Z66" s="1187"/>
      <c r="AA66" s="1190"/>
      <c r="AB66" s="1274"/>
      <c r="AC66" s="1690"/>
      <c r="AD66" s="1691"/>
      <c r="AE66" s="881"/>
      <c r="AF66" s="892"/>
      <c r="AH66" s="1685"/>
      <c r="AI66" s="1685"/>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2"/>
      <c r="L67" s="1683"/>
      <c r="M67" s="1684"/>
      <c r="N67" s="1190" cm="1">
        <f t="array" ref="N67">IF($E$20="Credera US",V67,SUMPRODUCT(('Rates &amp; Drop Downs INT'!$CG$6:$CG$747=$D67)*('Rates &amp; Drop Downs INT'!$CI$6:$CI$747=$F67)*('Rates &amp; Drop Downs INT'!$CK$6:$CK$747=$K67)*('Rates &amp; Drop Downs INT'!$CM$6:$CM$747)))</f>
        <v>0</v>
      </c>
      <c r="O67" s="1676"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77"/>
      <c r="Q67" s="1677"/>
      <c r="R67" s="1677"/>
      <c r="S67" s="1678"/>
      <c r="T67" s="1711"/>
      <c r="U67" s="1712"/>
      <c r="V67" s="1222" t="str">
        <f>IFERROR(IF(ISBLANK(K67)," ",_xlfn.XLOOKUP(K67,'Rates &amp; Drop Downs INT'!C:C,'Rates &amp; Drop Downs INT'!J:J)),N67)</f>
        <v xml:space="preserve"> </v>
      </c>
      <c r="W67" s="1203" t="str">
        <f t="shared" si="0"/>
        <v xml:space="preserve"> </v>
      </c>
      <c r="X67" s="1203"/>
      <c r="Y67" s="880" t="s">
        <v>2271</v>
      </c>
      <c r="Z67" s="1187"/>
      <c r="AA67" s="1190"/>
      <c r="AB67" s="1274"/>
      <c r="AC67" s="1690"/>
      <c r="AD67" s="1691"/>
      <c r="AE67" s="881"/>
      <c r="AF67" s="892"/>
      <c r="AH67" s="1685"/>
      <c r="AI67" s="1685"/>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2"/>
      <c r="L68" s="1683"/>
      <c r="M68" s="1684"/>
      <c r="N68" s="1190" cm="1">
        <f t="array" ref="N68">IF($E$20="Credera US",V68,SUMPRODUCT(('Rates &amp; Drop Downs INT'!$CG$6:$CG$747=$D68)*('Rates &amp; Drop Downs INT'!$CI$6:$CI$747=$F68)*('Rates &amp; Drop Downs INT'!$CK$6:$CK$747=$K68)*('Rates &amp; Drop Downs INT'!$CM$6:$CM$747)))</f>
        <v>0</v>
      </c>
      <c r="O68" s="1676"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77"/>
      <c r="Q68" s="1677"/>
      <c r="R68" s="1677"/>
      <c r="S68" s="1678"/>
      <c r="T68" s="1711"/>
      <c r="U68" s="1712"/>
      <c r="V68" s="1222" t="str">
        <f>IFERROR(IF(ISBLANK(K68)," ",_xlfn.XLOOKUP(K68,'Rates &amp; Drop Downs INT'!C:C,'Rates &amp; Drop Downs INT'!J:J)),N68)</f>
        <v xml:space="preserve"> </v>
      </c>
      <c r="W68" s="1203" t="str">
        <f t="shared" si="0"/>
        <v xml:space="preserve"> </v>
      </c>
      <c r="X68" s="1203"/>
      <c r="Y68" s="880" t="s">
        <v>2271</v>
      </c>
      <c r="Z68" s="1187"/>
      <c r="AA68" s="1190"/>
      <c r="AB68" s="1274"/>
      <c r="AC68" s="1690"/>
      <c r="AD68" s="1691"/>
      <c r="AE68" s="881"/>
      <c r="AF68" s="892"/>
      <c r="AH68" s="1685"/>
      <c r="AI68" s="1685"/>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2"/>
      <c r="L69" s="1683"/>
      <c r="M69" s="1684"/>
      <c r="N69" s="1190" cm="1">
        <f t="array" ref="N69">IF($E$20="Credera US",V69,SUMPRODUCT(('Rates &amp; Drop Downs INT'!$CG$6:$CG$747=$D69)*('Rates &amp; Drop Downs INT'!$CI$6:$CI$747=$F69)*('Rates &amp; Drop Downs INT'!$CK$6:$CK$747=$K69)*('Rates &amp; Drop Downs INT'!$CM$6:$CM$747)))</f>
        <v>0</v>
      </c>
      <c r="O69" s="1676"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77"/>
      <c r="Q69" s="1677"/>
      <c r="R69" s="1677"/>
      <c r="S69" s="1678"/>
      <c r="T69" s="1711"/>
      <c r="U69" s="1712"/>
      <c r="V69" s="1222" t="str">
        <f>IFERROR(IF(ISBLANK(K69)," ",_xlfn.XLOOKUP(K69,'Rates &amp; Drop Downs INT'!C:C,'Rates &amp; Drop Downs INT'!J:J)),N69)</f>
        <v xml:space="preserve"> </v>
      </c>
      <c r="W69" s="1203" t="str">
        <f t="shared" si="0"/>
        <v xml:space="preserve"> </v>
      </c>
      <c r="X69" s="1203"/>
      <c r="Y69" s="880" t="s">
        <v>2271</v>
      </c>
      <c r="Z69" s="1187"/>
      <c r="AA69" s="1190"/>
      <c r="AB69" s="1274"/>
      <c r="AC69" s="1690"/>
      <c r="AD69" s="1691"/>
      <c r="AE69" s="881"/>
      <c r="AF69" s="892"/>
      <c r="AH69" s="1685"/>
      <c r="AI69" s="1685"/>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2"/>
      <c r="L70" s="1683"/>
      <c r="M70" s="1684"/>
      <c r="N70" s="1190" cm="1">
        <f t="array" ref="N70">IF($E$20="Credera US",V70,SUMPRODUCT(('Rates &amp; Drop Downs INT'!$CG$6:$CG$747=$D70)*('Rates &amp; Drop Downs INT'!$CI$6:$CI$747=$F70)*('Rates &amp; Drop Downs INT'!$CK$6:$CK$747=$K70)*('Rates &amp; Drop Downs INT'!$CM$6:$CM$747)))</f>
        <v>0</v>
      </c>
      <c r="O70" s="1676"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77"/>
      <c r="Q70" s="1677"/>
      <c r="R70" s="1677"/>
      <c r="S70" s="1678"/>
      <c r="T70" s="1711"/>
      <c r="U70" s="1712"/>
      <c r="V70" s="1222" t="str">
        <f>IFERROR(IF(ISBLANK(K70)," ",_xlfn.XLOOKUP(K70,'Rates &amp; Drop Downs INT'!C:C,'Rates &amp; Drop Downs INT'!J:J)),N70)</f>
        <v xml:space="preserve"> </v>
      </c>
      <c r="W70" s="1203" t="str">
        <f t="shared" si="0"/>
        <v xml:space="preserve"> </v>
      </c>
      <c r="X70" s="1203"/>
      <c r="Y70" s="880" t="s">
        <v>2271</v>
      </c>
      <c r="Z70" s="1187"/>
      <c r="AA70" s="1190"/>
      <c r="AB70" s="1274"/>
      <c r="AC70" s="1690"/>
      <c r="AD70" s="1691"/>
      <c r="AE70" s="881"/>
      <c r="AF70" s="892"/>
      <c r="AH70" s="1685"/>
      <c r="AI70" s="1685"/>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2"/>
      <c r="L71" s="1683"/>
      <c r="M71" s="1684"/>
      <c r="N71" s="1190" cm="1">
        <f t="array" ref="N71">IF($E$20="Credera US",V71,SUMPRODUCT(('Rates &amp; Drop Downs INT'!$CG$6:$CG$747=$D71)*('Rates &amp; Drop Downs INT'!$CI$6:$CI$747=$F71)*('Rates &amp; Drop Downs INT'!$CK$6:$CK$747=$K71)*('Rates &amp; Drop Downs INT'!$CM$6:$CM$747)))</f>
        <v>0</v>
      </c>
      <c r="O71" s="1676"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77"/>
      <c r="Q71" s="1677"/>
      <c r="R71" s="1677"/>
      <c r="S71" s="1678"/>
      <c r="T71" s="1711"/>
      <c r="U71" s="1712"/>
      <c r="V71" s="1222" t="str">
        <f>IFERROR(IF(ISBLANK(K71)," ",_xlfn.XLOOKUP(K71,'Rates &amp; Drop Downs INT'!C:C,'Rates &amp; Drop Downs INT'!J:J)),N71)</f>
        <v xml:space="preserve"> </v>
      </c>
      <c r="W71" s="1203" t="str">
        <f t="shared" si="0"/>
        <v xml:space="preserve"> </v>
      </c>
      <c r="X71" s="1203"/>
      <c r="Y71" s="880" t="s">
        <v>2271</v>
      </c>
      <c r="Z71" s="1187"/>
      <c r="AA71" s="1190"/>
      <c r="AB71" s="1274"/>
      <c r="AC71" s="1690"/>
      <c r="AD71" s="1691"/>
      <c r="AE71" s="881"/>
      <c r="AF71" s="892"/>
      <c r="AH71" s="1685"/>
      <c r="AI71" s="1685"/>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2"/>
      <c r="L72" s="1683"/>
      <c r="M72" s="1684"/>
      <c r="N72" s="1190" cm="1">
        <f t="array" ref="N72">IF($E$20="Credera US",V72,SUMPRODUCT(('Rates &amp; Drop Downs INT'!$CG$6:$CG$747=$D72)*('Rates &amp; Drop Downs INT'!$CI$6:$CI$747=$F72)*('Rates &amp; Drop Downs INT'!$CK$6:$CK$747=$K72)*('Rates &amp; Drop Downs INT'!$CM$6:$CM$747)))</f>
        <v>0</v>
      </c>
      <c r="O72" s="1676"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77"/>
      <c r="Q72" s="1677"/>
      <c r="R72" s="1677"/>
      <c r="S72" s="1678"/>
      <c r="T72" s="1711"/>
      <c r="U72" s="1712"/>
      <c r="V72" s="1222" t="str">
        <f>IFERROR(IF(ISBLANK(K72)," ",_xlfn.XLOOKUP(K72,'Rates &amp; Drop Downs INT'!C:C,'Rates &amp; Drop Downs INT'!J:J)),N72)</f>
        <v xml:space="preserve"> </v>
      </c>
      <c r="W72" s="1203" t="str">
        <f t="shared" si="0"/>
        <v xml:space="preserve"> </v>
      </c>
      <c r="X72" s="1203"/>
      <c r="Y72" s="880" t="s">
        <v>2271</v>
      </c>
      <c r="Z72" s="1187"/>
      <c r="AA72" s="1190"/>
      <c r="AB72" s="1274"/>
      <c r="AC72" s="1690"/>
      <c r="AD72" s="1691"/>
      <c r="AE72" s="881"/>
      <c r="AF72" s="892"/>
      <c r="AH72" s="1685"/>
      <c r="AI72" s="168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2"/>
      <c r="L73" s="1683"/>
      <c r="M73" s="1684"/>
      <c r="N73" s="1190" cm="1">
        <f t="array" ref="N73">IF($E$20="Credera US",V73,SUMPRODUCT(('Rates &amp; Drop Downs INT'!$CG$6:$CG$747=$D73)*('Rates &amp; Drop Downs INT'!$CI$6:$CI$747=$F73)*('Rates &amp; Drop Downs INT'!$CK$6:$CK$747=$K73)*('Rates &amp; Drop Downs INT'!$CM$6:$CM$747)))</f>
        <v>0</v>
      </c>
      <c r="O73" s="1676"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77"/>
      <c r="Q73" s="1677"/>
      <c r="R73" s="1677"/>
      <c r="S73" s="1678"/>
      <c r="T73" s="1711"/>
      <c r="U73" s="1712"/>
      <c r="V73" s="1222" t="str">
        <f>IFERROR(IF(ISBLANK(K73)," ",_xlfn.XLOOKUP(K73,'Rates &amp; Drop Downs INT'!C:C,'Rates &amp; Drop Downs INT'!J:J)),N73)</f>
        <v xml:space="preserve"> </v>
      </c>
      <c r="W73" s="1203" t="str">
        <f t="shared" si="0"/>
        <v xml:space="preserve"> </v>
      </c>
      <c r="X73" s="1203"/>
      <c r="Y73" s="880" t="s">
        <v>2271</v>
      </c>
      <c r="Z73" s="1187"/>
      <c r="AA73" s="1190"/>
      <c r="AB73" s="1274"/>
      <c r="AC73" s="1690"/>
      <c r="AD73" s="1691"/>
      <c r="AE73" s="881"/>
      <c r="AF73" s="892"/>
      <c r="AH73" s="1685"/>
      <c r="AI73" s="168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2"/>
      <c r="L74" s="1683"/>
      <c r="M74" s="1684"/>
      <c r="N74" s="1190" cm="1">
        <f t="array" ref="N74">IF($E$20="Credera US",V74,SUMPRODUCT(('Rates &amp; Drop Downs INT'!$CG$6:$CG$747=$D74)*('Rates &amp; Drop Downs INT'!$CI$6:$CI$747=$F74)*('Rates &amp; Drop Downs INT'!$CK$6:$CK$747=$K74)*('Rates &amp; Drop Downs INT'!$CM$6:$CM$747)))</f>
        <v>0</v>
      </c>
      <c r="O74" s="1676"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77"/>
      <c r="Q74" s="1677"/>
      <c r="R74" s="1677"/>
      <c r="S74" s="1678"/>
      <c r="T74" s="1711"/>
      <c r="U74" s="1712"/>
      <c r="V74" s="1222" t="str">
        <f>IFERROR(IF(ISBLANK(K74)," ",_xlfn.XLOOKUP(K74,'Rates &amp; Drop Downs INT'!C:C,'Rates &amp; Drop Downs INT'!J:J)),N74)</f>
        <v xml:space="preserve"> </v>
      </c>
      <c r="W74" s="1203" t="str">
        <f t="shared" si="0"/>
        <v xml:space="preserve"> </v>
      </c>
      <c r="X74" s="1203"/>
      <c r="Y74" s="880" t="s">
        <v>2271</v>
      </c>
      <c r="Z74" s="1187"/>
      <c r="AA74" s="1190"/>
      <c r="AB74" s="1274"/>
      <c r="AC74" s="1690"/>
      <c r="AD74" s="1691"/>
      <c r="AE74" s="881"/>
      <c r="AF74" s="892"/>
      <c r="AH74" s="1685"/>
      <c r="AI74" s="168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2"/>
      <c r="L75" s="1683"/>
      <c r="M75" s="1684"/>
      <c r="N75" s="1190" cm="1">
        <f t="array" ref="N75">IF($E$20="Credera US",V75,SUMPRODUCT(('Rates &amp; Drop Downs INT'!$CG$6:$CG$747=$D75)*('Rates &amp; Drop Downs INT'!$CI$6:$CI$747=$F75)*('Rates &amp; Drop Downs INT'!$CK$6:$CK$747=$K75)*('Rates &amp; Drop Downs INT'!$CM$6:$CM$747)))</f>
        <v>0</v>
      </c>
      <c r="O75" s="1676"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77"/>
      <c r="Q75" s="1677"/>
      <c r="R75" s="1677"/>
      <c r="S75" s="1678"/>
      <c r="T75" s="1711"/>
      <c r="U75" s="1712"/>
      <c r="V75" s="1222" t="str">
        <f>IFERROR(IF(ISBLANK(K75)," ",_xlfn.XLOOKUP(K75,'Rates &amp; Drop Downs INT'!C:C,'Rates &amp; Drop Downs INT'!J:J)),N75)</f>
        <v xml:space="preserve"> </v>
      </c>
      <c r="W75" s="1203" t="str">
        <f t="shared" si="0"/>
        <v xml:space="preserve"> </v>
      </c>
      <c r="X75" s="1203"/>
      <c r="Y75" s="880" t="s">
        <v>2271</v>
      </c>
      <c r="Z75" s="1187"/>
      <c r="AA75" s="1190"/>
      <c r="AB75" s="1274"/>
      <c r="AC75" s="1690"/>
      <c r="AD75" s="1691"/>
      <c r="AE75" s="881"/>
      <c r="AF75" s="892"/>
      <c r="AH75" s="1685"/>
      <c r="AI75" s="168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2"/>
      <c r="L76" s="1683"/>
      <c r="M76" s="1684"/>
      <c r="N76" s="1190" cm="1">
        <f t="array" ref="N76">IF($E$20="Credera US",V76,SUMPRODUCT(('Rates &amp; Drop Downs INT'!$CG$6:$CG$747=$D76)*('Rates &amp; Drop Downs INT'!$CI$6:$CI$747=$F76)*('Rates &amp; Drop Downs INT'!$CK$6:$CK$747=$K76)*('Rates &amp; Drop Downs INT'!$CM$6:$CM$747)))</f>
        <v>0</v>
      </c>
      <c r="O76" s="1676"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77"/>
      <c r="Q76" s="1677"/>
      <c r="R76" s="1677"/>
      <c r="S76" s="1678"/>
      <c r="T76" s="1711"/>
      <c r="U76" s="1712"/>
      <c r="V76" s="1222" t="str">
        <f>IFERROR(IF(ISBLANK(K76)," ",_xlfn.XLOOKUP(K76,'Rates &amp; Drop Downs INT'!C:C,'Rates &amp; Drop Downs INT'!J:J)),N76)</f>
        <v xml:space="preserve"> </v>
      </c>
      <c r="W76" s="1203" t="str">
        <f t="shared" si="0"/>
        <v xml:space="preserve"> </v>
      </c>
      <c r="X76" s="1203"/>
      <c r="Y76" s="880" t="s">
        <v>2271</v>
      </c>
      <c r="Z76" s="1187"/>
      <c r="AA76" s="1190"/>
      <c r="AB76" s="1274"/>
      <c r="AC76" s="1690"/>
      <c r="AD76" s="1691"/>
      <c r="AE76" s="881"/>
      <c r="AF76" s="892"/>
      <c r="AH76" s="1685"/>
      <c r="AI76" s="168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2"/>
      <c r="L77" s="1683"/>
      <c r="M77" s="1684"/>
      <c r="N77" s="1190" cm="1">
        <f t="array" ref="N77">IF($E$20="Credera US",V77,SUMPRODUCT(('Rates &amp; Drop Downs INT'!$CG$6:$CG$747=$D77)*('Rates &amp; Drop Downs INT'!$CI$6:$CI$747=$F77)*('Rates &amp; Drop Downs INT'!$CK$6:$CK$747=$K77)*('Rates &amp; Drop Downs INT'!$CM$6:$CM$747)))</f>
        <v>0</v>
      </c>
      <c r="O77" s="1676"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77"/>
      <c r="Q77" s="1677"/>
      <c r="R77" s="1677"/>
      <c r="S77" s="1678"/>
      <c r="T77" s="1711"/>
      <c r="U77" s="1712"/>
      <c r="V77" s="1222" t="str">
        <f>IFERROR(IF(ISBLANK(K77)," ",_xlfn.XLOOKUP(K77,'Rates &amp; Drop Downs INT'!C:C,'Rates &amp; Drop Downs INT'!J:J)),N77)</f>
        <v xml:space="preserve"> </v>
      </c>
      <c r="W77" s="1203" t="str">
        <f t="shared" si="0"/>
        <v xml:space="preserve"> </v>
      </c>
      <c r="X77" s="1203"/>
      <c r="Y77" s="880" t="s">
        <v>2271</v>
      </c>
      <c r="Z77" s="1187"/>
      <c r="AA77" s="1190"/>
      <c r="AB77" s="1274"/>
      <c r="AC77" s="1690"/>
      <c r="AD77" s="1691"/>
      <c r="AE77" s="881"/>
      <c r="AF77" s="892"/>
      <c r="AH77" s="1685"/>
      <c r="AI77" s="168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2"/>
      <c r="L78" s="1683"/>
      <c r="M78" s="1684"/>
      <c r="N78" s="1190" cm="1">
        <f t="array" ref="N78">IF($E$20="Credera US",V78,SUMPRODUCT(('Rates &amp; Drop Downs INT'!$CG$6:$CG$747=$D78)*('Rates &amp; Drop Downs INT'!$CI$6:$CI$747=$F78)*('Rates &amp; Drop Downs INT'!$CK$6:$CK$747=$K78)*('Rates &amp; Drop Downs INT'!$CM$6:$CM$747)))</f>
        <v>0</v>
      </c>
      <c r="O78" s="1676"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77"/>
      <c r="Q78" s="1677"/>
      <c r="R78" s="1677"/>
      <c r="S78" s="1678"/>
      <c r="T78" s="1711"/>
      <c r="U78" s="1712"/>
      <c r="V78" s="1222" t="str">
        <f>IFERROR(IF(ISBLANK(K78)," ",_xlfn.XLOOKUP(K78,'Rates &amp; Drop Downs INT'!C:C,'Rates &amp; Drop Downs INT'!J:J)),N78)</f>
        <v xml:space="preserve"> </v>
      </c>
      <c r="W78" s="1203" t="str">
        <f t="shared" si="0"/>
        <v xml:space="preserve"> </v>
      </c>
      <c r="X78" s="1203"/>
      <c r="Y78" s="880" t="s">
        <v>2271</v>
      </c>
      <c r="Z78" s="1187"/>
      <c r="AA78" s="1190"/>
      <c r="AB78" s="1274"/>
      <c r="AC78" s="1690"/>
      <c r="AD78" s="1691"/>
      <c r="AE78" s="881"/>
      <c r="AF78" s="892"/>
      <c r="AH78" s="1685"/>
      <c r="AI78" s="168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2"/>
      <c r="L79" s="1683"/>
      <c r="M79" s="1684"/>
      <c r="N79" s="1190" cm="1">
        <f t="array" ref="N79">IF($E$20="Credera US",V79,SUMPRODUCT(('Rates &amp; Drop Downs INT'!$CG$6:$CG$747=$D79)*('Rates &amp; Drop Downs INT'!$CI$6:$CI$747=$F79)*('Rates &amp; Drop Downs INT'!$CK$6:$CK$747=$K79)*('Rates &amp; Drop Downs INT'!$CM$6:$CM$747)))</f>
        <v>0</v>
      </c>
      <c r="O79" s="1676"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77"/>
      <c r="Q79" s="1677"/>
      <c r="R79" s="1677"/>
      <c r="S79" s="1678"/>
      <c r="T79" s="1711"/>
      <c r="U79" s="1712"/>
      <c r="V79" s="1222" t="str">
        <f>IFERROR(IF(ISBLANK(K79)," ",_xlfn.XLOOKUP(K79,'Rates &amp; Drop Downs INT'!C:C,'Rates &amp; Drop Downs INT'!J:J)),N79)</f>
        <v xml:space="preserve"> </v>
      </c>
      <c r="W79" s="1203" t="str">
        <f t="shared" si="0"/>
        <v xml:space="preserve"> </v>
      </c>
      <c r="X79" s="1203"/>
      <c r="Y79" s="880" t="s">
        <v>2271</v>
      </c>
      <c r="Z79" s="1187"/>
      <c r="AA79" s="1190"/>
      <c r="AB79" s="1274"/>
      <c r="AC79" s="1690"/>
      <c r="AD79" s="1691"/>
      <c r="AE79" s="881"/>
      <c r="AF79" s="892"/>
      <c r="AH79" s="1685"/>
      <c r="AI79" s="168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2"/>
      <c r="L80" s="1683"/>
      <c r="M80" s="1684"/>
      <c r="N80" s="1190" cm="1">
        <f t="array" ref="N80">IF($E$20="Credera US",V80,SUMPRODUCT(('Rates &amp; Drop Downs INT'!$CG$6:$CG$747=$D80)*('Rates &amp; Drop Downs INT'!$CI$6:$CI$747=$F80)*('Rates &amp; Drop Downs INT'!$CK$6:$CK$747=$K80)*('Rates &amp; Drop Downs INT'!$CM$6:$CM$747)))</f>
        <v>0</v>
      </c>
      <c r="O80" s="1676"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77"/>
      <c r="Q80" s="1677"/>
      <c r="R80" s="1677"/>
      <c r="S80" s="1678"/>
      <c r="T80" s="1711"/>
      <c r="U80" s="1712"/>
      <c r="V80" s="1222" t="str">
        <f>IFERROR(IF(ISBLANK(K80)," ",_xlfn.XLOOKUP(K80,'Rates &amp; Drop Downs INT'!C:C,'Rates &amp; Drop Downs INT'!J:J)),N80)</f>
        <v xml:space="preserve"> </v>
      </c>
      <c r="W80" s="1203" t="str">
        <f t="shared" si="0"/>
        <v xml:space="preserve"> </v>
      </c>
      <c r="X80" s="1203"/>
      <c r="Y80" s="880" t="s">
        <v>2271</v>
      </c>
      <c r="Z80" s="1187"/>
      <c r="AA80" s="1190"/>
      <c r="AB80" s="1274"/>
      <c r="AC80" s="1690"/>
      <c r="AD80" s="1691"/>
      <c r="AE80" s="881"/>
      <c r="AF80" s="892"/>
      <c r="AH80" s="1685"/>
      <c r="AI80" s="168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2"/>
      <c r="L81" s="1683"/>
      <c r="M81" s="1684"/>
      <c r="N81" s="1190" cm="1">
        <f t="array" ref="N81">IF($E$20="Credera US",V81,SUMPRODUCT(('Rates &amp; Drop Downs INT'!$CG$6:$CG$747=$D81)*('Rates &amp; Drop Downs INT'!$CI$6:$CI$747=$F81)*('Rates &amp; Drop Downs INT'!$CK$6:$CK$747=$K81)*('Rates &amp; Drop Downs INT'!$CM$6:$CM$747)))</f>
        <v>0</v>
      </c>
      <c r="O81" s="1676"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77"/>
      <c r="Q81" s="1677"/>
      <c r="R81" s="1677"/>
      <c r="S81" s="1678"/>
      <c r="T81" s="1711"/>
      <c r="U81" s="1712"/>
      <c r="V81" s="1222" t="str">
        <f>IFERROR(IF(ISBLANK(K81)," ",_xlfn.XLOOKUP(K81,'Rates &amp; Drop Downs INT'!C:C,'Rates &amp; Drop Downs INT'!J:J)),N81)</f>
        <v xml:space="preserve"> </v>
      </c>
      <c r="W81" s="1203" t="str">
        <f t="shared" si="0"/>
        <v xml:space="preserve"> </v>
      </c>
      <c r="X81" s="1203"/>
      <c r="Y81" s="880" t="s">
        <v>2271</v>
      </c>
      <c r="Z81" s="1187"/>
      <c r="AA81" s="1190"/>
      <c r="AB81" s="1274"/>
      <c r="AC81" s="1690"/>
      <c r="AD81" s="1691"/>
      <c r="AE81" s="881"/>
      <c r="AF81" s="892"/>
      <c r="AH81" s="1685"/>
      <c r="AI81" s="168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2"/>
      <c r="L82" s="1683"/>
      <c r="M82" s="1684"/>
      <c r="N82" s="1190" cm="1">
        <f t="array" ref="N82">IF($E$20="Credera US",V82,SUMPRODUCT(('Rates &amp; Drop Downs INT'!$CG$6:$CG$747=$D82)*('Rates &amp; Drop Downs INT'!$CI$6:$CI$747=$F82)*('Rates &amp; Drop Downs INT'!$CK$6:$CK$747=$K82)*('Rates &amp; Drop Downs INT'!$CM$6:$CM$747)))</f>
        <v>0</v>
      </c>
      <c r="O82" s="1676"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77"/>
      <c r="Q82" s="1677"/>
      <c r="R82" s="1677"/>
      <c r="S82" s="1678"/>
      <c r="T82" s="1711"/>
      <c r="U82" s="1712"/>
      <c r="V82" s="1222" t="str">
        <f>IFERROR(IF(ISBLANK(K82)," ",_xlfn.XLOOKUP(K82,'Rates &amp; Drop Downs INT'!C:C,'Rates &amp; Drop Downs INT'!J:J)),N82)</f>
        <v xml:space="preserve"> </v>
      </c>
      <c r="W82" s="1203" t="str">
        <f t="shared" si="0"/>
        <v xml:space="preserve"> </v>
      </c>
      <c r="X82" s="1203"/>
      <c r="Y82" s="880" t="s">
        <v>2271</v>
      </c>
      <c r="Z82" s="1187"/>
      <c r="AA82" s="1190"/>
      <c r="AB82" s="1274"/>
      <c r="AC82" s="1690"/>
      <c r="AD82" s="1691"/>
      <c r="AE82" s="881"/>
      <c r="AF82" s="892"/>
      <c r="AH82" s="1685"/>
      <c r="AI82" s="168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2"/>
      <c r="L83" s="1683"/>
      <c r="M83" s="1684"/>
      <c r="N83" s="1190" cm="1">
        <f t="array" ref="N83">IF($E$20="Credera US",V83,SUMPRODUCT(('Rates &amp; Drop Downs INT'!$CG$6:$CG$747=$D83)*('Rates &amp; Drop Downs INT'!$CI$6:$CI$747=$F83)*('Rates &amp; Drop Downs INT'!$CK$6:$CK$747=$K83)*('Rates &amp; Drop Downs INT'!$CM$6:$CM$747)))</f>
        <v>0</v>
      </c>
      <c r="O83" s="1676"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77"/>
      <c r="Q83" s="1677"/>
      <c r="R83" s="1677"/>
      <c r="S83" s="1678"/>
      <c r="T83" s="1711"/>
      <c r="U83" s="1712"/>
      <c r="V83" s="1222" t="str">
        <f>IFERROR(IF(ISBLANK(K83)," ",_xlfn.XLOOKUP(K83,'Rates &amp; Drop Downs INT'!C:C,'Rates &amp; Drop Downs INT'!J:J)),N83)</f>
        <v xml:space="preserve"> </v>
      </c>
      <c r="W83" s="1203" t="str">
        <f t="shared" si="0"/>
        <v xml:space="preserve"> </v>
      </c>
      <c r="X83" s="1203"/>
      <c r="Y83" s="880" t="s">
        <v>2271</v>
      </c>
      <c r="Z83" s="1187"/>
      <c r="AA83" s="1190"/>
      <c r="AB83" s="1274"/>
      <c r="AC83" s="1690"/>
      <c r="AD83" s="1691"/>
      <c r="AE83" s="881"/>
      <c r="AF83" s="892"/>
      <c r="AH83" s="1685"/>
      <c r="AI83" s="168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2"/>
      <c r="L84" s="1683"/>
      <c r="M84" s="1684"/>
      <c r="N84" s="1190" cm="1">
        <f t="array" ref="N84">IF($E$20="Credera US",V84,SUMPRODUCT(('Rates &amp; Drop Downs INT'!$CG$6:$CG$747=$D84)*('Rates &amp; Drop Downs INT'!$CI$6:$CI$747=$F84)*('Rates &amp; Drop Downs INT'!$CK$6:$CK$747=$K84)*('Rates &amp; Drop Downs INT'!$CM$6:$CM$747)))</f>
        <v>0</v>
      </c>
      <c r="O84" s="1676"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77"/>
      <c r="Q84" s="1677"/>
      <c r="R84" s="1677"/>
      <c r="S84" s="1678"/>
      <c r="T84" s="1711"/>
      <c r="U84" s="1712"/>
      <c r="V84" s="1222" t="str">
        <f>IFERROR(IF(ISBLANK(K84)," ",_xlfn.XLOOKUP(K84,'Rates &amp; Drop Downs INT'!C:C,'Rates &amp; Drop Downs INT'!J:J)),N84)</f>
        <v xml:space="preserve"> </v>
      </c>
      <c r="W84" s="1203" t="str">
        <f t="shared" si="0"/>
        <v xml:space="preserve"> </v>
      </c>
      <c r="X84" s="1203"/>
      <c r="Y84" s="880" t="s">
        <v>2271</v>
      </c>
      <c r="Z84" s="1187"/>
      <c r="AA84" s="1190"/>
      <c r="AB84" s="1274"/>
      <c r="AC84" s="1690"/>
      <c r="AD84" s="1691"/>
      <c r="AE84" s="881"/>
      <c r="AF84" s="892"/>
      <c r="AH84" s="1685"/>
      <c r="AI84" s="168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2"/>
      <c r="L85" s="1683"/>
      <c r="M85" s="1684"/>
      <c r="N85" s="1190" cm="1">
        <f t="array" ref="N85">IF($E$20="Credera US",V85,SUMPRODUCT(('Rates &amp; Drop Downs INT'!$CG$6:$CG$747=$D85)*('Rates &amp; Drop Downs INT'!$CI$6:$CI$747=$F85)*('Rates &amp; Drop Downs INT'!$CK$6:$CK$747=$K85)*('Rates &amp; Drop Downs INT'!$CM$6:$CM$747)))</f>
        <v>0</v>
      </c>
      <c r="O85" s="1676"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77"/>
      <c r="Q85" s="1677"/>
      <c r="R85" s="1677"/>
      <c r="S85" s="1678"/>
      <c r="T85" s="1711"/>
      <c r="U85" s="1712"/>
      <c r="V85" s="1222" t="str">
        <f>IFERROR(IF(ISBLANK(K85)," ",_xlfn.XLOOKUP(K85,'Rates &amp; Drop Downs INT'!C:C,'Rates &amp; Drop Downs INT'!J:J)),N85)</f>
        <v xml:space="preserve"> </v>
      </c>
      <c r="W85" s="1203" t="str">
        <f t="shared" si="0"/>
        <v xml:space="preserve"> </v>
      </c>
      <c r="X85" s="1203"/>
      <c r="Y85" s="880" t="s">
        <v>2271</v>
      </c>
      <c r="Z85" s="1187"/>
      <c r="AA85" s="1190"/>
      <c r="AB85" s="1274"/>
      <c r="AC85" s="1690"/>
      <c r="AD85" s="1691"/>
      <c r="AE85" s="881"/>
      <c r="AF85" s="892"/>
      <c r="AH85" s="1685"/>
      <c r="AI85" s="168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2"/>
      <c r="L86" s="1683"/>
      <c r="M86" s="1684"/>
      <c r="N86" s="1190" cm="1">
        <f t="array" ref="N86">IF($E$20="Credera US",V86,SUMPRODUCT(('Rates &amp; Drop Downs INT'!$CG$6:$CG$747=$D86)*('Rates &amp; Drop Downs INT'!$CI$6:$CI$747=$F86)*('Rates &amp; Drop Downs INT'!$CK$6:$CK$747=$K86)*('Rates &amp; Drop Downs INT'!$CM$6:$CM$747)))</f>
        <v>0</v>
      </c>
      <c r="O86" s="1676"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77"/>
      <c r="Q86" s="1677"/>
      <c r="R86" s="1677"/>
      <c r="S86" s="1678"/>
      <c r="T86" s="1711"/>
      <c r="U86" s="1712"/>
      <c r="V86" s="1222" t="str">
        <f>IFERROR(IF(ISBLANK(K86)," ",_xlfn.XLOOKUP(K86,'Rates &amp; Drop Downs INT'!C:C,'Rates &amp; Drop Downs INT'!J:J)),N86)</f>
        <v xml:space="preserve"> </v>
      </c>
      <c r="W86" s="1203" t="str">
        <f t="shared" si="0"/>
        <v xml:space="preserve"> </v>
      </c>
      <c r="X86" s="1203"/>
      <c r="Y86" s="880" t="s">
        <v>2271</v>
      </c>
      <c r="Z86" s="1187"/>
      <c r="AA86" s="1190"/>
      <c r="AB86" s="1274"/>
      <c r="AC86" s="1690"/>
      <c r="AD86" s="1691"/>
      <c r="AE86" s="881"/>
      <c r="AF86" s="892"/>
      <c r="AH86" s="1685"/>
      <c r="AI86" s="168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2"/>
      <c r="L87" s="1683"/>
      <c r="M87" s="1684"/>
      <c r="N87" s="1190" cm="1">
        <f t="array" ref="N87">IF($E$20="Credera US",V87,SUMPRODUCT(('Rates &amp; Drop Downs INT'!$CG$6:$CG$747=$D87)*('Rates &amp; Drop Downs INT'!$CI$6:$CI$747=$F87)*('Rates &amp; Drop Downs INT'!$CK$6:$CK$747=$K87)*('Rates &amp; Drop Downs INT'!$CM$6:$CM$747)))</f>
        <v>0</v>
      </c>
      <c r="O87" s="1676"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77"/>
      <c r="Q87" s="1677"/>
      <c r="R87" s="1677"/>
      <c r="S87" s="1678"/>
      <c r="T87" s="1711"/>
      <c r="U87" s="1712"/>
      <c r="V87" s="1222" t="str">
        <f>IFERROR(IF(ISBLANK(K87)," ",_xlfn.XLOOKUP(K87,'Rates &amp; Drop Downs INT'!C:C,'Rates &amp; Drop Downs INT'!J:J)),N87)</f>
        <v xml:space="preserve"> </v>
      </c>
      <c r="W87" s="1203" t="str">
        <f t="shared" si="0"/>
        <v xml:space="preserve"> </v>
      </c>
      <c r="X87" s="1203"/>
      <c r="Y87" s="880" t="s">
        <v>2271</v>
      </c>
      <c r="Z87" s="1187"/>
      <c r="AA87" s="1190"/>
      <c r="AB87" s="1274"/>
      <c r="AC87" s="1690"/>
      <c r="AD87" s="1691"/>
      <c r="AE87" s="881"/>
      <c r="AF87" s="892"/>
      <c r="AH87" s="1685"/>
      <c r="AI87" s="168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2"/>
      <c r="L88" s="1683"/>
      <c r="M88" s="1684"/>
      <c r="N88" s="1190" cm="1">
        <f t="array" ref="N88">IF($E$20="Credera US",V88,SUMPRODUCT(('Rates &amp; Drop Downs INT'!$CG$6:$CG$747=$D88)*('Rates &amp; Drop Downs INT'!$CI$6:$CI$747=$F88)*('Rates &amp; Drop Downs INT'!$CK$6:$CK$747=$K88)*('Rates &amp; Drop Downs INT'!$CM$6:$CM$747)))</f>
        <v>0</v>
      </c>
      <c r="O88" s="1676"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77"/>
      <c r="Q88" s="1677"/>
      <c r="R88" s="1677"/>
      <c r="S88" s="1678"/>
      <c r="T88" s="1711"/>
      <c r="U88" s="1712"/>
      <c r="V88" s="1222" t="str">
        <f>IFERROR(IF(ISBLANK(K88)," ",_xlfn.XLOOKUP(K88,'Rates &amp; Drop Downs INT'!C:C,'Rates &amp; Drop Downs INT'!J:J)),N88)</f>
        <v xml:space="preserve"> </v>
      </c>
      <c r="W88" s="1203" t="str">
        <f t="shared" si="0"/>
        <v xml:space="preserve"> </v>
      </c>
      <c r="X88" s="1203"/>
      <c r="Y88" s="880" t="s">
        <v>2271</v>
      </c>
      <c r="Z88" s="1187"/>
      <c r="AA88" s="1190"/>
      <c r="AB88" s="1274"/>
      <c r="AC88" s="1690"/>
      <c r="AD88" s="1691"/>
      <c r="AE88" s="881"/>
      <c r="AF88" s="892"/>
      <c r="AH88" s="1685"/>
      <c r="AI88" s="168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2"/>
      <c r="L89" s="1683"/>
      <c r="M89" s="1684"/>
      <c r="N89" s="1190" cm="1">
        <f t="array" ref="N89">IF($E$20="Credera US",V89,SUMPRODUCT(('Rates &amp; Drop Downs INT'!$CG$6:$CG$747=$D89)*('Rates &amp; Drop Downs INT'!$CI$6:$CI$747=$F89)*('Rates &amp; Drop Downs INT'!$CK$6:$CK$747=$K89)*('Rates &amp; Drop Downs INT'!$CM$6:$CM$747)))</f>
        <v>0</v>
      </c>
      <c r="O89" s="1676"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77"/>
      <c r="Q89" s="1677"/>
      <c r="R89" s="1677"/>
      <c r="S89" s="1678"/>
      <c r="T89" s="1711"/>
      <c r="U89" s="1712"/>
      <c r="V89" s="1222" t="str">
        <f>IFERROR(IF(ISBLANK(K89)," ",_xlfn.XLOOKUP(K89,'Rates &amp; Drop Downs INT'!C:C,'Rates &amp; Drop Downs INT'!J:J)),N89)</f>
        <v xml:space="preserve"> </v>
      </c>
      <c r="W89" s="1203" t="str">
        <f t="shared" si="0"/>
        <v xml:space="preserve"> </v>
      </c>
      <c r="X89" s="1203"/>
      <c r="Y89" s="880" t="s">
        <v>2271</v>
      </c>
      <c r="Z89" s="1187"/>
      <c r="AA89" s="1190"/>
      <c r="AB89" s="1274"/>
      <c r="AC89" s="1690"/>
      <c r="AD89" s="1691"/>
      <c r="AE89" s="881"/>
      <c r="AF89" s="892"/>
      <c r="AH89" s="1685"/>
      <c r="AI89" s="168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2"/>
      <c r="L90" s="1683"/>
      <c r="M90" s="1684"/>
      <c r="N90" s="1190" cm="1">
        <f t="array" ref="N90">IF($E$20="Credera US",V90,SUMPRODUCT(('Rates &amp; Drop Downs INT'!$CG$6:$CG$747=$D90)*('Rates &amp; Drop Downs INT'!$CI$6:$CI$747=$F90)*('Rates &amp; Drop Downs INT'!$CK$6:$CK$747=$K90)*('Rates &amp; Drop Downs INT'!$CM$6:$CM$747)))</f>
        <v>0</v>
      </c>
      <c r="O90" s="1676"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77"/>
      <c r="Q90" s="1677"/>
      <c r="R90" s="1677"/>
      <c r="S90" s="1678"/>
      <c r="T90" s="1711"/>
      <c r="U90" s="1712"/>
      <c r="V90" s="1222" t="str">
        <f>IFERROR(IF(ISBLANK(K90)," ",_xlfn.XLOOKUP(K90,'Rates &amp; Drop Downs INT'!C:C,'Rates &amp; Drop Downs INT'!J:J)),N90)</f>
        <v xml:space="preserve"> </v>
      </c>
      <c r="W90" s="1203" t="str">
        <f t="shared" si="0"/>
        <v xml:space="preserve"> </v>
      </c>
      <c r="X90" s="1203"/>
      <c r="Y90" s="880" t="s">
        <v>2271</v>
      </c>
      <c r="Z90" s="1187"/>
      <c r="AA90" s="1190"/>
      <c r="AB90" s="1274"/>
      <c r="AC90" s="1690"/>
      <c r="AD90" s="1691"/>
      <c r="AE90" s="881"/>
      <c r="AF90" s="892"/>
      <c r="AH90" s="1685"/>
      <c r="AI90" s="168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2"/>
      <c r="L91" s="1683"/>
      <c r="M91" s="1684"/>
      <c r="N91" s="1190" cm="1">
        <f t="array" ref="N91">IF($E$20="Credera US",V91,SUMPRODUCT(('Rates &amp; Drop Downs INT'!$CG$6:$CG$747=$D91)*('Rates &amp; Drop Downs INT'!$CI$6:$CI$747=$F91)*('Rates &amp; Drop Downs INT'!$CK$6:$CK$747=$K91)*('Rates &amp; Drop Downs INT'!$CM$6:$CM$747)))</f>
        <v>0</v>
      </c>
      <c r="O91" s="1676"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77"/>
      <c r="Q91" s="1677"/>
      <c r="R91" s="1677"/>
      <c r="S91" s="1678"/>
      <c r="T91" s="1711"/>
      <c r="U91" s="1712"/>
      <c r="V91" s="1222" t="str">
        <f>IFERROR(IF(ISBLANK(K91)," ",_xlfn.XLOOKUP(K91,'Rates &amp; Drop Downs INT'!C:C,'Rates &amp; Drop Downs INT'!J:J)),N91)</f>
        <v xml:space="preserve"> </v>
      </c>
      <c r="W91" s="1203" t="str">
        <f t="shared" si="0"/>
        <v xml:space="preserve"> </v>
      </c>
      <c r="X91" s="1203"/>
      <c r="Y91" s="880" t="s">
        <v>2271</v>
      </c>
      <c r="Z91" s="1187"/>
      <c r="AA91" s="1190"/>
      <c r="AB91" s="1274"/>
      <c r="AC91" s="1690"/>
      <c r="AD91" s="1691"/>
      <c r="AE91" s="881"/>
      <c r="AF91" s="892"/>
      <c r="AH91" s="1685"/>
      <c r="AI91" s="1685"/>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2"/>
      <c r="L92" s="1683"/>
      <c r="M92" s="1684"/>
      <c r="N92" s="1190" cm="1">
        <f t="array" ref="N92">IF($E$20="Credera US",V92,SUMPRODUCT(('Rates &amp; Drop Downs INT'!$CG$6:$CG$747=$D92)*('Rates &amp; Drop Downs INT'!$CI$6:$CI$747=$F92)*('Rates &amp; Drop Downs INT'!$CK$6:$CK$747=$K92)*('Rates &amp; Drop Downs INT'!$CM$6:$CM$747)))</f>
        <v>0</v>
      </c>
      <c r="O92" s="1676"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77"/>
      <c r="Q92" s="1677"/>
      <c r="R92" s="1677"/>
      <c r="S92" s="1678"/>
      <c r="T92" s="1711"/>
      <c r="U92" s="1712"/>
      <c r="V92" s="1222" t="str">
        <f>IFERROR(IF(ISBLANK(K92)," ",_xlfn.XLOOKUP(K92,'Rates &amp; Drop Downs INT'!C:C,'Rates &amp; Drop Downs INT'!J:J)),N92)</f>
        <v xml:space="preserve"> </v>
      </c>
      <c r="W92" s="1203" t="str">
        <f t="shared" si="0"/>
        <v xml:space="preserve"> </v>
      </c>
      <c r="X92" s="1203"/>
      <c r="Y92" s="880" t="s">
        <v>2271</v>
      </c>
      <c r="Z92" s="1187"/>
      <c r="AA92" s="1190"/>
      <c r="AB92" s="1274"/>
      <c r="AC92" s="1690"/>
      <c r="AD92" s="1691"/>
      <c r="AE92" s="881"/>
      <c r="AF92" s="892"/>
      <c r="AH92" s="1685"/>
      <c r="AI92" s="1685"/>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2"/>
      <c r="L93" s="1683"/>
      <c r="M93" s="1684"/>
      <c r="N93" s="1190" cm="1">
        <f t="array" ref="N93">IF($E$20="Credera US",V93,SUMPRODUCT(('Rates &amp; Drop Downs INT'!$CG$6:$CG$747=$D93)*('Rates &amp; Drop Downs INT'!$CI$6:$CI$747=$F93)*('Rates &amp; Drop Downs INT'!$CK$6:$CK$747=$K93)*('Rates &amp; Drop Downs INT'!$CM$6:$CM$747)))</f>
        <v>0</v>
      </c>
      <c r="O93" s="1676"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77"/>
      <c r="Q93" s="1677"/>
      <c r="R93" s="1677"/>
      <c r="S93" s="1678"/>
      <c r="T93" s="1711"/>
      <c r="U93" s="1712"/>
      <c r="V93" s="1222" t="str">
        <f>IFERROR(IF(ISBLANK(K93)," ",_xlfn.XLOOKUP(K93,'Rates &amp; Drop Downs INT'!C:C,'Rates &amp; Drop Downs INT'!J:J)),N93)</f>
        <v xml:space="preserve"> </v>
      </c>
      <c r="W93" s="1203" t="str">
        <f t="shared" si="0"/>
        <v xml:space="preserve"> </v>
      </c>
      <c r="X93" s="1203"/>
      <c r="Y93" s="880" t="s">
        <v>2271</v>
      </c>
      <c r="Z93" s="1187"/>
      <c r="AA93" s="1190"/>
      <c r="AB93" s="1274"/>
      <c r="AC93" s="1690"/>
      <c r="AD93" s="1691"/>
      <c r="AE93" s="881"/>
      <c r="AF93" s="892"/>
      <c r="AH93" s="1685"/>
      <c r="AI93" s="1685"/>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2"/>
      <c r="L94" s="1683"/>
      <c r="M94" s="1684"/>
      <c r="N94" s="1190" cm="1">
        <f t="array" ref="N94">IF($E$20="Credera US",V94,SUMPRODUCT(('Rates &amp; Drop Downs INT'!$CG$6:$CG$747=$D94)*('Rates &amp; Drop Downs INT'!$CI$6:$CI$747=$F94)*('Rates &amp; Drop Downs INT'!$CK$6:$CK$747=$K94)*('Rates &amp; Drop Downs INT'!$CM$6:$CM$747)))</f>
        <v>0</v>
      </c>
      <c r="O94" s="1676"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77"/>
      <c r="Q94" s="1677"/>
      <c r="R94" s="1677"/>
      <c r="S94" s="1678"/>
      <c r="T94" s="1711"/>
      <c r="U94" s="1712"/>
      <c r="V94" s="1222" t="str">
        <f>IFERROR(IF(ISBLANK(K94)," ",_xlfn.XLOOKUP(K94,'Rates &amp; Drop Downs INT'!C:C,'Rates &amp; Drop Downs INT'!J:J)),N94)</f>
        <v xml:space="preserve"> </v>
      </c>
      <c r="W94" s="1203" t="str">
        <f t="shared" si="0"/>
        <v xml:space="preserve"> </v>
      </c>
      <c r="X94" s="1203"/>
      <c r="Y94" s="880" t="s">
        <v>2271</v>
      </c>
      <c r="Z94" s="1187"/>
      <c r="AA94" s="1190"/>
      <c r="AB94" s="1274"/>
      <c r="AC94" s="1690"/>
      <c r="AD94" s="1691"/>
      <c r="AE94" s="881"/>
      <c r="AF94" s="892"/>
      <c r="AH94" s="1685"/>
      <c r="AI94" s="1685"/>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2"/>
      <c r="L95" s="1683"/>
      <c r="M95" s="1684"/>
      <c r="N95" s="1190" cm="1">
        <f t="array" ref="N95">IF($E$20="Credera US",V95,SUMPRODUCT(('Rates &amp; Drop Downs INT'!$CG$6:$CG$747=$D95)*('Rates &amp; Drop Downs INT'!$CI$6:$CI$747=$F95)*('Rates &amp; Drop Downs INT'!$CK$6:$CK$747=$K95)*('Rates &amp; Drop Downs INT'!$CM$6:$CM$747)))</f>
        <v>0</v>
      </c>
      <c r="O95" s="1676"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77"/>
      <c r="Q95" s="1677"/>
      <c r="R95" s="1677"/>
      <c r="S95" s="1678"/>
      <c r="T95" s="1711"/>
      <c r="U95" s="1712"/>
      <c r="V95" s="1222" t="str">
        <f>IFERROR(IF(ISBLANK(K95)," ",_xlfn.XLOOKUP(K95,'Rates &amp; Drop Downs INT'!C:C,'Rates &amp; Drop Downs INT'!J:J)),N95)</f>
        <v xml:space="preserve"> </v>
      </c>
      <c r="W95" s="1203" t="str">
        <f t="shared" si="0"/>
        <v xml:space="preserve"> </v>
      </c>
      <c r="X95" s="1203"/>
      <c r="Y95" s="880" t="s">
        <v>2271</v>
      </c>
      <c r="Z95" s="1187"/>
      <c r="AA95" s="1190"/>
      <c r="AB95" s="1274"/>
      <c r="AC95" s="1690"/>
      <c r="AD95" s="1691"/>
      <c r="AE95" s="881"/>
      <c r="AF95" s="892"/>
      <c r="AH95" s="1685"/>
      <c r="AI95" s="1685"/>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2"/>
      <c r="L96" s="1683"/>
      <c r="M96" s="1684"/>
      <c r="N96" s="1190" cm="1">
        <f t="array" ref="N96">IF($E$20="Credera US",V96,SUMPRODUCT(('Rates &amp; Drop Downs INT'!$CG$6:$CG$747=$D96)*('Rates &amp; Drop Downs INT'!$CI$6:$CI$747=$F96)*('Rates &amp; Drop Downs INT'!$CK$6:$CK$747=$K96)*('Rates &amp; Drop Downs INT'!$CM$6:$CM$747)))</f>
        <v>0</v>
      </c>
      <c r="O96" s="1676"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77"/>
      <c r="Q96" s="1677"/>
      <c r="R96" s="1677"/>
      <c r="S96" s="1678"/>
      <c r="T96" s="1711"/>
      <c r="U96" s="1712"/>
      <c r="V96" s="1222" t="str">
        <f>IFERROR(IF(ISBLANK(K96)," ",_xlfn.XLOOKUP(K96,'Rates &amp; Drop Downs INT'!C:C,'Rates &amp; Drop Downs INT'!J:J)),N96)</f>
        <v xml:space="preserve"> </v>
      </c>
      <c r="W96" s="1203" t="str">
        <f t="shared" si="0"/>
        <v xml:space="preserve"> </v>
      </c>
      <c r="X96" s="1203"/>
      <c r="Y96" s="880" t="s">
        <v>2271</v>
      </c>
      <c r="Z96" s="1187"/>
      <c r="AA96" s="1190"/>
      <c r="AB96" s="1274"/>
      <c r="AC96" s="1690"/>
      <c r="AD96" s="1691"/>
      <c r="AE96" s="881"/>
      <c r="AF96" s="892"/>
      <c r="AH96" s="1685"/>
      <c r="AI96" s="1685"/>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2"/>
      <c r="L97" s="1683"/>
      <c r="M97" s="1684"/>
      <c r="N97" s="1190" cm="1">
        <f t="array" ref="N97">IF($E$20="Credera US",V97,SUMPRODUCT(('Rates &amp; Drop Downs INT'!$CG$6:$CG$747=$D97)*('Rates &amp; Drop Downs INT'!$CI$6:$CI$747=$F97)*('Rates &amp; Drop Downs INT'!$CK$6:$CK$747=$K97)*('Rates &amp; Drop Downs INT'!$CM$6:$CM$747)))</f>
        <v>0</v>
      </c>
      <c r="O97" s="1676"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77"/>
      <c r="Q97" s="1677"/>
      <c r="R97" s="1677"/>
      <c r="S97" s="1678"/>
      <c r="T97" s="1711"/>
      <c r="U97" s="1712"/>
      <c r="V97" s="1222" t="str">
        <f>IFERROR(IF(ISBLANK(K97)," ",_xlfn.XLOOKUP(K97,'Rates &amp; Drop Downs INT'!C:C,'Rates &amp; Drop Downs INT'!J:J)),N97)</f>
        <v xml:space="preserve"> </v>
      </c>
      <c r="W97" s="1203" t="str">
        <f t="shared" si="0"/>
        <v xml:space="preserve"> </v>
      </c>
      <c r="X97" s="1203"/>
      <c r="Y97" s="880" t="s">
        <v>2271</v>
      </c>
      <c r="Z97" s="1187"/>
      <c r="AA97" s="1190"/>
      <c r="AB97" s="1274"/>
      <c r="AC97" s="1690"/>
      <c r="AD97" s="1691"/>
      <c r="AE97" s="881"/>
      <c r="AF97" s="892"/>
      <c r="AH97" s="1685"/>
      <c r="AI97" s="1685"/>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2"/>
      <c r="L98" s="1683"/>
      <c r="M98" s="1684"/>
      <c r="N98" s="1190" cm="1">
        <f t="array" ref="N98">IF($E$20="Credera US",V98,SUMPRODUCT(('Rates &amp; Drop Downs INT'!$CG$6:$CG$747=$D98)*('Rates &amp; Drop Downs INT'!$CI$6:$CI$747=$F98)*('Rates &amp; Drop Downs INT'!$CK$6:$CK$747=$K98)*('Rates &amp; Drop Downs INT'!$CM$6:$CM$747)))</f>
        <v>0</v>
      </c>
      <c r="O98" s="1676"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77"/>
      <c r="Q98" s="1677"/>
      <c r="R98" s="1677"/>
      <c r="S98" s="1678"/>
      <c r="T98" s="1711"/>
      <c r="U98" s="1712"/>
      <c r="V98" s="1222" t="str">
        <f>IFERROR(IF(ISBLANK(K98)," ",_xlfn.XLOOKUP(K98,'Rates &amp; Drop Downs INT'!C:C,'Rates &amp; Drop Downs INT'!J:J)),N98)</f>
        <v xml:space="preserve"> </v>
      </c>
      <c r="W98" s="1203" t="str">
        <f t="shared" si="0"/>
        <v xml:space="preserve"> </v>
      </c>
      <c r="X98" s="1203"/>
      <c r="Y98" s="880" t="s">
        <v>2271</v>
      </c>
      <c r="Z98" s="1187"/>
      <c r="AA98" s="1190"/>
      <c r="AB98" s="1274"/>
      <c r="AC98" s="1690"/>
      <c r="AD98" s="1691"/>
      <c r="AE98" s="881"/>
      <c r="AF98" s="892"/>
      <c r="AH98" s="1685"/>
      <c r="AI98" s="168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2"/>
      <c r="L99" s="1683"/>
      <c r="M99" s="1684"/>
      <c r="N99" s="1189" cm="1">
        <f t="array" ref="N99">IF($E$20="Credera US",V99,SUMPRODUCT(('Rates &amp; Drop Downs INT'!$CG$6:$CG$747=$D99)*('Rates &amp; Drop Downs INT'!$CI$6:$CI$747=$F99)*('Rates &amp; Drop Downs INT'!$CK$6:$CK$747=$K99)*('Rates &amp; Drop Downs INT'!$CM$6:$CM$747)))</f>
        <v>0</v>
      </c>
      <c r="O99" s="1676"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77"/>
      <c r="Q99" s="1677"/>
      <c r="R99" s="1677"/>
      <c r="S99" s="1678"/>
      <c r="T99" s="1722"/>
      <c r="U99" s="172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90"/>
      <c r="AD99" s="1691"/>
      <c r="AE99" s="881"/>
      <c r="AF99" s="892"/>
      <c r="AH99" s="1685"/>
      <c r="AI99" s="168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2"/>
      <c r="L100" s="1683"/>
      <c r="M100" s="1684"/>
      <c r="N100" s="1189" cm="1">
        <f t="array" ref="N100">IF($E$20="Credera US",V100,SUMPRODUCT(('Rates &amp; Drop Downs INT'!$CG$6:$CG$747=$D100)*('Rates &amp; Drop Downs INT'!$CI$6:$CI$747=$F100)*('Rates &amp; Drop Downs INT'!$CK$6:$CK$747=$K100)*('Rates &amp; Drop Downs INT'!$CM$6:$CM$747)))</f>
        <v>0</v>
      </c>
      <c r="O100" s="1676"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77"/>
      <c r="Q100" s="1677"/>
      <c r="R100" s="1677"/>
      <c r="S100" s="1678"/>
      <c r="T100" s="1722"/>
      <c r="U100" s="172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90"/>
      <c r="AD100" s="1691"/>
      <c r="AE100" s="881"/>
      <c r="AF100" s="892"/>
      <c r="AH100" s="1685"/>
      <c r="AI100" s="168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2"/>
      <c r="L101" s="1683"/>
      <c r="M101" s="1684"/>
      <c r="N101" s="1189" cm="1">
        <f t="array" ref="N101">IF($E$20="Credera US",V101,SUMPRODUCT(('Rates &amp; Drop Downs INT'!$CG$6:$CG$747=$D101)*('Rates &amp; Drop Downs INT'!$CI$6:$CI$747=$F101)*('Rates &amp; Drop Downs INT'!$CK$6:$CK$747=$K101)*('Rates &amp; Drop Downs INT'!$CM$6:$CM$747)))</f>
        <v>0</v>
      </c>
      <c r="O101" s="1676"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77"/>
      <c r="Q101" s="1677"/>
      <c r="R101" s="1677"/>
      <c r="S101" s="1678"/>
      <c r="T101" s="1722"/>
      <c r="U101" s="172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90"/>
      <c r="AD101" s="1691"/>
      <c r="AE101" s="881"/>
      <c r="AF101" s="892"/>
      <c r="AH101" s="1685"/>
      <c r="AI101" s="168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2"/>
      <c r="L102" s="1683"/>
      <c r="M102" s="1684"/>
      <c r="N102" s="1189" cm="1">
        <f t="array" ref="N102">IF($E$20="Credera US",V102,SUMPRODUCT(('Rates &amp; Drop Downs INT'!$CG$6:$CG$747=$D102)*('Rates &amp; Drop Downs INT'!$CI$6:$CI$747=$F102)*('Rates &amp; Drop Downs INT'!$CK$6:$CK$747=$K102)*('Rates &amp; Drop Downs INT'!$CM$6:$CM$747)))</f>
        <v>0</v>
      </c>
      <c r="O102" s="1676"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77"/>
      <c r="Q102" s="1677"/>
      <c r="R102" s="1677"/>
      <c r="S102" s="1678"/>
      <c r="T102" s="1722"/>
      <c r="U102" s="172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90"/>
      <c r="AD102" s="1691"/>
      <c r="AE102" s="881"/>
      <c r="AF102" s="892"/>
      <c r="AH102" s="1685"/>
      <c r="AI102" s="168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2"/>
      <c r="L103" s="1683"/>
      <c r="M103" s="1684"/>
      <c r="N103" s="1189" cm="1">
        <f t="array" ref="N103">IF($E$20="Credera US",V103,SUMPRODUCT(('Rates &amp; Drop Downs INT'!$CG$6:$CG$747=$D103)*('Rates &amp; Drop Downs INT'!$CI$6:$CI$747=$F103)*('Rates &amp; Drop Downs INT'!$CK$6:$CK$747=$K103)*('Rates &amp; Drop Downs INT'!$CM$6:$CM$747)))</f>
        <v>0</v>
      </c>
      <c r="O103" s="1676"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77"/>
      <c r="Q103" s="1677"/>
      <c r="R103" s="1677"/>
      <c r="S103" s="1678"/>
      <c r="T103" s="1722"/>
      <c r="U103" s="172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90"/>
      <c r="AD103" s="1691"/>
      <c r="AE103" s="881"/>
      <c r="AF103" s="892"/>
      <c r="AH103" s="1685"/>
      <c r="AI103" s="168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2"/>
      <c r="L104" s="1683"/>
      <c r="M104" s="1684"/>
      <c r="N104" s="1189" cm="1">
        <f t="array" ref="N104">IF($E$20="Credera US",V104,SUMPRODUCT(('Rates &amp; Drop Downs INT'!$CG$6:$CG$747=$D104)*('Rates &amp; Drop Downs INT'!$CI$6:$CI$747=$F104)*('Rates &amp; Drop Downs INT'!$CK$6:$CK$747=$K104)*('Rates &amp; Drop Downs INT'!$CM$6:$CM$747)))</f>
        <v>0</v>
      </c>
      <c r="O104" s="1676"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77"/>
      <c r="Q104" s="1677"/>
      <c r="R104" s="1677"/>
      <c r="S104" s="1678"/>
      <c r="T104" s="1722"/>
      <c r="U104" s="172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90"/>
      <c r="AD104" s="1691"/>
      <c r="AE104" s="881"/>
      <c r="AF104" s="892"/>
      <c r="AH104" s="1685"/>
      <c r="AI104" s="168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2"/>
      <c r="L105" s="1683"/>
      <c r="M105" s="1684"/>
      <c r="N105" s="1189" cm="1">
        <f t="array" ref="N105">IF($E$20="Credera US",V105,SUMPRODUCT(('Rates &amp; Drop Downs INT'!$CG$6:$CG$747=$D105)*('Rates &amp; Drop Downs INT'!$CI$6:$CI$747=$F105)*('Rates &amp; Drop Downs INT'!$CK$6:$CK$747=$K105)*('Rates &amp; Drop Downs INT'!$CM$6:$CM$747)))</f>
        <v>0</v>
      </c>
      <c r="O105" s="1676"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77"/>
      <c r="Q105" s="1677"/>
      <c r="R105" s="1677"/>
      <c r="S105" s="1678"/>
      <c r="T105" s="1722"/>
      <c r="U105" s="172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90"/>
      <c r="AD105" s="1691"/>
      <c r="AE105" s="881"/>
      <c r="AF105" s="892"/>
      <c r="AH105" s="1685"/>
      <c r="AI105" s="168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2"/>
      <c r="L106" s="1683"/>
      <c r="M106" s="1684"/>
      <c r="N106" s="1189" cm="1">
        <f t="array" ref="N106">IF($E$20="Credera US",V106,SUMPRODUCT(('Rates &amp; Drop Downs INT'!$CG$6:$CG$747=$D106)*('Rates &amp; Drop Downs INT'!$CI$6:$CI$747=$F106)*('Rates &amp; Drop Downs INT'!$CK$6:$CK$747=$K106)*('Rates &amp; Drop Downs INT'!$CM$6:$CM$747)))</f>
        <v>0</v>
      </c>
      <c r="O106" s="1676"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77"/>
      <c r="Q106" s="1677"/>
      <c r="R106" s="1677"/>
      <c r="S106" s="1678"/>
      <c r="T106" s="1722"/>
      <c r="U106" s="172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90"/>
      <c r="AD106" s="1691"/>
      <c r="AE106" s="881"/>
      <c r="AF106" s="892"/>
      <c r="AH106" s="1685"/>
      <c r="AI106" s="168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2"/>
      <c r="L107" s="1683"/>
      <c r="M107" s="1684"/>
      <c r="N107" s="1189" cm="1">
        <f t="array" ref="N107">IF($E$20="Credera US",V107,SUMPRODUCT(('Rates &amp; Drop Downs INT'!$CG$6:$CG$747=$D107)*('Rates &amp; Drop Downs INT'!$CI$6:$CI$747=$F107)*('Rates &amp; Drop Downs INT'!$CK$6:$CK$747=$K107)*('Rates &amp; Drop Downs INT'!$CM$6:$CM$747)))</f>
        <v>0</v>
      </c>
      <c r="O107" s="1676"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77"/>
      <c r="Q107" s="1677"/>
      <c r="R107" s="1677"/>
      <c r="S107" s="1678"/>
      <c r="T107" s="1722"/>
      <c r="U107" s="172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90"/>
      <c r="AD107" s="1691"/>
      <c r="AE107" s="881"/>
      <c r="AF107" s="892"/>
      <c r="AH107" s="1685"/>
      <c r="AI107" s="168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2"/>
      <c r="L108" s="1683"/>
      <c r="M108" s="1684"/>
      <c r="N108" s="1189" cm="1">
        <f t="array" ref="N108">IF($E$20="Credera US",V108,SUMPRODUCT(('Rates &amp; Drop Downs INT'!$CG$6:$CG$747=$D108)*('Rates &amp; Drop Downs INT'!$CI$6:$CI$747=$F108)*('Rates &amp; Drop Downs INT'!$CK$6:$CK$747=$K108)*('Rates &amp; Drop Downs INT'!$CM$6:$CM$747)))</f>
        <v>0</v>
      </c>
      <c r="O108" s="1676"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77"/>
      <c r="Q108" s="1677"/>
      <c r="R108" s="1677"/>
      <c r="S108" s="1678"/>
      <c r="T108" s="1722"/>
      <c r="U108" s="172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90"/>
      <c r="AD108" s="1691"/>
      <c r="AE108" s="881"/>
      <c r="AF108" s="892"/>
      <c r="AH108" s="1685"/>
      <c r="AI108" s="168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2"/>
      <c r="L109" s="1683"/>
      <c r="M109" s="1684"/>
      <c r="N109" s="1189" cm="1">
        <f t="array" ref="N109">IF($E$20="Credera US",V109,SUMPRODUCT(('Rates &amp; Drop Downs INT'!$CG$6:$CG$747=$D109)*('Rates &amp; Drop Downs INT'!$CI$6:$CI$747=$F109)*('Rates &amp; Drop Downs INT'!$CK$6:$CK$747=$K109)*('Rates &amp; Drop Downs INT'!$CM$6:$CM$747)))</f>
        <v>0</v>
      </c>
      <c r="O109" s="1676"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77"/>
      <c r="Q109" s="1677"/>
      <c r="R109" s="1677"/>
      <c r="S109" s="1678"/>
      <c r="T109" s="1722"/>
      <c r="U109" s="172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90"/>
      <c r="AD109" s="1691"/>
      <c r="AE109" s="881"/>
      <c r="AF109" s="892"/>
      <c r="AH109" s="1685"/>
      <c r="AI109" s="168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2"/>
      <c r="L110" s="1683"/>
      <c r="M110" s="1684"/>
      <c r="N110" s="1189" cm="1">
        <f t="array" ref="N110">IF($E$20="Credera US",V110,SUMPRODUCT(('Rates &amp; Drop Downs INT'!$CG$6:$CG$747=$D110)*('Rates &amp; Drop Downs INT'!$CI$6:$CI$747=$F110)*('Rates &amp; Drop Downs INT'!$CK$6:$CK$747=$K110)*('Rates &amp; Drop Downs INT'!$CM$6:$CM$747)))</f>
        <v>0</v>
      </c>
      <c r="O110" s="1676"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77"/>
      <c r="Q110" s="1677"/>
      <c r="R110" s="1677"/>
      <c r="S110" s="1678"/>
      <c r="T110" s="1722"/>
      <c r="U110" s="172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90"/>
      <c r="AD110" s="1691"/>
      <c r="AE110" s="881"/>
      <c r="AF110" s="892"/>
      <c r="AH110" s="1685"/>
      <c r="AI110" s="168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2"/>
      <c r="L111" s="1683"/>
      <c r="M111" s="1684"/>
      <c r="N111" s="1189" cm="1">
        <f t="array" ref="N111">IF($E$20="Credera US",V111,SUMPRODUCT(('Rates &amp; Drop Downs INT'!$CG$6:$CG$747=$D111)*('Rates &amp; Drop Downs INT'!$CI$6:$CI$747=$F111)*('Rates &amp; Drop Downs INT'!$CK$6:$CK$747=$K111)*('Rates &amp; Drop Downs INT'!$CM$6:$CM$747)))</f>
        <v>0</v>
      </c>
      <c r="O111" s="1676"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77"/>
      <c r="Q111" s="1677"/>
      <c r="R111" s="1677"/>
      <c r="S111" s="1678"/>
      <c r="T111" s="1722"/>
      <c r="U111" s="172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90"/>
      <c r="AD111" s="1691"/>
      <c r="AE111" s="881"/>
      <c r="AF111" s="892"/>
      <c r="AH111" s="1685"/>
      <c r="AI111" s="168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2"/>
      <c r="L112" s="1683"/>
      <c r="M112" s="1684"/>
      <c r="N112" s="1189" cm="1">
        <f t="array" ref="N112">IF($E$20="Credera US",V112,SUMPRODUCT(('Rates &amp; Drop Downs INT'!$CG$6:$CG$747=$D112)*('Rates &amp; Drop Downs INT'!$CI$6:$CI$747=$F112)*('Rates &amp; Drop Downs INT'!$CK$6:$CK$747=$K112)*('Rates &amp; Drop Downs INT'!$CM$6:$CM$747)))</f>
        <v>0</v>
      </c>
      <c r="O112" s="1676"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77"/>
      <c r="Q112" s="1677"/>
      <c r="R112" s="1677"/>
      <c r="S112" s="1678"/>
      <c r="T112" s="1722"/>
      <c r="U112" s="172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90"/>
      <c r="AD112" s="1691"/>
      <c r="AE112" s="881"/>
      <c r="AF112" s="892"/>
      <c r="AH112" s="1685"/>
      <c r="AI112" s="168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2"/>
      <c r="L113" s="1683"/>
      <c r="M113" s="1684"/>
      <c r="N113" s="1189" cm="1">
        <f t="array" ref="N113">IF($E$20="Credera US",V113,SUMPRODUCT(('Rates &amp; Drop Downs INT'!$CG$6:$CG$747=$D113)*('Rates &amp; Drop Downs INT'!$CI$6:$CI$747=$F113)*('Rates &amp; Drop Downs INT'!$CK$6:$CK$747=$K113)*('Rates &amp; Drop Downs INT'!$CM$6:$CM$747)))</f>
        <v>0</v>
      </c>
      <c r="O113" s="1676"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77"/>
      <c r="Q113" s="1677"/>
      <c r="R113" s="1677"/>
      <c r="S113" s="1678"/>
      <c r="T113" s="1722"/>
      <c r="U113" s="172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90"/>
      <c r="AD113" s="1691"/>
      <c r="AE113" s="881"/>
      <c r="AF113" s="892"/>
      <c r="AH113" s="1685"/>
      <c r="AI113" s="168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2"/>
      <c r="L114" s="1683"/>
      <c r="M114" s="1684"/>
      <c r="N114" s="1189" cm="1">
        <f t="array" ref="N114">IF($E$20="Credera US",V114,SUMPRODUCT(('Rates &amp; Drop Downs INT'!$CG$6:$CG$747=$D114)*('Rates &amp; Drop Downs INT'!$CI$6:$CI$747=$F114)*('Rates &amp; Drop Downs INT'!$CK$6:$CK$747=$K114)*('Rates &amp; Drop Downs INT'!$CM$6:$CM$747)))</f>
        <v>0</v>
      </c>
      <c r="O114" s="1676"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77"/>
      <c r="Q114" s="1677"/>
      <c r="R114" s="1677"/>
      <c r="S114" s="1678"/>
      <c r="T114" s="1722"/>
      <c r="U114" s="172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90"/>
      <c r="AD114" s="1691"/>
      <c r="AE114" s="881"/>
      <c r="AF114" s="892"/>
      <c r="AH114" s="1685"/>
      <c r="AI114" s="168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2"/>
      <c r="L115" s="1683"/>
      <c r="M115" s="1684"/>
      <c r="N115" s="1189" cm="1">
        <f t="array" ref="N115">IF($E$20="Credera US",V115,SUMPRODUCT(('Rates &amp; Drop Downs INT'!$CG$6:$CG$747=$D115)*('Rates &amp; Drop Downs INT'!$CI$6:$CI$747=$F115)*('Rates &amp; Drop Downs INT'!$CK$6:$CK$747=$K115)*('Rates &amp; Drop Downs INT'!$CM$6:$CM$747)))</f>
        <v>0</v>
      </c>
      <c r="O115" s="1676"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77"/>
      <c r="Q115" s="1677"/>
      <c r="R115" s="1677"/>
      <c r="S115" s="1678"/>
      <c r="T115" s="1722"/>
      <c r="U115" s="172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90"/>
      <c r="AD115" s="1691"/>
      <c r="AE115" s="881"/>
      <c r="AF115" s="892"/>
      <c r="AH115" s="1685"/>
      <c r="AI115" s="168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2"/>
      <c r="L116" s="1683"/>
      <c r="M116" s="1684"/>
      <c r="N116" s="1189" cm="1">
        <f t="array" ref="N116">IF($E$20="Credera US",V116,SUMPRODUCT(('Rates &amp; Drop Downs INT'!$CG$6:$CG$747=$D116)*('Rates &amp; Drop Downs INT'!$CI$6:$CI$747=$F116)*('Rates &amp; Drop Downs INT'!$CK$6:$CK$747=$K116)*('Rates &amp; Drop Downs INT'!$CM$6:$CM$747)))</f>
        <v>0</v>
      </c>
      <c r="O116" s="1676"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77"/>
      <c r="Q116" s="1677"/>
      <c r="R116" s="1677"/>
      <c r="S116" s="1678"/>
      <c r="T116" s="1722"/>
      <c r="U116" s="172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90"/>
      <c r="AD116" s="1691"/>
      <c r="AE116" s="881"/>
      <c r="AF116" s="892"/>
      <c r="AH116" s="1685"/>
      <c r="AI116" s="1685"/>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2"/>
      <c r="L117" s="1683"/>
      <c r="M117" s="1684"/>
      <c r="N117" s="1189" cm="1">
        <f t="array" ref="N117">IF($E$20="Credera US",V117,SUMPRODUCT(('Rates &amp; Drop Downs INT'!$CG$6:$CG$747=$D117)*('Rates &amp; Drop Downs INT'!$CI$6:$CI$747=$F117)*('Rates &amp; Drop Downs INT'!$CK$6:$CK$747=$K117)*('Rates &amp; Drop Downs INT'!$CM$6:$CM$747)))</f>
        <v>0</v>
      </c>
      <c r="O117" s="1676"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77"/>
      <c r="Q117" s="1677"/>
      <c r="R117" s="1677"/>
      <c r="S117" s="1678"/>
      <c r="T117" s="1722"/>
      <c r="U117" s="172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90"/>
      <c r="AD117" s="1691"/>
      <c r="AE117" s="881"/>
      <c r="AF117" s="892"/>
      <c r="AH117" s="1685"/>
      <c r="AI117" s="1685"/>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2"/>
      <c r="L118" s="1683"/>
      <c r="M118" s="1684"/>
      <c r="N118" s="1189" cm="1">
        <f t="array" ref="N118">IF($E$20="Credera US",V118,SUMPRODUCT(('Rates &amp; Drop Downs INT'!$CG$6:$CG$747=$D118)*('Rates &amp; Drop Downs INT'!$CI$6:$CI$747=$F118)*('Rates &amp; Drop Downs INT'!$CK$6:$CK$747=$K118)*('Rates &amp; Drop Downs INT'!$CM$6:$CM$747)))</f>
        <v>0</v>
      </c>
      <c r="O118" s="1676"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77"/>
      <c r="Q118" s="1677"/>
      <c r="R118" s="1677"/>
      <c r="S118" s="1678"/>
      <c r="T118" s="1722"/>
      <c r="U118" s="172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90"/>
      <c r="AD118" s="1691"/>
      <c r="AE118" s="881"/>
      <c r="AF118" s="892"/>
      <c r="AH118" s="1685"/>
      <c r="AI118" s="1685"/>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2"/>
      <c r="L119" s="1683"/>
      <c r="M119" s="1684"/>
      <c r="N119" s="1189" cm="1">
        <f t="array" ref="N119">IF($E$20="Credera US",V119,SUMPRODUCT(('Rates &amp; Drop Downs INT'!$CG$6:$CG$747=$D119)*('Rates &amp; Drop Downs INT'!$CI$6:$CI$747=$F119)*('Rates &amp; Drop Downs INT'!$CK$6:$CK$747=$K119)*('Rates &amp; Drop Downs INT'!$CM$6:$CM$747)))</f>
        <v>0</v>
      </c>
      <c r="O119" s="1676"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77"/>
      <c r="Q119" s="1677"/>
      <c r="R119" s="1677"/>
      <c r="S119" s="1678"/>
      <c r="T119" s="1722"/>
      <c r="U119" s="172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90"/>
      <c r="AD119" s="1691"/>
      <c r="AE119" s="881"/>
      <c r="AF119" s="892"/>
      <c r="AH119" s="1685"/>
      <c r="AI119" s="1685"/>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2"/>
      <c r="L120" s="1683"/>
      <c r="M120" s="1684"/>
      <c r="N120" s="1189" cm="1">
        <f t="array" ref="N120">IF($E$20="Credera US",V120,SUMPRODUCT(('Rates &amp; Drop Downs INT'!$CG$6:$CG$747=$D120)*('Rates &amp; Drop Downs INT'!$CI$6:$CI$747=$F120)*('Rates &amp; Drop Downs INT'!$CK$6:$CK$747=$K120)*('Rates &amp; Drop Downs INT'!$CM$6:$CM$747)))</f>
        <v>0</v>
      </c>
      <c r="O120" s="1676"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77"/>
      <c r="Q120" s="1677"/>
      <c r="R120" s="1677"/>
      <c r="S120" s="1678"/>
      <c r="T120" s="1722"/>
      <c r="U120" s="172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90"/>
      <c r="AD120" s="1691"/>
      <c r="AE120" s="881"/>
      <c r="AF120" s="892"/>
      <c r="AH120" s="1685"/>
      <c r="AI120" s="1685"/>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2"/>
      <c r="L121" s="1683"/>
      <c r="M121" s="1684"/>
      <c r="N121" s="1189" cm="1">
        <f t="array" ref="N121">IF($E$20="Credera US",V121,SUMPRODUCT(('Rates &amp; Drop Downs INT'!$CG$6:$CG$747=$D121)*('Rates &amp; Drop Downs INT'!$CI$6:$CI$747=$F121)*('Rates &amp; Drop Downs INT'!$CK$6:$CK$747=$K121)*('Rates &amp; Drop Downs INT'!$CM$6:$CM$747)))</f>
        <v>0</v>
      </c>
      <c r="O121" s="1676"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77"/>
      <c r="Q121" s="1677"/>
      <c r="R121" s="1677"/>
      <c r="S121" s="1678"/>
      <c r="T121" s="1722"/>
      <c r="U121" s="172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90"/>
      <c r="AD121" s="1691"/>
      <c r="AE121" s="881"/>
      <c r="AF121" s="892"/>
      <c r="AH121" s="1685"/>
      <c r="AI121" s="1685"/>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2"/>
      <c r="L122" s="1683"/>
      <c r="M122" s="1684"/>
      <c r="N122" s="1189" cm="1">
        <f t="array" ref="N122">IF($E$20="Credera US",V122,SUMPRODUCT(('Rates &amp; Drop Downs INT'!$CG$6:$CG$747=$D122)*('Rates &amp; Drop Downs INT'!$CI$6:$CI$747=$F122)*('Rates &amp; Drop Downs INT'!$CK$6:$CK$747=$K122)*('Rates &amp; Drop Downs INT'!$CM$6:$CM$747)))</f>
        <v>0</v>
      </c>
      <c r="O122" s="1676"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77"/>
      <c r="Q122" s="1677"/>
      <c r="R122" s="1677"/>
      <c r="S122" s="1678"/>
      <c r="T122" s="1722"/>
      <c r="U122" s="172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90"/>
      <c r="AD122" s="1691"/>
      <c r="AE122" s="881"/>
      <c r="AF122" s="892"/>
      <c r="AH122" s="1685"/>
      <c r="AI122" s="168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2"/>
      <c r="L123" s="1683"/>
      <c r="M123" s="1684"/>
      <c r="N123" s="1189" cm="1">
        <f t="array" ref="N123">IF($E$20="Credera US",V123,SUMPRODUCT(('Rates &amp; Drop Downs INT'!$CG$6:$CG$747=$D123)*('Rates &amp; Drop Downs INT'!$CI$6:$CI$747=$F123)*('Rates &amp; Drop Downs INT'!$CK$6:$CK$747=$K123)*('Rates &amp; Drop Downs INT'!$CM$6:$CM$747)))</f>
        <v>0</v>
      </c>
      <c r="O123" s="1676"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77"/>
      <c r="Q123" s="1677"/>
      <c r="R123" s="1677"/>
      <c r="S123" s="1678"/>
      <c r="T123" s="1722"/>
      <c r="U123" s="172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90"/>
      <c r="AD123" s="1691"/>
      <c r="AE123" s="881"/>
      <c r="AF123" s="892"/>
      <c r="AH123" s="1685"/>
      <c r="AI123" s="168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2"/>
      <c r="L124" s="1683"/>
      <c r="M124" s="1684"/>
      <c r="N124" s="1189" cm="1">
        <f t="array" ref="N124">IF($E$20="Credera US",V124,SUMPRODUCT(('Rates &amp; Drop Downs INT'!$CG$6:$CG$747=$D124)*('Rates &amp; Drop Downs INT'!$CI$6:$CI$747=$F124)*('Rates &amp; Drop Downs INT'!$CK$6:$CK$747=$K124)*('Rates &amp; Drop Downs INT'!$CM$6:$CM$747)))</f>
        <v>0</v>
      </c>
      <c r="O124" s="1676"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77"/>
      <c r="Q124" s="1677"/>
      <c r="R124" s="1677"/>
      <c r="S124" s="1678"/>
      <c r="T124" s="1722"/>
      <c r="U124" s="172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90"/>
      <c r="AD124" s="1691"/>
      <c r="AE124" s="881"/>
      <c r="AF124" s="892"/>
      <c r="AH124" s="1685"/>
      <c r="AI124" s="168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2"/>
      <c r="L125" s="1683"/>
      <c r="M125" s="1684"/>
      <c r="N125" s="1189" cm="1">
        <f t="array" ref="N125">IF($E$20="Credera US",V125,SUMPRODUCT(('Rates &amp; Drop Downs INT'!$CG$6:$CG$747=$D125)*('Rates &amp; Drop Downs INT'!$CI$6:$CI$747=$F125)*('Rates &amp; Drop Downs INT'!$CK$6:$CK$747=$K125)*('Rates &amp; Drop Downs INT'!$CM$6:$CM$747)))</f>
        <v>0</v>
      </c>
      <c r="O125" s="1676"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77"/>
      <c r="Q125" s="1677"/>
      <c r="R125" s="1677"/>
      <c r="S125" s="1678"/>
      <c r="T125" s="1722"/>
      <c r="U125" s="172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90"/>
      <c r="AD125" s="1691"/>
      <c r="AE125" s="881"/>
      <c r="AF125" s="892"/>
      <c r="AH125" s="1685"/>
      <c r="AI125" s="168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2"/>
      <c r="L126" s="1683"/>
      <c r="M126" s="1684"/>
      <c r="N126" s="1189" cm="1">
        <f t="array" ref="N126">IF($E$20="Credera US",V126,SUMPRODUCT(('Rates &amp; Drop Downs INT'!$CG$6:$CG$747=$D126)*('Rates &amp; Drop Downs INT'!$CI$6:$CI$747=$F126)*('Rates &amp; Drop Downs INT'!$CK$6:$CK$747=$K126)*('Rates &amp; Drop Downs INT'!$CM$6:$CM$747)))</f>
        <v>0</v>
      </c>
      <c r="O126" s="1676"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77"/>
      <c r="Q126" s="1677"/>
      <c r="R126" s="1677"/>
      <c r="S126" s="1678"/>
      <c r="T126" s="1722"/>
      <c r="U126" s="172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90"/>
      <c r="AD126" s="1691"/>
      <c r="AE126" s="881"/>
      <c r="AF126" s="892"/>
      <c r="AH126" s="1685"/>
      <c r="AI126" s="168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2"/>
      <c r="L127" s="1683"/>
      <c r="M127" s="1684"/>
      <c r="N127" s="1189" cm="1">
        <f t="array" ref="N127">IF($E$20="Credera US",V127,SUMPRODUCT(('Rates &amp; Drop Downs INT'!$CG$6:$CG$747=$D127)*('Rates &amp; Drop Downs INT'!$CI$6:$CI$747=$F127)*('Rates &amp; Drop Downs INT'!$CK$6:$CK$747=$K127)*('Rates &amp; Drop Downs INT'!$CM$6:$CM$747)))</f>
        <v>0</v>
      </c>
      <c r="O127" s="1676"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77"/>
      <c r="Q127" s="1677"/>
      <c r="R127" s="1677"/>
      <c r="S127" s="1678"/>
      <c r="T127" s="1722"/>
      <c r="U127" s="172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90"/>
      <c r="AD127" s="1691"/>
      <c r="AE127" s="881"/>
      <c r="AF127" s="892"/>
      <c r="AH127" s="1685"/>
      <c r="AI127" s="168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2"/>
      <c r="L128" s="1683"/>
      <c r="M128" s="1684"/>
      <c r="N128" s="1189" cm="1">
        <f t="array" ref="N128">IF($E$20="Credera US",V128,SUMPRODUCT(('Rates &amp; Drop Downs INT'!$CG$6:$CG$747=$D128)*('Rates &amp; Drop Downs INT'!$CI$6:$CI$747=$F128)*('Rates &amp; Drop Downs INT'!$CK$6:$CK$747=$K128)*('Rates &amp; Drop Downs INT'!$CM$6:$CM$747)))</f>
        <v>0</v>
      </c>
      <c r="O128" s="1676"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77"/>
      <c r="Q128" s="1677"/>
      <c r="R128" s="1677"/>
      <c r="S128" s="1678"/>
      <c r="T128" s="1722"/>
      <c r="U128" s="172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90"/>
      <c r="AD128" s="1691"/>
      <c r="AE128" s="881"/>
      <c r="AF128" s="892"/>
      <c r="AH128" s="1685"/>
      <c r="AI128" s="1685"/>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2"/>
      <c r="L129" s="1683"/>
      <c r="M129" s="1684"/>
      <c r="N129" s="1189" cm="1">
        <f t="array" ref="N129">IF($E$20="Credera US",V129,SUMPRODUCT(('Rates &amp; Drop Downs INT'!$CG$6:$CG$747=$D129)*('Rates &amp; Drop Downs INT'!$CI$6:$CI$747=$F129)*('Rates &amp; Drop Downs INT'!$CK$6:$CK$747=$K129)*('Rates &amp; Drop Downs INT'!$CM$6:$CM$747)))</f>
        <v>0</v>
      </c>
      <c r="O129" s="1676"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77"/>
      <c r="Q129" s="1677"/>
      <c r="R129" s="1677"/>
      <c r="S129" s="1678"/>
      <c r="T129" s="1722"/>
      <c r="U129" s="172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90"/>
      <c r="AD129" s="1691"/>
      <c r="AE129" s="881"/>
      <c r="AF129" s="892"/>
      <c r="AH129" s="1685"/>
      <c r="AI129" s="1685"/>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2"/>
      <c r="L130" s="1683"/>
      <c r="M130" s="1684"/>
      <c r="N130" s="1189" cm="1">
        <f t="array" ref="N130">IF($E$20="Credera US",V130,SUMPRODUCT(('Rates &amp; Drop Downs INT'!$CG$6:$CG$747=$D130)*('Rates &amp; Drop Downs INT'!$CI$6:$CI$747=$F130)*('Rates &amp; Drop Downs INT'!$CK$6:$CK$747=$K130)*('Rates &amp; Drop Downs INT'!$CM$6:$CM$747)))</f>
        <v>0</v>
      </c>
      <c r="O130" s="1676"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77"/>
      <c r="Q130" s="1677"/>
      <c r="R130" s="1677"/>
      <c r="S130" s="1678"/>
      <c r="T130" s="1722"/>
      <c r="U130" s="172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90"/>
      <c r="AD130" s="1691"/>
      <c r="AE130" s="881"/>
      <c r="AF130" s="892"/>
      <c r="AH130" s="1685"/>
      <c r="AI130" s="1685"/>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2"/>
      <c r="L131" s="1683"/>
      <c r="M131" s="1684"/>
      <c r="N131" s="1189" cm="1">
        <f t="array" ref="N131">IF($E$20="Credera US",V131,SUMPRODUCT(('Rates &amp; Drop Downs INT'!$CG$6:$CG$747=$D131)*('Rates &amp; Drop Downs INT'!$CI$6:$CI$747=$F131)*('Rates &amp; Drop Downs INT'!$CK$6:$CK$747=$K131)*('Rates &amp; Drop Downs INT'!$CM$6:$CM$747)))</f>
        <v>0</v>
      </c>
      <c r="O131" s="1676"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77"/>
      <c r="Q131" s="1677"/>
      <c r="R131" s="1677"/>
      <c r="S131" s="1678"/>
      <c r="T131" s="1722"/>
      <c r="U131" s="172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90"/>
      <c r="AD131" s="1691"/>
      <c r="AE131" s="881"/>
      <c r="AF131" s="892"/>
      <c r="AH131" s="1685"/>
      <c r="AI131" s="1685"/>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2"/>
      <c r="L132" s="1683"/>
      <c r="M132" s="1684"/>
      <c r="N132" s="1189" cm="1">
        <f t="array" ref="N132">IF($E$20="Credera US",V132,SUMPRODUCT(('Rates &amp; Drop Downs INT'!$CG$6:$CG$747=$D132)*('Rates &amp; Drop Downs INT'!$CI$6:$CI$747=$F132)*('Rates &amp; Drop Downs INT'!$CK$6:$CK$747=$K132)*('Rates &amp; Drop Downs INT'!$CM$6:$CM$747)))</f>
        <v>0</v>
      </c>
      <c r="O132" s="1676"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77"/>
      <c r="Q132" s="1677"/>
      <c r="R132" s="1677"/>
      <c r="S132" s="1678"/>
      <c r="T132" s="1722"/>
      <c r="U132" s="172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90"/>
      <c r="AD132" s="1691"/>
      <c r="AE132" s="881"/>
      <c r="AF132" s="892"/>
      <c r="AH132" s="1685"/>
      <c r="AI132" s="1685"/>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2"/>
      <c r="L133" s="1683"/>
      <c r="M133" s="1684"/>
      <c r="N133" s="1189" cm="1">
        <f t="array" ref="N133">IF($E$20="Credera US",V133,SUMPRODUCT(('Rates &amp; Drop Downs INT'!$CG$6:$CG$747=$D133)*('Rates &amp; Drop Downs INT'!$CI$6:$CI$747=$F133)*('Rates &amp; Drop Downs INT'!$CK$6:$CK$747=$K133)*('Rates &amp; Drop Downs INT'!$CM$6:$CM$747)))</f>
        <v>0</v>
      </c>
      <c r="O133" s="1676"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77"/>
      <c r="Q133" s="1677"/>
      <c r="R133" s="1677"/>
      <c r="S133" s="1678"/>
      <c r="T133" s="1722"/>
      <c r="U133" s="172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90"/>
      <c r="AD133" s="1691"/>
      <c r="AE133" s="881"/>
      <c r="AF133" s="892"/>
      <c r="AH133" s="1685"/>
      <c r="AI133" s="1685"/>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2"/>
      <c r="L134" s="1683"/>
      <c r="M134" s="1684"/>
      <c r="N134" s="1189" cm="1">
        <f t="array" ref="N134">IF($E$20="Credera US",V134,SUMPRODUCT(('Rates &amp; Drop Downs INT'!$CG$6:$CG$747=$D134)*('Rates &amp; Drop Downs INT'!$CI$6:$CI$747=$F134)*('Rates &amp; Drop Downs INT'!$CK$6:$CK$747=$K134)*('Rates &amp; Drop Downs INT'!$CM$6:$CM$747)))</f>
        <v>0</v>
      </c>
      <c r="O134" s="1676"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77"/>
      <c r="Q134" s="1677"/>
      <c r="R134" s="1677"/>
      <c r="S134" s="1678"/>
      <c r="T134" s="1722"/>
      <c r="U134" s="172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90"/>
      <c r="AD134" s="1691"/>
      <c r="AE134" s="881"/>
      <c r="AF134" s="892"/>
      <c r="AH134" s="1685"/>
      <c r="AI134" s="1685"/>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2"/>
      <c r="L135" s="1683"/>
      <c r="M135" s="1684"/>
      <c r="N135" s="1189" cm="1">
        <f t="array" ref="N135">IF($E$20="Credera US",V135,SUMPRODUCT(('Rates &amp; Drop Downs INT'!$CG$6:$CG$747=$D135)*('Rates &amp; Drop Downs INT'!$CI$6:$CI$747=$F135)*('Rates &amp; Drop Downs INT'!$CK$6:$CK$747=$K135)*('Rates &amp; Drop Downs INT'!$CM$6:$CM$747)))</f>
        <v>0</v>
      </c>
      <c r="O135" s="1676"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77"/>
      <c r="Q135" s="1677"/>
      <c r="R135" s="1677"/>
      <c r="S135" s="1678"/>
      <c r="T135" s="1722"/>
      <c r="U135" s="172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90"/>
      <c r="AD135" s="1691"/>
      <c r="AE135" s="881"/>
      <c r="AF135" s="892"/>
      <c r="AH135" s="1685"/>
      <c r="AI135" s="1685"/>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2"/>
      <c r="L136" s="1683"/>
      <c r="M136" s="1684"/>
      <c r="N136" s="1189" cm="1">
        <f t="array" ref="N136">IF($E$20="Credera US",V136,SUMPRODUCT(('Rates &amp; Drop Downs INT'!$CG$6:$CG$747=$D136)*('Rates &amp; Drop Downs INT'!$CI$6:$CI$747=$F136)*('Rates &amp; Drop Downs INT'!$CK$6:$CK$747=$K136)*('Rates &amp; Drop Downs INT'!$CM$6:$CM$747)))</f>
        <v>0</v>
      </c>
      <c r="O136" s="1676"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77"/>
      <c r="Q136" s="1677"/>
      <c r="R136" s="1677"/>
      <c r="S136" s="1678"/>
      <c r="T136" s="1722"/>
      <c r="U136" s="172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90"/>
      <c r="AD136" s="1691"/>
      <c r="AE136" s="881"/>
      <c r="AF136" s="892"/>
      <c r="AH136" s="1685"/>
      <c r="AI136" s="1685"/>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2"/>
      <c r="L137" s="1683"/>
      <c r="M137" s="1684"/>
      <c r="N137" s="1189" cm="1">
        <f t="array" ref="N137">IF($E$20="Credera US",V137,SUMPRODUCT(('Rates &amp; Drop Downs INT'!$CG$6:$CG$747=$D137)*('Rates &amp; Drop Downs INT'!$CI$6:$CI$747=$F137)*('Rates &amp; Drop Downs INT'!$CK$6:$CK$747=$K137)*('Rates &amp; Drop Downs INT'!$CM$6:$CM$747)))</f>
        <v>0</v>
      </c>
      <c r="O137" s="1676"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77"/>
      <c r="Q137" s="1677"/>
      <c r="R137" s="1677"/>
      <c r="S137" s="1678"/>
      <c r="T137" s="1722"/>
      <c r="U137" s="172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90"/>
      <c r="AD137" s="1691"/>
      <c r="AE137" s="881"/>
      <c r="AF137" s="892"/>
      <c r="AH137" s="1685"/>
      <c r="AI137" s="1685"/>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2"/>
      <c r="L138" s="1683"/>
      <c r="M138" s="1684"/>
      <c r="N138" s="1189" cm="1">
        <f t="array" ref="N138">IF($E$20="Credera US",V138,SUMPRODUCT(('Rates &amp; Drop Downs INT'!$CG$6:$CG$747=$D138)*('Rates &amp; Drop Downs INT'!$CI$6:$CI$747=$F138)*('Rates &amp; Drop Downs INT'!$CK$6:$CK$747=$K138)*('Rates &amp; Drop Downs INT'!$CM$6:$CM$747)))</f>
        <v>0</v>
      </c>
      <c r="O138" s="1676"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77"/>
      <c r="Q138" s="1677"/>
      <c r="R138" s="1677"/>
      <c r="S138" s="1678"/>
      <c r="T138" s="1722"/>
      <c r="U138" s="172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90"/>
      <c r="AD138" s="1691"/>
      <c r="AE138" s="881"/>
      <c r="AF138" s="892"/>
      <c r="AH138" s="1685"/>
      <c r="AI138" s="1685"/>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2"/>
      <c r="L139" s="1683"/>
      <c r="M139" s="1684"/>
      <c r="N139" s="1189" cm="1">
        <f t="array" ref="N139">IF($E$20="Credera US",V139,SUMPRODUCT(('Rates &amp; Drop Downs INT'!$CG$6:$CG$747=$D139)*('Rates &amp; Drop Downs INT'!$CI$6:$CI$747=$F139)*('Rates &amp; Drop Downs INT'!$CK$6:$CK$747=$K139)*('Rates &amp; Drop Downs INT'!$CM$6:$CM$747)))</f>
        <v>0</v>
      </c>
      <c r="O139" s="1676"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77"/>
      <c r="Q139" s="1677"/>
      <c r="R139" s="1677"/>
      <c r="S139" s="1678"/>
      <c r="T139" s="1722"/>
      <c r="U139" s="172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90"/>
      <c r="AD139" s="1691"/>
      <c r="AE139" s="881"/>
      <c r="AF139" s="892"/>
      <c r="AH139" s="1685"/>
      <c r="AI139" s="1685"/>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2"/>
      <c r="L140" s="1683"/>
      <c r="M140" s="1684"/>
      <c r="N140" s="1189" cm="1">
        <f t="array" ref="N140">IF($E$20="Credera US",V140,SUMPRODUCT(('Rates &amp; Drop Downs INT'!$CG$6:$CG$747=$D140)*('Rates &amp; Drop Downs INT'!$CI$6:$CI$747=$F140)*('Rates &amp; Drop Downs INT'!$CK$6:$CK$747=$K140)*('Rates &amp; Drop Downs INT'!$CM$6:$CM$747)))</f>
        <v>0</v>
      </c>
      <c r="O140" s="1676"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77"/>
      <c r="Q140" s="1677"/>
      <c r="R140" s="1677"/>
      <c r="S140" s="1678"/>
      <c r="T140" s="1722"/>
      <c r="U140" s="172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90"/>
      <c r="AD140" s="1691"/>
      <c r="AE140" s="881"/>
      <c r="AF140" s="892"/>
      <c r="AH140" s="1685"/>
      <c r="AI140" s="1685"/>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2"/>
      <c r="L141" s="1683"/>
      <c r="M141" s="1684"/>
      <c r="N141" s="1189" cm="1">
        <f t="array" ref="N141">IF($E$20="Credera US",V141,SUMPRODUCT(('Rates &amp; Drop Downs INT'!$CG$6:$CG$747=$D141)*('Rates &amp; Drop Downs INT'!$CI$6:$CI$747=$F141)*('Rates &amp; Drop Downs INT'!$CK$6:$CK$747=$K141)*('Rates &amp; Drop Downs INT'!$CM$6:$CM$747)))</f>
        <v>0</v>
      </c>
      <c r="O141" s="1676"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77"/>
      <c r="Q141" s="1677"/>
      <c r="R141" s="1677"/>
      <c r="S141" s="1678"/>
      <c r="T141" s="1722"/>
      <c r="U141" s="172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90"/>
      <c r="AD141" s="1691"/>
      <c r="AE141" s="881"/>
      <c r="AF141" s="892"/>
      <c r="AH141" s="1685"/>
      <c r="AI141" s="1685"/>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2"/>
      <c r="L142" s="1683"/>
      <c r="M142" s="1684"/>
      <c r="N142" s="1189" cm="1">
        <f t="array" ref="N142">IF($E$20="Credera US",V142,SUMPRODUCT(('Rates &amp; Drop Downs INT'!$CG$6:$CG$747=$D142)*('Rates &amp; Drop Downs INT'!$CI$6:$CI$747=$F142)*('Rates &amp; Drop Downs INT'!$CK$6:$CK$747=$K142)*('Rates &amp; Drop Downs INT'!$CM$6:$CM$747)))</f>
        <v>0</v>
      </c>
      <c r="O142" s="1676"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77"/>
      <c r="Q142" s="1677"/>
      <c r="R142" s="1677"/>
      <c r="S142" s="1678"/>
      <c r="T142" s="1722"/>
      <c r="U142" s="172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90"/>
      <c r="AD142" s="1691"/>
      <c r="AE142" s="881"/>
      <c r="AF142" s="892"/>
      <c r="AH142" s="1685"/>
      <c r="AI142" s="1685"/>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2"/>
      <c r="L143" s="1683"/>
      <c r="M143" s="1684"/>
      <c r="N143" s="1189" cm="1">
        <f t="array" ref="N143">IF($E$20="Credera US",V143,SUMPRODUCT(('Rates &amp; Drop Downs INT'!$CG$6:$CG$747=$D143)*('Rates &amp; Drop Downs INT'!$CI$6:$CI$747=$F143)*('Rates &amp; Drop Downs INT'!$CK$6:$CK$747=$K143)*('Rates &amp; Drop Downs INT'!$CM$6:$CM$747)))</f>
        <v>0</v>
      </c>
      <c r="O143" s="1676"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77"/>
      <c r="Q143" s="1677"/>
      <c r="R143" s="1677"/>
      <c r="S143" s="1678"/>
      <c r="T143" s="1722"/>
      <c r="U143" s="172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90"/>
      <c r="AD143" s="1691"/>
      <c r="AE143" s="881"/>
      <c r="AF143" s="892"/>
      <c r="AH143" s="1685"/>
      <c r="AI143" s="1685"/>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2"/>
      <c r="L144" s="1683"/>
      <c r="M144" s="1684"/>
      <c r="N144" s="1189" cm="1">
        <f t="array" ref="N144">IF($E$20="Credera US",V144,SUMPRODUCT(('Rates &amp; Drop Downs INT'!$CG$6:$CG$747=$D144)*('Rates &amp; Drop Downs INT'!$CI$6:$CI$747=$F144)*('Rates &amp; Drop Downs INT'!$CK$6:$CK$747=$K144)*('Rates &amp; Drop Downs INT'!$CM$6:$CM$747)))</f>
        <v>0</v>
      </c>
      <c r="O144" s="1676"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77"/>
      <c r="Q144" s="1677"/>
      <c r="R144" s="1677"/>
      <c r="S144" s="1678"/>
      <c r="T144" s="1722"/>
      <c r="U144" s="172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90"/>
      <c r="AD144" s="1691"/>
      <c r="AE144" s="881"/>
      <c r="AF144" s="892"/>
      <c r="AH144" s="1685"/>
      <c r="AI144" s="1685"/>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2"/>
      <c r="L145" s="1683"/>
      <c r="M145" s="1684"/>
      <c r="N145" s="1189" cm="1">
        <f t="array" ref="N145">IF($E$20="Credera US",V145,SUMPRODUCT(('Rates &amp; Drop Downs INT'!$CG$6:$CG$747=$D145)*('Rates &amp; Drop Downs INT'!$CI$6:$CI$747=$F145)*('Rates &amp; Drop Downs INT'!$CK$6:$CK$747=$K145)*('Rates &amp; Drop Downs INT'!$CM$6:$CM$747)))</f>
        <v>0</v>
      </c>
      <c r="O145" s="1676"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77"/>
      <c r="Q145" s="1677"/>
      <c r="R145" s="1677"/>
      <c r="S145" s="1678"/>
      <c r="T145" s="1722"/>
      <c r="U145" s="172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90"/>
      <c r="AD145" s="1691"/>
      <c r="AE145" s="881"/>
      <c r="AF145" s="892"/>
      <c r="AH145" s="1685"/>
      <c r="AI145" s="1685"/>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2"/>
      <c r="L146" s="1683"/>
      <c r="M146" s="1684"/>
      <c r="N146" s="1189" cm="1">
        <f t="array" ref="N146">IF($E$20="Credera US",V146,SUMPRODUCT(('Rates &amp; Drop Downs INT'!$CG$6:$CG$747=$D146)*('Rates &amp; Drop Downs INT'!$CI$6:$CI$747=$F146)*('Rates &amp; Drop Downs INT'!$CK$6:$CK$747=$K146)*('Rates &amp; Drop Downs INT'!$CM$6:$CM$747)))</f>
        <v>0</v>
      </c>
      <c r="O146" s="1676"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77"/>
      <c r="Q146" s="1677"/>
      <c r="R146" s="1677"/>
      <c r="S146" s="1678"/>
      <c r="T146" s="1722"/>
      <c r="U146" s="172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90"/>
      <c r="AD146" s="1691"/>
      <c r="AE146" s="881"/>
      <c r="AF146" s="892"/>
      <c r="AH146" s="1685"/>
      <c r="AI146" s="1685"/>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2"/>
      <c r="L147" s="1683"/>
      <c r="M147" s="1684"/>
      <c r="N147" s="1194" cm="1">
        <f t="array" ref="N147">IF($E$20="Credera US",V147,SUMPRODUCT(('Rates &amp; Drop Downs INT'!$CG$6:$CG$747=$D147)*('Rates &amp; Drop Downs INT'!$CI$6:$CI$747=$F147)*('Rates &amp; Drop Downs INT'!$CK$6:$CK$747=$K147)*('Rates &amp; Drop Downs INT'!$CM$6:$CM$747)))</f>
        <v>0</v>
      </c>
      <c r="O147" s="1679"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680"/>
      <c r="Q147" s="1680"/>
      <c r="R147" s="1680"/>
      <c r="S147" s="1681"/>
      <c r="T147" s="1723"/>
      <c r="U147" s="172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734"/>
      <c r="AD147" s="1735"/>
      <c r="AE147" s="894"/>
      <c r="AF147" s="895"/>
      <c r="AH147" s="1685"/>
      <c r="AI147" s="1685"/>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672" t="s">
        <v>3234</v>
      </c>
      <c r="D151" s="1672"/>
      <c r="E151" s="1672"/>
      <c r="F151" s="1672"/>
      <c r="G151" s="1672"/>
      <c r="H151" s="1673"/>
      <c r="I151" s="1672"/>
      <c r="J151" s="1672"/>
      <c r="K151" s="1672"/>
      <c r="L151" s="1672"/>
      <c r="M151" s="1672"/>
      <c r="N151" s="1672"/>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729" t="s">
        <v>3582</v>
      </c>
      <c r="D152" s="1729"/>
      <c r="E152" s="1729"/>
      <c r="F152" s="1729"/>
      <c r="G152" s="1729"/>
      <c r="H152" s="1729"/>
      <c r="I152" s="1729"/>
      <c r="J152" s="1729"/>
      <c r="K152" s="1729"/>
      <c r="L152" s="1729"/>
      <c r="M152" s="1729"/>
      <c r="N152" s="1729"/>
      <c r="O152" s="1729"/>
      <c r="P152" s="1729"/>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708" t="s">
        <v>2318</v>
      </c>
      <c r="D154" s="1708"/>
      <c r="E154" s="1708"/>
      <c r="F154" s="1708"/>
      <c r="G154" s="1708"/>
      <c r="H154" s="1708"/>
      <c r="I154" s="1708"/>
      <c r="J154" s="1708"/>
      <c r="K154" s="1708"/>
      <c r="L154" s="1708"/>
      <c r="M154" s="1708"/>
      <c r="N154" s="1708"/>
      <c r="Y154" s="838"/>
      <c r="Z154" s="838"/>
      <c r="AA154" s="839"/>
      <c r="AB154" s="839"/>
      <c r="AC154" s="839"/>
      <c r="AD154" s="839"/>
      <c r="AE154" s="839"/>
      <c r="AI154" s="837"/>
      <c r="AJ154" s="822"/>
      <c r="AK154" s="822"/>
      <c r="AL154" s="822"/>
      <c r="AM154" s="822"/>
      <c r="CM154" s="840"/>
    </row>
    <row r="155" spans="1:97" ht="22.05" customHeight="1" x14ac:dyDescent="0.25">
      <c r="C155" s="1708" t="s">
        <v>2319</v>
      </c>
      <c r="D155" s="1708"/>
      <c r="E155" s="1708"/>
      <c r="F155" s="1708"/>
      <c r="G155" s="1708"/>
      <c r="H155" s="1708"/>
      <c r="I155" s="1708"/>
      <c r="J155" s="1708"/>
      <c r="K155" s="1708"/>
      <c r="L155" s="1708"/>
      <c r="M155" s="1708"/>
      <c r="N155" s="1708"/>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45916</v>
      </c>
      <c r="G158" s="1390"/>
      <c r="H158" s="1390"/>
      <c r="I158" s="1390">
        <f>IFERROR(F158+7-WEEKDAY(F158,3),"")</f>
        <v>45922</v>
      </c>
      <c r="J158" s="1390"/>
      <c r="K158" s="1390">
        <f>IFERROR(I158+7," ")</f>
        <v>45929</v>
      </c>
      <c r="L158" s="1390">
        <f>IFERROR(K158+7," ")</f>
        <v>45936</v>
      </c>
      <c r="M158" s="1390">
        <f>IFERROR(L158+7," ")</f>
        <v>45943</v>
      </c>
      <c r="N158" s="1390">
        <f>IFERROR(M158+7," ")</f>
        <v>45950</v>
      </c>
      <c r="O158" s="1390">
        <f>IFERROR(N158+7," ")</f>
        <v>45957</v>
      </c>
      <c r="P158" s="1390">
        <f t="shared" ref="P158" si="9">IFERROR(O158+7," ")</f>
        <v>45964</v>
      </c>
      <c r="Q158" s="1390">
        <f t="shared" ref="Q158" si="10">IFERROR(P158+7," ")</f>
        <v>45971</v>
      </c>
      <c r="R158" s="1390">
        <f t="shared" ref="R158" si="11">IFERROR(Q158+7," ")</f>
        <v>45978</v>
      </c>
      <c r="S158" s="1390">
        <f t="shared" ref="S158" si="12">IFERROR(R158+7," ")</f>
        <v>45985</v>
      </c>
      <c r="T158" s="1390">
        <f t="shared" ref="T158" si="13">IFERROR(S158+7," ")</f>
        <v>45992</v>
      </c>
      <c r="U158" s="1390">
        <f t="shared" ref="U158" si="14">IFERROR(T158+7," ")</f>
        <v>45999</v>
      </c>
      <c r="V158" s="1390"/>
      <c r="W158" s="1390"/>
      <c r="X158" s="1390"/>
      <c r="Y158" s="1390">
        <f>IFERROR(U158+7," ")</f>
        <v>46006</v>
      </c>
      <c r="Z158" s="1390">
        <f t="shared" ref="Z158" si="15">IFERROR(Y158+7," ")</f>
        <v>46013</v>
      </c>
      <c r="AA158" s="1390">
        <f t="shared" ref="AA158" si="16">IFERROR(Z158+7," ")</f>
        <v>46020</v>
      </c>
      <c r="AB158" s="1390">
        <f t="shared" ref="AB158" si="17">IFERROR(AA158+7," ")</f>
        <v>46027</v>
      </c>
      <c r="AC158" s="1390"/>
      <c r="AD158" s="1524"/>
      <c r="AE158" s="1524"/>
      <c r="AF158" s="1524"/>
      <c r="AG158" s="1390">
        <f>IFERROR(AB158+7," ")</f>
        <v>46034</v>
      </c>
      <c r="AH158" s="1390">
        <f>IFERROR(AG158+7," ")</f>
        <v>46041</v>
      </c>
      <c r="AI158" s="1390">
        <f t="shared" ref="AI158:BJ158" si="18">IFERROR(AH158+7," ")</f>
        <v>46048</v>
      </c>
      <c r="AJ158" s="1390">
        <f>IFERROR(AI158+7," ")</f>
        <v>46055</v>
      </c>
      <c r="AK158" s="1390">
        <f t="shared" si="18"/>
        <v>46062</v>
      </c>
      <c r="AL158" s="1390">
        <f t="shared" si="18"/>
        <v>46069</v>
      </c>
      <c r="AM158" s="1390">
        <f t="shared" si="18"/>
        <v>46076</v>
      </c>
      <c r="AN158" s="1390">
        <f t="shared" si="18"/>
        <v>46083</v>
      </c>
      <c r="AO158" s="1390">
        <f t="shared" si="18"/>
        <v>46090</v>
      </c>
      <c r="AP158" s="1390">
        <f t="shared" si="18"/>
        <v>46097</v>
      </c>
      <c r="AQ158" s="1390">
        <f t="shared" si="18"/>
        <v>46104</v>
      </c>
      <c r="AR158" s="1390">
        <f t="shared" si="18"/>
        <v>46111</v>
      </c>
      <c r="AS158" s="1390">
        <f t="shared" si="18"/>
        <v>46118</v>
      </c>
      <c r="AT158" s="1390">
        <f t="shared" si="18"/>
        <v>46125</v>
      </c>
      <c r="AU158" s="1390">
        <f t="shared" si="18"/>
        <v>46132</v>
      </c>
      <c r="AV158" s="1390">
        <f t="shared" si="18"/>
        <v>46139</v>
      </c>
      <c r="AW158" s="1390">
        <f t="shared" si="18"/>
        <v>46146</v>
      </c>
      <c r="AX158" s="1390">
        <f t="shared" si="18"/>
        <v>46153</v>
      </c>
      <c r="AY158" s="1390">
        <f t="shared" si="18"/>
        <v>46160</v>
      </c>
      <c r="AZ158" s="1390">
        <f t="shared" si="18"/>
        <v>46167</v>
      </c>
      <c r="BA158" s="1390">
        <f t="shared" si="18"/>
        <v>46174</v>
      </c>
      <c r="BB158" s="1390">
        <f t="shared" si="18"/>
        <v>46181</v>
      </c>
      <c r="BC158" s="1390">
        <f t="shared" si="18"/>
        <v>46188</v>
      </c>
      <c r="BD158" s="1390">
        <f t="shared" si="18"/>
        <v>46195</v>
      </c>
      <c r="BE158" s="1390">
        <f t="shared" si="18"/>
        <v>46202</v>
      </c>
      <c r="BF158" s="1390">
        <f t="shared" si="18"/>
        <v>46209</v>
      </c>
      <c r="BG158" s="1390">
        <f t="shared" si="18"/>
        <v>46216</v>
      </c>
      <c r="BH158" s="1390">
        <f t="shared" si="18"/>
        <v>46223</v>
      </c>
      <c r="BI158" s="1390">
        <f t="shared" si="18"/>
        <v>46230</v>
      </c>
      <c r="BJ158" s="1390">
        <f t="shared" si="18"/>
        <v>46237</v>
      </c>
      <c r="BK158" s="1390">
        <f t="shared" ref="BK158" si="19">IFERROR(BJ158+7," ")</f>
        <v>46244</v>
      </c>
      <c r="BL158" s="1390">
        <f t="shared" ref="BL158" si="20">IFERROR(BK158+7," ")</f>
        <v>46251</v>
      </c>
      <c r="BM158" s="1390">
        <f t="shared" ref="BM158" si="21">IFERROR(BL158+7," ")</f>
        <v>46258</v>
      </c>
      <c r="BN158" s="1390">
        <f>IFERROR(BM158+7," ")</f>
        <v>46265</v>
      </c>
      <c r="BO158" s="1390">
        <f>IFERROR(BN158+7," ")</f>
        <v>46272</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669" t="s">
        <v>3679</v>
      </c>
      <c r="D160" s="1669"/>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663" t="s">
        <v>176</v>
      </c>
      <c r="D161" s="1663"/>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663" t="s">
        <v>257</v>
      </c>
      <c r="D162" s="1663"/>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663" t="s">
        <v>269</v>
      </c>
      <c r="D163" s="1663"/>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663" t="s">
        <v>283</v>
      </c>
      <c r="D164" s="1663"/>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663" t="s">
        <v>294</v>
      </c>
      <c r="D165" s="1663"/>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45915</v>
      </c>
      <c r="G166" s="883"/>
      <c r="H166" s="883"/>
      <c r="I166" s="883">
        <f>IF(WEEKDAY(I158,1)=2,I158,I158-WEEKDAY(I158,1)+2)</f>
        <v>45922</v>
      </c>
      <c r="J166" s="883"/>
      <c r="K166" s="883">
        <f t="shared" ref="K166:AB166" si="72">IF(WEEKDAY(K158,1)=2,K158,K158-WEEKDAY(K158,1)+2)</f>
        <v>45929</v>
      </c>
      <c r="L166" s="883">
        <f t="shared" si="72"/>
        <v>45936</v>
      </c>
      <c r="M166" s="883">
        <f t="shared" si="72"/>
        <v>45943</v>
      </c>
      <c r="N166" s="883">
        <f t="shared" si="72"/>
        <v>45950</v>
      </c>
      <c r="O166" s="883">
        <f t="shared" si="72"/>
        <v>45957</v>
      </c>
      <c r="P166" s="883">
        <f t="shared" si="72"/>
        <v>45964</v>
      </c>
      <c r="Q166" s="883">
        <f t="shared" si="72"/>
        <v>45971</v>
      </c>
      <c r="R166" s="897">
        <f t="shared" si="72"/>
        <v>45978</v>
      </c>
      <c r="S166" s="901">
        <f t="shared" si="72"/>
        <v>45985</v>
      </c>
      <c r="T166" s="901">
        <f t="shared" si="72"/>
        <v>45992</v>
      </c>
      <c r="U166" s="901">
        <f t="shared" si="72"/>
        <v>45999</v>
      </c>
      <c r="V166" s="901"/>
      <c r="W166" s="901"/>
      <c r="X166" s="901"/>
      <c r="Y166" s="901">
        <f t="shared" si="72"/>
        <v>46006</v>
      </c>
      <c r="Z166" s="901">
        <f t="shared" si="72"/>
        <v>46013</v>
      </c>
      <c r="AA166" s="901">
        <f t="shared" si="72"/>
        <v>46020</v>
      </c>
      <c r="AB166" s="901">
        <f t="shared" si="72"/>
        <v>46027</v>
      </c>
      <c r="AC166" s="901"/>
      <c r="AH166" s="901">
        <f t="shared" ref="AH166:BN166" si="73">IF(WEEKDAY(AH158,1)=2,AH158,AH158-WEEKDAY(AH158,1)+2)</f>
        <v>46041</v>
      </c>
      <c r="AI166" s="901">
        <f t="shared" si="73"/>
        <v>46048</v>
      </c>
      <c r="AJ166" s="901">
        <f t="shared" si="73"/>
        <v>46055</v>
      </c>
      <c r="AK166" s="901">
        <f t="shared" si="73"/>
        <v>46062</v>
      </c>
      <c r="AL166" s="901">
        <f t="shared" si="73"/>
        <v>46069</v>
      </c>
      <c r="AM166" s="901">
        <f t="shared" si="73"/>
        <v>46076</v>
      </c>
      <c r="AN166" s="901">
        <f t="shared" si="73"/>
        <v>46083</v>
      </c>
      <c r="AO166" s="901">
        <f t="shared" si="73"/>
        <v>46090</v>
      </c>
      <c r="AP166" s="901">
        <f t="shared" si="73"/>
        <v>46097</v>
      </c>
      <c r="AQ166" s="901">
        <f t="shared" si="73"/>
        <v>46104</v>
      </c>
      <c r="AR166" s="901">
        <f t="shared" si="73"/>
        <v>46111</v>
      </c>
      <c r="AS166" s="901">
        <f t="shared" si="73"/>
        <v>46118</v>
      </c>
      <c r="AT166" s="901">
        <f t="shared" si="73"/>
        <v>46125</v>
      </c>
      <c r="AU166" s="901">
        <f t="shared" si="73"/>
        <v>46132</v>
      </c>
      <c r="AV166" s="901">
        <f t="shared" si="73"/>
        <v>46139</v>
      </c>
      <c r="AW166" s="901">
        <f t="shared" si="73"/>
        <v>46146</v>
      </c>
      <c r="AX166" s="901">
        <f t="shared" si="73"/>
        <v>46153</v>
      </c>
      <c r="AY166" s="901">
        <f t="shared" si="73"/>
        <v>46160</v>
      </c>
      <c r="AZ166" s="901">
        <f t="shared" si="73"/>
        <v>46167</v>
      </c>
      <c r="BA166" s="901">
        <f t="shared" si="73"/>
        <v>46174</v>
      </c>
      <c r="BB166" s="901">
        <f t="shared" si="73"/>
        <v>46181</v>
      </c>
      <c r="BC166" s="901">
        <f t="shared" si="73"/>
        <v>46188</v>
      </c>
      <c r="BD166" s="901">
        <f t="shared" si="73"/>
        <v>46195</v>
      </c>
      <c r="BE166" s="901">
        <f t="shared" si="73"/>
        <v>46202</v>
      </c>
      <c r="BF166" s="901">
        <f t="shared" si="73"/>
        <v>46209</v>
      </c>
      <c r="BG166" s="901">
        <f t="shared" si="73"/>
        <v>46216</v>
      </c>
      <c r="BH166" s="901">
        <f t="shared" si="73"/>
        <v>46223</v>
      </c>
      <c r="BI166" s="901">
        <f t="shared" si="73"/>
        <v>46230</v>
      </c>
      <c r="BJ166" s="901">
        <f t="shared" si="73"/>
        <v>46237</v>
      </c>
      <c r="BK166" s="901">
        <f t="shared" si="73"/>
        <v>46244</v>
      </c>
      <c r="BL166" s="901">
        <f t="shared" si="73"/>
        <v>46251</v>
      </c>
      <c r="BM166" s="1337">
        <f t="shared" si="73"/>
        <v>46258</v>
      </c>
      <c r="BN166" s="1338">
        <f t="shared" si="73"/>
        <v>46265</v>
      </c>
      <c r="BO166" s="1338">
        <f t="shared" ref="BO166" si="74">IF(WEEKDAY(BO158,1)=2,BO158,BO158-WEEKDAY(BO158,1)+2)</f>
        <v>46272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2405</v>
      </c>
      <c r="D169" s="1205" t="s">
        <v>2407</v>
      </c>
      <c r="E169" s="1321"/>
      <c r="F169" s="1321">
        <f>SUM(F170:F269)</f>
        <v>252</v>
      </c>
      <c r="G169" s="1321"/>
      <c r="H169" s="1321"/>
      <c r="I169" s="1321">
        <f>SUM(I170:I269)</f>
        <v>252</v>
      </c>
      <c r="J169" s="1321"/>
      <c r="K169" s="1321">
        <f>SUM(K170:K269)</f>
        <v>252</v>
      </c>
      <c r="L169" s="1321">
        <f t="shared" ref="L169:AB169" si="75">SUM(L170:L269)</f>
        <v>252</v>
      </c>
      <c r="M169" s="1321">
        <f t="shared" si="75"/>
        <v>292</v>
      </c>
      <c r="N169" s="1321">
        <f t="shared" si="75"/>
        <v>292</v>
      </c>
      <c r="O169" s="1321">
        <f t="shared" si="75"/>
        <v>292</v>
      </c>
      <c r="P169" s="1321">
        <f t="shared" si="75"/>
        <v>292</v>
      </c>
      <c r="Q169" s="1321">
        <f t="shared" si="75"/>
        <v>292</v>
      </c>
      <c r="R169" s="1321">
        <f t="shared" si="75"/>
        <v>292</v>
      </c>
      <c r="S169" s="1321">
        <f t="shared" si="75"/>
        <v>292</v>
      </c>
      <c r="T169" s="1321">
        <f t="shared" si="75"/>
        <v>292</v>
      </c>
      <c r="U169" s="1321">
        <f t="shared" si="75"/>
        <v>292</v>
      </c>
      <c r="V169" s="1321"/>
      <c r="W169" s="1321"/>
      <c r="X169" s="1321"/>
      <c r="Y169" s="1321">
        <f t="shared" si="75"/>
        <v>252</v>
      </c>
      <c r="Z169" s="1321">
        <f t="shared" si="75"/>
        <v>252</v>
      </c>
      <c r="AA169" s="1321">
        <f t="shared" si="75"/>
        <v>252</v>
      </c>
      <c r="AB169" s="899">
        <f t="shared" si="75"/>
        <v>252</v>
      </c>
      <c r="AC169" s="899"/>
      <c r="AD169" s="1335"/>
      <c r="AE169" s="1335"/>
      <c r="AF169" s="1335"/>
      <c r="AG169" s="1335">
        <f>SUM(AG170:AG269)</f>
        <v>292</v>
      </c>
      <c r="AH169" s="899">
        <f t="shared" ref="AH169:AI169" si="76">SUM(AH170:AH269)</f>
        <v>292</v>
      </c>
      <c r="AI169" s="899">
        <f t="shared" si="76"/>
        <v>292</v>
      </c>
      <c r="AJ169" s="899">
        <f t="shared" ref="AJ169:BC169" si="77">SUM(AJ170:AJ269)</f>
        <v>292</v>
      </c>
      <c r="AK169" s="899">
        <f t="shared" si="77"/>
        <v>292</v>
      </c>
      <c r="AL169" s="899">
        <f t="shared" si="77"/>
        <v>292</v>
      </c>
      <c r="AM169" s="899">
        <f t="shared" si="77"/>
        <v>292</v>
      </c>
      <c r="AN169" s="899">
        <f t="shared" si="77"/>
        <v>292</v>
      </c>
      <c r="AO169" s="899">
        <f t="shared" si="77"/>
        <v>292</v>
      </c>
      <c r="AP169" s="899">
        <f t="shared" si="77"/>
        <v>292</v>
      </c>
      <c r="AQ169" s="899">
        <f t="shared" si="77"/>
        <v>292</v>
      </c>
      <c r="AR169" s="899">
        <f t="shared" si="77"/>
        <v>292</v>
      </c>
      <c r="AS169" s="899">
        <f t="shared" si="77"/>
        <v>292</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IF(K48="","",K48)</f>
        <v>Sr. Developer</v>
      </c>
      <c r="E170" s="1322"/>
      <c r="F170" s="1332">
        <f>IF($E$30="Enter Duration (wks)","",IF($Y48="Enter Hrs/Wk","",IF($E$30&gt;='FORMULA REFS'!A$1,$Y48,"")))</f>
        <v>40</v>
      </c>
      <c r="G170" s="1324"/>
      <c r="H170" s="1333"/>
      <c r="I170" s="1325">
        <f>IF($E$30="Enter Duration (wks)","",IF($Y48="Enter Hrs/Wk","",IF($E$30&gt;='FORMULA REFS'!B$1,$Y48,"")))</f>
        <v>40</v>
      </c>
      <c r="J170" s="1325"/>
      <c r="K170" s="1325">
        <f>IF($E$30="Enter Duration (wks)","",IF($Y48="Enter Hrs/Wk","",IF($E$30&gt;='FORMULA REFS'!C$1,$Y48,"")))</f>
        <v>40</v>
      </c>
      <c r="L170" s="1325">
        <f>IF($E$30="Enter Duration (wks)","",IF($Y48="Enter Hrs/Wk","",IF($E$30&gt;='FORMULA REFS'!D$1,$Y48,"")))</f>
        <v>40</v>
      </c>
      <c r="M170" s="1325">
        <f>IF($E$30="Enter Duration (wks)","",IF($Y48="Enter Hrs/Wk","",IF($E$30&gt;='FORMULA REFS'!E$1,$Y48,"")))</f>
        <v>40</v>
      </c>
      <c r="N170" s="1325">
        <f>IF($E$30="Enter Duration (wks)","",IF($Y48="Enter Hrs/Wk","",IF($E$30&gt;='FORMULA REFS'!F$1,$Y48,"")))</f>
        <v>40</v>
      </c>
      <c r="O170" s="1325">
        <f>IF($E$30="Enter Duration (wks)","",IF($Y48="Enter Hrs/Wk","",IF($E$30&gt;='FORMULA REFS'!G$1,$Y48,"")))</f>
        <v>40</v>
      </c>
      <c r="P170" s="1325">
        <f>IF($E$30="Enter Duration (wks)","",IF($Y48="Enter Hrs/Wk","",IF($E$30&gt;='FORMULA REFS'!H$1,$Y48,"")))</f>
        <v>40</v>
      </c>
      <c r="Q170" s="1325">
        <f>IF($E$30="Enter Duration (wks)","",IF($Y48="Enter Hrs/Wk","",IF($E$30&gt;='FORMULA REFS'!I$1,$Y48,"")))</f>
        <v>40</v>
      </c>
      <c r="R170" s="1325">
        <f>IF($E$30="Enter Duration (wks)","",IF($Y48="Enter Hrs/Wk","",IF($E$30&gt;='FORMULA REFS'!J$1,$Y48,"")))</f>
        <v>40</v>
      </c>
      <c r="S170" s="1325">
        <f>IF($E$30="Enter Duration (wks)","",IF($Y48="Enter Hrs/Wk","",IF($E$30&gt;='FORMULA REFS'!K$1,$Y48,"")))</f>
        <v>40</v>
      </c>
      <c r="T170" s="1333">
        <f>IF($E$30="Enter Duration (wks)","",IF($Y48="Enter Hrs/Wk","",IF($E$30&gt;='FORMULA REFS'!L$1,$Y48,"")))</f>
        <v>40</v>
      </c>
      <c r="U170" s="1333">
        <f>IF($E$30="Enter Duration (wks)","",IF($Y48="Enter Hrs/Wk","",IF($E$30&gt;='FORMULA REFS'!M$1,$Y48,"")))</f>
        <v>40</v>
      </c>
      <c r="V170" s="1333"/>
      <c r="W170" s="900"/>
      <c r="X170" s="1288"/>
      <c r="Y170" s="1288">
        <f>IF($E$30="Enter Duration (wks)","",IF($Y48="Enter Hrs/Wk","",IF($E$30&gt;='FORMULA REFS'!N$1,$Y48,"")))</f>
        <v>40</v>
      </c>
      <c r="Z170" s="1288">
        <f>IF($E$30="Enter Duration (wks)","",IF($Y48="Enter Hrs/Wk","",IF($E$30&gt;='FORMULA REFS'!O$1,$Y48,"")))</f>
        <v>40</v>
      </c>
      <c r="AA170" s="1288">
        <f>IF($E$30="Enter Duration (wks)","",IF($Y48="Enter Hrs/Wk","",IF($E$30&gt;='FORMULA REFS'!P$1,$Y48,"")))</f>
        <v>40</v>
      </c>
      <c r="AB170" s="1288">
        <f>IF($E$30="Enter Duration (wks)","",IF($Y48="Enter Hrs/Wk","",IF($E$30&gt;='FORMULA REFS'!Q$1,$Y48,"")))</f>
        <v>40</v>
      </c>
      <c r="AC170" s="1286"/>
      <c r="AD170" s="1286"/>
      <c r="AE170" s="1286"/>
      <c r="AF170" s="1286"/>
      <c r="AG170" s="1286">
        <f>IF($E$30="Enter Duration (wks)","",IF($Y48="Enter Hrs/Wk","",IF($E$30&gt;='FORMULA REFS'!R$1,$Y48,"")))</f>
        <v>40</v>
      </c>
      <c r="AH170" s="1286">
        <f>IF($E$30="Enter Duration (wks)","",IF($Y48="Enter Hrs/Wk","",IF($E$30&gt;='FORMULA REFS'!S$1,$Y48,"")))</f>
        <v>40</v>
      </c>
      <c r="AI170" s="1286">
        <f>IF($E$30="Enter Duration (wks)","",IF($Y48="Enter Hrs/Wk","",IF($E$30&gt;='FORMULA REFS'!T$1,$Y48,"")))</f>
        <v>40</v>
      </c>
      <c r="AJ170" s="1286">
        <f>IF($E$30="Enter Duration (wks)","",IF($Y48="Enter Hrs/Wk","",IF($E$30&gt;='FORMULA REFS'!U$1,$Y48,"")))</f>
        <v>40</v>
      </c>
      <c r="AK170" s="1286">
        <f>IF($E$30="Enter Duration (wks)","",IF($Y48="Enter Hrs/Wk","",IF($E$30&gt;='FORMULA REFS'!V$1,$Y48,"")))</f>
        <v>40</v>
      </c>
      <c r="AL170" s="1286">
        <f>IF($E$30="Enter Duration (wks)","",IF($Y48="Enter Hrs/Wk","",IF($E$30&gt;='FORMULA REFS'!W$1,$Y48,"")))</f>
        <v>40</v>
      </c>
      <c r="AM170" s="1286">
        <f>IF($E$30="Enter Duration (wks)","",IF($Y48="Enter Hrs/Wk","",IF($E$30&gt;='FORMULA REFS'!X$1,$Y48,"")))</f>
        <v>40</v>
      </c>
      <c r="AN170" s="1286">
        <f>IF($E$30="Enter Duration (wks)","",IF($Y48="Enter Hrs/Wk","",IF($E$30&gt;='FORMULA REFS'!Y$1,$Y48,"")))</f>
        <v>40</v>
      </c>
      <c r="AO170" s="1286">
        <f>IF($E$30="Enter Duration (wks)","",IF($Y48="Enter Hrs/Wk","",IF($E$30&gt;='FORMULA REFS'!Z$1,$Y48,"")))</f>
        <v>40</v>
      </c>
      <c r="AP170" s="1286">
        <f>IF($E$30="Enter Duration (wks)","",IF($Y48="Enter Hrs/Wk","",IF($E$30&gt;='FORMULA REFS'!AA$1,$Y48,"")))</f>
        <v>40</v>
      </c>
      <c r="AQ170" s="1286">
        <f>IF($E$30="Enter Duration (wks)","",IF($Y48="Enter Hrs/Wk","",IF($E$30&gt;='FORMULA REFS'!AB$1,$Y48,"")))</f>
        <v>40</v>
      </c>
      <c r="AR170" s="1286">
        <f>IF($E$30="Enter Duration (wks)","",IF($Y48="Enter Hrs/Wk","",IF($E$30&gt;='FORMULA REFS'!AC$1,$Y48,"")))</f>
        <v>40</v>
      </c>
      <c r="AS170" s="1286">
        <f>IF($E$30="Enter Duration (wks)","",IF($Y48="Enter Hrs/Wk","",IF($E$30&gt;='FORMULA REFS'!AD$1,$Y48,"")))</f>
        <v>40</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202" si="80">IF(ISBLANK(C49),"",C49)</f>
        <v>TADIndia</v>
      </c>
      <c r="D171" s="1318" t="str">
        <f>IF(K49="","",K49)</f>
        <v>Data Analyst</v>
      </c>
      <c r="E171" s="1326"/>
      <c r="F171" s="1327"/>
      <c r="G171" s="1327"/>
      <c r="H171" s="1570"/>
      <c r="I171" s="1329"/>
      <c r="J171" s="1316"/>
      <c r="K171" s="1286"/>
      <c r="L171" s="1331"/>
      <c r="M171" s="1331">
        <f>IF($E$30="Enter Duration (wks)","",IF($Y49="Enter Hrs/Wk","",IF($E$30&gt;='FORMULA REFS'!E$1,$Y49,"")))</f>
        <v>40</v>
      </c>
      <c r="N171" s="1331">
        <f>IF($E$30="Enter Duration (wks)","",IF($Y49="Enter Hrs/Wk","",IF($E$30&gt;='FORMULA REFS'!F$1,$Y49,"")))</f>
        <v>40</v>
      </c>
      <c r="O171" s="1331">
        <f>IF($E$30="Enter Duration (wks)","",IF($Y49="Enter Hrs/Wk","",IF($E$30&gt;='FORMULA REFS'!G$1,$Y49,"")))</f>
        <v>40</v>
      </c>
      <c r="P171" s="1331">
        <f>IF($E$30="Enter Duration (wks)","",IF($Y49="Enter Hrs/Wk","",IF($E$30&gt;='FORMULA REFS'!H$1,$Y49,"")))</f>
        <v>40</v>
      </c>
      <c r="Q171" s="1331">
        <f>IF($E$30="Enter Duration (wks)","",IF($Y49="Enter Hrs/Wk","",IF($E$30&gt;='FORMULA REFS'!I$1,$Y49,"")))</f>
        <v>40</v>
      </c>
      <c r="R171" s="1331">
        <f>IF($E$30="Enter Duration (wks)","",IF($Y49="Enter Hrs/Wk","",IF($E$30&gt;='FORMULA REFS'!J$1,$Y49,"")))</f>
        <v>40</v>
      </c>
      <c r="S171" s="1331">
        <f>IF($E$30="Enter Duration (wks)","",IF($Y49="Enter Hrs/Wk","",IF($E$30&gt;='FORMULA REFS'!K$1,$Y49,"")))</f>
        <v>40</v>
      </c>
      <c r="T171" s="1316">
        <f>IF($E$30="Enter Duration (wks)","",IF($Y49="Enter Hrs/Wk","",IF($E$30&gt;='FORMULA REFS'!L$1,$Y49,"")))</f>
        <v>40</v>
      </c>
      <c r="U171" s="882">
        <f>IF($E$30="Enter Duration (wks)","",IF($Y49="Enter Hrs/Wk","",IF($E$30&gt;='FORMULA REFS'!M$1,$Y49,"")))</f>
        <v>40</v>
      </c>
      <c r="V171" s="1331"/>
      <c r="W171" s="1331"/>
      <c r="X171" s="1285"/>
      <c r="Y171" s="1285"/>
      <c r="Z171" s="1343"/>
      <c r="AA171" s="882"/>
      <c r="AB171" s="882"/>
      <c r="AC171" s="882"/>
      <c r="AD171" s="882"/>
      <c r="AE171" s="882"/>
      <c r="AF171" s="882"/>
      <c r="AG171" s="1286">
        <f>IF($E$30="Enter Duration (wks)","",IF($Y49="Enter Hrs/Wk","",IF($E$30&gt;='FORMULA REFS'!R$1,$Y49,"")))</f>
        <v>40</v>
      </c>
      <c r="AH171" s="1286">
        <f>IF($E$30="Enter Duration (wks)","",IF($Y49="Enter Hrs/Wk","",IF($E$30&gt;='FORMULA REFS'!S$1,$Y49,"")))</f>
        <v>40</v>
      </c>
      <c r="AI171" s="1286">
        <f>IF($E$30="Enter Duration (wks)","",IF($Y49="Enter Hrs/Wk","",IF($E$30&gt;='FORMULA REFS'!T$1,$Y49,"")))</f>
        <v>40</v>
      </c>
      <c r="AJ171" s="1286">
        <f>IF($E$30="Enter Duration (wks)","",IF($Y49="Enter Hrs/Wk","",IF($E$30&gt;='FORMULA REFS'!U$1,$Y49,"")))</f>
        <v>40</v>
      </c>
      <c r="AK171" s="1286">
        <f>IF($E$30="Enter Duration (wks)","",IF($Y49="Enter Hrs/Wk","",IF($E$30&gt;='FORMULA REFS'!V$1,$Y49,"")))</f>
        <v>40</v>
      </c>
      <c r="AL171" s="1286">
        <f>IF($E$30="Enter Duration (wks)","",IF($Y49="Enter Hrs/Wk","",IF($E$30&gt;='FORMULA REFS'!W$1,$Y49,"")))</f>
        <v>40</v>
      </c>
      <c r="AM171" s="1286">
        <f>IF($E$30="Enter Duration (wks)","",IF($Y49="Enter Hrs/Wk","",IF($E$30&gt;='FORMULA REFS'!X$1,$Y49,"")))</f>
        <v>40</v>
      </c>
      <c r="AN171" s="1286">
        <f>IF($E$30="Enter Duration (wks)","",IF($Y49="Enter Hrs/Wk","",IF($E$30&gt;='FORMULA REFS'!Y$1,$Y49,"")))</f>
        <v>40</v>
      </c>
      <c r="AO171" s="1286">
        <f>IF($E$30="Enter Duration (wks)","",IF($Y49="Enter Hrs/Wk","",IF($E$30&gt;='FORMULA REFS'!Z$1,$Y49,"")))</f>
        <v>40</v>
      </c>
      <c r="AP171" s="1286">
        <f>IF($E$30="Enter Duration (wks)","",IF($Y49="Enter Hrs/Wk","",IF($E$30&gt;='FORMULA REFS'!AA$1,$Y49,"")))</f>
        <v>40</v>
      </c>
      <c r="AQ171" s="1286">
        <f>IF($E$30="Enter Duration (wks)","",IF($Y49="Enter Hrs/Wk","",IF($E$30&gt;='FORMULA REFS'!AB$1,$Y49,"")))</f>
        <v>40</v>
      </c>
      <c r="AR171" s="1286">
        <f>IF($E$30="Enter Duration (wks)","",IF($Y49="Enter Hrs/Wk","",IF($E$30&gt;='FORMULA REFS'!AC$1,$Y49,"")))</f>
        <v>40</v>
      </c>
      <c r="AS171" s="1286">
        <f>IF($E$30="Enter Duration (wks)","",IF($Y49="Enter Hrs/Wk","",IF($E$30&gt;='FORMULA REFS'!AD$1,$Y49,"")))</f>
        <v>40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0"/>
        <v>TADNorthAmerica</v>
      </c>
      <c r="D172" s="1318" t="str">
        <f>IF(K50="","",K50)</f>
        <v>UX Designer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0"/>
        <v>TADIndia</v>
      </c>
      <c r="D173" s="1318" t="str">
        <f>IF(K51="","",K51)</f>
        <v>Sr. Developer</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0"/>
        <v>TADNorthAmerica</v>
      </c>
      <c r="D174" s="1318" t="str">
        <f t="shared" ref="D174:D237" si="81">IF(K52="","",K52)</f>
        <v>Technical Lead</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0"/>
        <v>TADIndia</v>
      </c>
      <c r="D175" s="1318" t="str">
        <f t="shared" si="81"/>
        <v>Associate DevOps Engineer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0"/>
        <v>TADIndia</v>
      </c>
      <c r="D176" s="1318" t="str">
        <f t="shared" si="81"/>
        <v>Business Analyst</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0"/>
        <v>TADIndia</v>
      </c>
      <c r="D177" s="1318" t="str">
        <f t="shared" si="81"/>
        <v>Delivery Manager</v>
      </c>
      <c r="E177" s="1326"/>
      <c r="F177" s="1327">
        <f>IF($E$30="Enter Duration (wks)","",IF($Y55="Enter Hrs/Wk","",IF($E$30&gt;='FORMULA REFS'!A$1,$Y55,"")))</f>
        <v>20</v>
      </c>
      <c r="G177" s="1328"/>
      <c r="H177" s="1570"/>
      <c r="I177" s="1329">
        <f>IF($E$30="Enter Duration (wks)","",IF($Y55="Enter Hrs/Wk","",IF($E$30&gt;='FORMULA REFS'!B$1,$Y55,"")))</f>
        <v>20</v>
      </c>
      <c r="J177" s="1323"/>
      <c r="K177" s="1286">
        <f>IF($E$30="Enter Duration (wks)","",IF($Y55="Enter Hrs/Wk","",IF($E$30&gt;='FORMULA REFS'!C$1,$Y55,"")))</f>
        <v>20</v>
      </c>
      <c r="L177" s="882">
        <f>IF($E$30="Enter Duration (wks)","",IF($Y55="Enter Hrs/Wk","",IF($E$30&gt;='FORMULA REFS'!D$1,$Y55,"")))</f>
        <v>20</v>
      </c>
      <c r="M177" s="882">
        <f>IF($E$30="Enter Duration (wks)","",IF($Y55="Enter Hrs/Wk","",IF($E$30&gt;='FORMULA REFS'!E$1,$Y55,"")))</f>
        <v>20</v>
      </c>
      <c r="N177" s="882">
        <f>IF($E$30="Enter Duration (wks)","",IF($Y55="Enter Hrs/Wk","",IF($E$30&gt;='FORMULA REFS'!F$1,$Y55,"")))</f>
        <v>20</v>
      </c>
      <c r="O177" s="882">
        <f>IF($E$30="Enter Duration (wks)","",IF($Y55="Enter Hrs/Wk","",IF($E$30&gt;='FORMULA REFS'!G$1,$Y55,"")))</f>
        <v>20</v>
      </c>
      <c r="P177" s="882">
        <f>IF($E$30="Enter Duration (wks)","",IF($Y55="Enter Hrs/Wk","",IF($E$30&gt;='FORMULA REFS'!H$1,$Y55,"")))</f>
        <v>20</v>
      </c>
      <c r="Q177" s="882">
        <f>IF($E$30="Enter Duration (wks)","",IF($Y55="Enter Hrs/Wk","",IF($E$30&gt;='FORMULA REFS'!I$1,$Y55,"")))</f>
        <v>20</v>
      </c>
      <c r="R177" s="882">
        <f>IF($E$30="Enter Duration (wks)","",IF($Y55="Enter Hrs/Wk","",IF($E$30&gt;='FORMULA REFS'!J$1,$Y55,"")))</f>
        <v>20</v>
      </c>
      <c r="S177" s="882">
        <f>IF($E$30="Enter Duration (wks)","",IF($Y55="Enter Hrs/Wk","",IF($E$30&gt;='FORMULA REFS'!K$1,$Y55,"")))</f>
        <v>20</v>
      </c>
      <c r="T177" s="1323">
        <f>IF($E$30="Enter Duration (wks)","",IF($Y55="Enter Hrs/Wk","",IF($E$30&gt;='FORMULA REFS'!L$1,$Y55,"")))</f>
        <v>20</v>
      </c>
      <c r="U177" s="882">
        <f>IF($E$30="Enter Duration (wks)","",IF($Y55="Enter Hrs/Wk","",IF($E$30&gt;='FORMULA REFS'!M$1,$Y55,"")))</f>
        <v>20</v>
      </c>
      <c r="V177" s="882"/>
      <c r="W177" s="882"/>
      <c r="X177" s="1285"/>
      <c r="Y177" s="1285">
        <f>IF($E$30="Enter Duration (wks)","",IF($Y55="Enter Hrs/Wk","",IF($E$30&gt;='FORMULA REFS'!N$1,$Y55,"")))</f>
        <v>20</v>
      </c>
      <c r="Z177" s="1343">
        <f>IF($E$30="Enter Duration (wks)","",IF($Y55="Enter Hrs/Wk","",IF($E$30&gt;='FORMULA REFS'!O$1,$Y55,"")))</f>
        <v>20</v>
      </c>
      <c r="AA177" s="882">
        <f>IF($E$30="Enter Duration (wks)","",IF($Y55="Enter Hrs/Wk","",IF($E$30&gt;='FORMULA REFS'!P$1,$Y55,"")))</f>
        <v>20</v>
      </c>
      <c r="AB177" s="882">
        <f>IF($E$30="Enter Duration (wks)","",IF($Y55="Enter Hrs/Wk","",IF($E$30&gt;='FORMULA REFS'!Q$1,$Y55,"")))</f>
        <v>20</v>
      </c>
      <c r="AC177" s="882"/>
      <c r="AD177" s="882"/>
      <c r="AE177" s="882"/>
      <c r="AF177" s="882"/>
      <c r="AG177" s="1286">
        <f>IF($E$30="Enter Duration (wks)","",IF($Y55="Enter Hrs/Wk","",IF($E$30&gt;='FORMULA REFS'!R$1,$Y55,"")))</f>
        <v>20</v>
      </c>
      <c r="AH177" s="1286">
        <f>IF($E$30="Enter Duration (wks)","",IF($Y55="Enter Hrs/Wk","",IF($E$30&gt;='FORMULA REFS'!S$1,$Y55,"")))</f>
        <v>20</v>
      </c>
      <c r="AI177" s="1286">
        <f>IF($E$30="Enter Duration (wks)","",IF($Y55="Enter Hrs/Wk","",IF($E$30&gt;='FORMULA REFS'!T$1,$Y55,"")))</f>
        <v>20</v>
      </c>
      <c r="AJ177" s="1286">
        <f>IF($E$30="Enter Duration (wks)","",IF($Y55="Enter Hrs/Wk","",IF($E$30&gt;='FORMULA REFS'!U$1,$Y55,"")))</f>
        <v>20</v>
      </c>
      <c r="AK177" s="1286">
        <f>IF($E$30="Enter Duration (wks)","",IF($Y55="Enter Hrs/Wk","",IF($E$30&gt;='FORMULA REFS'!V$1,$Y55,"")))</f>
        <v>20</v>
      </c>
      <c r="AL177" s="1286">
        <f>IF($E$30="Enter Duration (wks)","",IF($Y55="Enter Hrs/Wk","",IF($E$30&gt;='FORMULA REFS'!W$1,$Y55,"")))</f>
        <v>20</v>
      </c>
      <c r="AM177" s="1286">
        <f>IF($E$30="Enter Duration (wks)","",IF($Y55="Enter Hrs/Wk","",IF($E$30&gt;='FORMULA REFS'!X$1,$Y55,"")))</f>
        <v>20</v>
      </c>
      <c r="AN177" s="1286">
        <f>IF($E$30="Enter Duration (wks)","",IF($Y55="Enter Hrs/Wk","",IF($E$30&gt;='FORMULA REFS'!Y$1,$Y55,"")))</f>
        <v>20</v>
      </c>
      <c r="AO177" s="1286">
        <f>IF($E$30="Enter Duration (wks)","",IF($Y55="Enter Hrs/Wk","",IF($E$30&gt;='FORMULA REFS'!Z$1,$Y55,"")))</f>
        <v>20</v>
      </c>
      <c r="AP177" s="1286">
        <f>IF($E$30="Enter Duration (wks)","",IF($Y55="Enter Hrs/Wk","",IF($E$30&gt;='FORMULA REFS'!AA$1,$Y55,"")))</f>
        <v>20</v>
      </c>
      <c r="AQ177" s="1286">
        <f>IF($E$30="Enter Duration (wks)","",IF($Y55="Enter Hrs/Wk","",IF($E$30&gt;='FORMULA REFS'!AB$1,$Y55,"")))</f>
        <v>20</v>
      </c>
      <c r="AR177" s="1286">
        <f>IF($E$30="Enter Duration (wks)","",IF($Y55="Enter Hrs/Wk","",IF($E$30&gt;='FORMULA REFS'!AC$1,$Y55,"")))</f>
        <v>20</v>
      </c>
      <c r="AS177" s="1286">
        <f>IF($E$30="Enter Duration (wks)","",IF($Y55="Enter Hrs/Wk","",IF($E$30&gt;='FORMULA REFS'!AD$1,$Y55,"")))</f>
        <v>20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692"/>
      <c r="BY186" s="1692"/>
      <c r="BZ186" s="1692"/>
      <c r="CA186" s="1692"/>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692"/>
      <c r="BY187" s="1692"/>
      <c r="BZ187" s="1692"/>
      <c r="CA187" s="1692"/>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727" t="s">
        <v>3172</v>
      </c>
      <c r="D272" s="1728"/>
      <c r="E272" s="711" t="str">
        <f>IF(E169=0," ",(SUM($D$169:E169))/$M$289)</f>
        <v xml:space="preserve"> </v>
      </c>
      <c r="F272" s="1569">
        <f>IF(F169=0," ",(SUM($D$169:F169))/$M$289)</f>
        <v>2.985781990521327E-2</v>
      </c>
      <c r="G272" s="1569" t="str">
        <f>IF(G169=0," ",(SUM($D$169:G169))/$M$289)</f>
        <v xml:space="preserve"> </v>
      </c>
      <c r="H272" s="1569"/>
      <c r="I272" s="1569">
        <f>IF(I169=0," ",(SUM($D$169:I169))/$M$289)</f>
        <v>5.9715639810426539E-2</v>
      </c>
      <c r="J272" s="1569" t="str">
        <f>IF(J169=0," ",(SUM($D$169:J169))/$M$289)</f>
        <v xml:space="preserve"> </v>
      </c>
      <c r="K272" s="1569">
        <f>IF(K169=0," ",(SUM($D$169:K169))/$M$289)</f>
        <v>8.9573459715639805E-2</v>
      </c>
      <c r="L272" s="1569">
        <f>IF(L169=0," ",(SUM($D$169:L169))/$M$289)</f>
        <v>0.11943127962085308</v>
      </c>
      <c r="M272" s="1569">
        <f>IF(M169=0," ",(SUM($D$169:M169))/$M$289)</f>
        <v>0.15402843601895735</v>
      </c>
      <c r="N272" s="1569">
        <f>IF(N169=0," ",(SUM($D$169:N169))/$M$289)</f>
        <v>0.18862559241706162</v>
      </c>
      <c r="O272" s="1569">
        <f>IF(O169=0," ",(SUM($D$169:O169))/$M$289)</f>
        <v>0.22322274881516588</v>
      </c>
      <c r="P272" s="1569">
        <f>IF(P169=0," ",(SUM($D$169:P169))/$M$289)</f>
        <v>0.25781990521327014</v>
      </c>
      <c r="Q272" s="1569">
        <f>IF(Q169=0," ",(SUM($D$169:Q169))/$M$289)</f>
        <v>0.29241706161137443</v>
      </c>
      <c r="R272" s="1569">
        <f>IF(R169=0," ",(SUM($D$169:R169))/$M$289)</f>
        <v>0.32701421800947866</v>
      </c>
      <c r="S272" s="1569">
        <f>IF(S169=0," ",(SUM($D$169:S169))/$M$289)</f>
        <v>0.36161137440758295</v>
      </c>
      <c r="T272" s="1569">
        <f>IF(T169=0," ",(SUM($D$169:T169))/$M$289)</f>
        <v>0.39620853080568719</v>
      </c>
      <c r="U272" s="1569">
        <f>IF(U169=0," ",(SUM($D$169:U169))/$M$289)</f>
        <v>0.43080568720379148</v>
      </c>
      <c r="V272" s="1569" t="str">
        <f>IF(V169=0," ",(SUM($D$169:V169))/$M$289)</f>
        <v xml:space="preserve"> </v>
      </c>
      <c r="W272" s="1569" t="str">
        <f>IF(W169=0," ",(SUM($D$169:W169))/$M$289)</f>
        <v xml:space="preserve"> </v>
      </c>
      <c r="X272" s="1569"/>
      <c r="Y272" s="1569">
        <f>IF(Y169=0," ",(SUM($D$169:Y169))/$M$289)</f>
        <v>0.46066350710900472</v>
      </c>
      <c r="Z272" s="1569">
        <f>IF(Z169=0," ",(SUM($D$169:Z169))/$M$289)</f>
        <v>0.49052132701421802</v>
      </c>
      <c r="AA272" s="711">
        <f>IF(AA169=0," ",(SUM($D$169:AA169))/$M$289)</f>
        <v>0.52037914691943132</v>
      </c>
      <c r="AB272" s="711">
        <f>IF(AB169=0," ",(SUM($D$169:AB169))/$M$289)</f>
        <v>0.55023696682464451</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0.58483412322274886</v>
      </c>
      <c r="AH272" s="711">
        <f>IF(AH169=0," ",(SUM($D$169:AH169))/$M$289)</f>
        <v>0.61943127962085309</v>
      </c>
      <c r="AI272" s="711">
        <f>IF(AI169=0," ",(SUM($D$169:AI169))/$M$289)</f>
        <v>0.65402843601895733</v>
      </c>
      <c r="AJ272" s="711">
        <f>IF(AJ169=0," ",(SUM($D$169:AJ169))/$M$289)</f>
        <v>0.68862559241706156</v>
      </c>
      <c r="AK272" s="711">
        <f>IF(AK169=0," ",(SUM($D$169:AK169))/$M$289)</f>
        <v>0.72322274881516591</v>
      </c>
      <c r="AL272" s="711">
        <f>IF(AL169=0," ",(SUM($D$169:AL169))/$M$289)</f>
        <v>0.75781990521327014</v>
      </c>
      <c r="AM272" s="711">
        <f>IF(AM169=0," ",(SUM($D$169:AM169))/$M$289)</f>
        <v>0.79241706161137437</v>
      </c>
      <c r="AN272" s="711">
        <f>IF(AN169=0," ",(SUM($D$169:AN169))/$M$289)</f>
        <v>0.82701421800947872</v>
      </c>
      <c r="AO272" s="711">
        <f>IF(AO169=0," ",(SUM($D$169:AO169))/$M$289)</f>
        <v>0.86161137440758295</v>
      </c>
      <c r="AP272" s="711">
        <f>IF(AP169=0," ",(SUM($D$169:AP169))/$M$289)</f>
        <v>0.89620853080568719</v>
      </c>
      <c r="AQ272" s="711">
        <f>IF(AQ169=0," ",(SUM($D$169:AQ169))/$M$289)</f>
        <v>0.93080568720379142</v>
      </c>
      <c r="AR272" s="711">
        <f>IF(AR169=0," ",(SUM($D$169:AR169))/$M$289)</f>
        <v>0.96540284360189577</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25">
      <c r="D279" s="1211" t="s">
        <v>2270</v>
      </c>
    </row>
    <row r="280" spans="1:66" hidden="1" x14ac:dyDescent="0.25"/>
    <row r="282" spans="1:66" s="403" customFormat="1" ht="17.399999999999999" x14ac:dyDescent="0.25">
      <c r="A282" s="395"/>
      <c r="B282" s="395"/>
      <c r="C282" s="801" t="s">
        <v>2322</v>
      </c>
    </row>
    <row r="283" spans="1:66" x14ac:dyDescent="0.25">
      <c r="C283" s="1672" t="s">
        <v>3247</v>
      </c>
      <c r="D283" s="1672"/>
      <c r="E283" s="1672"/>
      <c r="F283" s="1672"/>
      <c r="G283" s="1672"/>
      <c r="H283" s="1673"/>
      <c r="I283" s="1672"/>
      <c r="J283" s="1672"/>
      <c r="K283" s="1672"/>
      <c r="L283" s="1672"/>
      <c r="M283" s="1672"/>
      <c r="N283" s="1672"/>
      <c r="O283" s="1469"/>
      <c r="P283" s="1469"/>
    </row>
    <row r="284" spans="1:66" x14ac:dyDescent="0.25">
      <c r="C284" s="1674" t="s">
        <v>2323</v>
      </c>
      <c r="D284" s="1674"/>
      <c r="E284" s="1674"/>
      <c r="F284" s="1674"/>
      <c r="G284" s="1674"/>
      <c r="H284" s="1674"/>
      <c r="I284" s="1674"/>
      <c r="J284" s="1674"/>
      <c r="K284" s="1674"/>
      <c r="L284" s="1674"/>
      <c r="M284" s="1674"/>
      <c r="N284" s="1674"/>
      <c r="O284" s="649"/>
      <c r="P284" s="649"/>
    </row>
    <row r="285" spans="1:66" x14ac:dyDescent="0.25">
      <c r="C285" s="1467" t="s">
        <v>3174</v>
      </c>
      <c r="D285" s="1466"/>
      <c r="E285" s="1466"/>
      <c r="F285" s="1466"/>
      <c r="G285" s="1466"/>
      <c r="H285" s="1466"/>
      <c r="I285" s="1466"/>
      <c r="J285" s="1466"/>
      <c r="K285" s="1466"/>
      <c r="L285" s="1466"/>
      <c r="M285" s="1466"/>
      <c r="N285" s="1466"/>
      <c r="O285" s="649"/>
      <c r="P285" s="649"/>
    </row>
    <row r="286" spans="1:66" x14ac:dyDescent="0.25">
      <c r="C286" s="1708" t="s">
        <v>3248</v>
      </c>
      <c r="D286" s="1708"/>
      <c r="E286" s="1708"/>
      <c r="F286" s="1708"/>
      <c r="G286" s="1708"/>
      <c r="H286" s="1708"/>
      <c r="I286" s="1708"/>
      <c r="J286" s="1708"/>
      <c r="K286" s="1708"/>
      <c r="L286" s="1708"/>
      <c r="M286" s="1708"/>
      <c r="N286" s="1708"/>
      <c r="O286" s="1708"/>
      <c r="P286" s="1708"/>
    </row>
    <row r="287" spans="1:66" ht="18" customHeight="1" x14ac:dyDescent="0.25">
      <c r="C287" s="1729" t="s">
        <v>3249</v>
      </c>
      <c r="D287" s="1729"/>
      <c r="E287" s="1729"/>
      <c r="F287" s="1729"/>
      <c r="G287" s="1729"/>
      <c r="H287" s="1729"/>
      <c r="I287" s="1729"/>
      <c r="J287" s="1729"/>
      <c r="K287" s="1729"/>
      <c r="L287" s="1729"/>
      <c r="M287" s="1729"/>
      <c r="N287" s="1729"/>
      <c r="O287" s="1729"/>
      <c r="P287" s="1729"/>
    </row>
    <row r="288" spans="1:66" ht="25.05" customHeight="1" x14ac:dyDescent="0.25">
      <c r="B288" s="555"/>
      <c r="C288" s="907" t="s">
        <v>189</v>
      </c>
      <c r="D288" s="1582">
        <f>IFERROR('3. Financial Inputs'!B52,"")</f>
        <v>0.56338461538461537</v>
      </c>
      <c r="E288" s="520"/>
      <c r="F288" s="521"/>
      <c r="G288" s="1211"/>
      <c r="H288" s="1211"/>
      <c r="J288" s="1211"/>
    </row>
    <row r="289" spans="2:16" ht="25.95" customHeight="1" x14ac:dyDescent="0.25">
      <c r="B289" s="555"/>
      <c r="C289" s="907" t="s">
        <v>2197</v>
      </c>
      <c r="D289" s="908">
        <f>SUM(D291:D390)</f>
        <v>910000</v>
      </c>
      <c r="E289" s="908"/>
      <c r="F289" s="908">
        <f>SUM(F291:F390)</f>
        <v>397320</v>
      </c>
      <c r="G289" s="398"/>
      <c r="H289" s="398"/>
      <c r="K289" s="714"/>
      <c r="M289" s="1349">
        <f>SUM(M291:M346)</f>
        <v>8440</v>
      </c>
    </row>
    <row r="290" spans="2:16" ht="45" customHeight="1" x14ac:dyDescent="0.25">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3.95" customHeight="1" x14ac:dyDescent="0.25">
      <c r="C291" s="1353" t="str">
        <f t="shared" ref="C291:C322" si="86">IF(K48="","",K48)</f>
        <v>Sr. Developer</v>
      </c>
      <c r="D291" s="917">
        <f>IFERROR(IF($L291="Enter Override $",(IF($E$26="Select Type","Select Margin Class",IF($E$26="Standard Rates",I291*M291,IF($E$26="Client Custom Rates",K291*M291)))),L291*M291),"")</f>
        <v>204000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99000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170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1200</v>
      </c>
      <c r="N291" s="912">
        <f t="shared" ref="N291:N322" si="88">IF(COUNTIF($D170:$BC170,"&gt;0")=0,"",COUNTIF($D170:$BC170,"&gt;0"))</f>
        <v>30</v>
      </c>
      <c r="O291" s="803"/>
      <c r="P291" s="803"/>
    </row>
    <row r="292" spans="2:16" ht="13.95" customHeight="1" x14ac:dyDescent="0.25">
      <c r="C292" s="1352" t="str">
        <f t="shared" si="86"/>
        <v>Data Analyst</v>
      </c>
      <c r="D292" s="918">
        <f>IFERROR(IF($L292="",(IF($E$26="Select Type","Select Margin Class",IF($E$26="Standard Rates",I292*M292,IF($E$26="Client Custom Rates",K292*M292)))),L292*M292),"")</f>
        <v>48400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15840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55</v>
      </c>
      <c r="K292" s="885" cm="1">
        <f t="array" ref="K292">IF($E$20&lt;&gt;"Credera US",0,IF(L292&lt;&gt;"","",IFERROR(IF($D$26&lt;&gt;"Client Custom Rates",0,INDEX('Client Rate Cards'!E:E,MATCH(1,('Client Rate Cards'!B:B='2. Roles &amp; Pricing'!$D$27)*('Client Rate Cards'!D:D='2. Roles &amp; Pricing'!T49),0))),0)))</f>
        <v>0</v>
      </c>
      <c r="L292" s="1350"/>
      <c r="M292" s="887">
        <f t="shared" si="87"/>
        <v>880</v>
      </c>
      <c r="N292" s="913">
        <f t="shared" si="88"/>
        <v>22</v>
      </c>
    </row>
    <row r="293" spans="2:16" ht="13.95" customHeight="1" x14ac:dyDescent="0.25">
      <c r="C293" s="1352" t="str">
        <f t="shared" si="86"/>
        <v>UX Designer</v>
      </c>
      <c r="D293" s="918">
        <f t="shared" ref="D293:D356" si="89">IFERROR(IF($L293="",(IF($E$26="Select Type","Select Margin Class",IF($E$26="Standard Rates",I293*M293,IF($E$26="Client Custom Rates",K293*M293)))),L293*M293),"")</f>
        <v>204000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84000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170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3.95" customHeight="1" x14ac:dyDescent="0.25">
      <c r="C294" s="1352" t="str">
        <f t="shared" si="86"/>
        <v>Sr. Developer</v>
      </c>
      <c r="D294" s="918">
        <f t="shared" si="89"/>
        <v>78000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27000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65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3.95" customHeight="1" x14ac:dyDescent="0.25">
      <c r="C295" s="1352" t="str">
        <f t="shared" si="86"/>
        <v>Technical Lead</v>
      </c>
      <c r="D295" s="918">
        <f t="shared" si="89"/>
        <v>222000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108000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185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3.95" customHeight="1" x14ac:dyDescent="0.25">
      <c r="C296" s="1352" t="str">
        <f t="shared" si="86"/>
        <v>Associate DevOps Engineer</v>
      </c>
      <c r="D296" s="918">
        <f t="shared" si="89"/>
        <v>33600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12480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35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3.95" customHeight="1" x14ac:dyDescent="0.25">
      <c r="C297" s="1352" t="str">
        <f t="shared" si="86"/>
        <v>Business Analyst</v>
      </c>
      <c r="D297" s="918">
        <f t="shared" si="89"/>
        <v>66000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27000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55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3.95" customHeight="1" x14ac:dyDescent="0.25">
      <c r="C298" s="1352" t="str">
        <f t="shared" si="86"/>
        <v>Delivery Manager</v>
      </c>
      <c r="D298" s="918">
        <f t="shared" si="89"/>
        <v>54000</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24000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90</v>
      </c>
      <c r="K298" s="885" cm="1">
        <f t="array" ref="K298">IF($E$20&lt;&gt;"Credera US",0,IF(L298&lt;&gt;"","",IFERROR(IF($D$26&lt;&gt;"Client Custom Rates",0,INDEX('Client Rate Cards'!E:E,MATCH(1,('Client Rate Cards'!B:B='2. Roles &amp; Pricing'!$D$27)*('Client Rate Cards'!D:D='2. Roles &amp; Pricing'!T55),0))),0)))</f>
        <v>0</v>
      </c>
      <c r="L298" s="1350"/>
      <c r="M298" s="887">
        <f t="shared" si="87"/>
        <v>600</v>
      </c>
      <c r="N298" s="913">
        <f t="shared" si="88"/>
        <v>30</v>
      </c>
    </row>
    <row r="299" spans="2:16" ht="13.95" customHeight="1" x14ac:dyDescent="0.25">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3.95" customHeight="1" x14ac:dyDescent="0.25">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3.95" customHeight="1" x14ac:dyDescent="0.25">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3.95" customHeight="1" x14ac:dyDescent="0.25">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3.95" customHeight="1" x14ac:dyDescent="0.25">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3.95" customHeight="1" x14ac:dyDescent="0.25">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3.95" customHeight="1" x14ac:dyDescent="0.25">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3.95" customHeight="1" x14ac:dyDescent="0.25">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3.95" customHeight="1" x14ac:dyDescent="0.25">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3.95" customHeight="1" x14ac:dyDescent="0.25">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3.95" customHeight="1" x14ac:dyDescent="0.25">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3.95" customHeight="1" x14ac:dyDescent="0.25">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3.95" customHeight="1" x14ac:dyDescent="0.25">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3.95" customHeight="1" x14ac:dyDescent="0.25">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3.95" customHeight="1" x14ac:dyDescent="0.25">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3.95" customHeight="1" x14ac:dyDescent="0.25">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3.95" customHeight="1" x14ac:dyDescent="0.25">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3.95" hidden="1" customHeight="1" outlineLevel="2" x14ac:dyDescent="0.25">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3.95" hidden="1" customHeight="1" outlineLevel="2" x14ac:dyDescent="0.25">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3.95" hidden="1" customHeight="1" outlineLevel="2" x14ac:dyDescent="0.25">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3.95" hidden="1" customHeight="1" outlineLevel="2" x14ac:dyDescent="0.25">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3.95" hidden="1" customHeight="1" outlineLevel="2" x14ac:dyDescent="0.25">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3.95" hidden="1" customHeight="1" outlineLevel="2" x14ac:dyDescent="0.25">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3.95" hidden="1" customHeight="1" outlineLevel="2" x14ac:dyDescent="0.25">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3.95" hidden="1" customHeight="1" outlineLevel="2" x14ac:dyDescent="0.25">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3.95" hidden="1" customHeight="1" outlineLevel="2" x14ac:dyDescent="0.25">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3.95" hidden="1" customHeight="1" outlineLevel="2" x14ac:dyDescent="0.25">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3.95" hidden="1" customHeight="1" outlineLevel="2" x14ac:dyDescent="0.25">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3.95" hidden="1" customHeight="1" outlineLevel="2" x14ac:dyDescent="0.25">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3.95" hidden="1" customHeight="1" outlineLevel="2" x14ac:dyDescent="0.25">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3.95" hidden="1" customHeight="1" outlineLevel="2" x14ac:dyDescent="0.25">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3.95" hidden="1" customHeight="1" outlineLevel="2" x14ac:dyDescent="0.25">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3.95" hidden="1" customHeight="1" outlineLevel="2" x14ac:dyDescent="0.25">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3.95" customHeight="1" collapsed="1" x14ac:dyDescent="0.25">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3.95" hidden="1" customHeight="1" outlineLevel="1" x14ac:dyDescent="0.25">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3.95" hidden="1" customHeight="1" outlineLevel="1" x14ac:dyDescent="0.25">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3.95" hidden="1" customHeight="1" outlineLevel="1" x14ac:dyDescent="0.25">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3.95" hidden="1" customHeight="1" outlineLevel="1" x14ac:dyDescent="0.25">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3.95" hidden="1" customHeight="1" outlineLevel="1" x14ac:dyDescent="0.25">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3.95" hidden="1" customHeight="1" outlineLevel="1" x14ac:dyDescent="0.25">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3.95" hidden="1" customHeight="1" outlineLevel="1" x14ac:dyDescent="0.25">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3.95" hidden="1" customHeight="1" outlineLevel="1" x14ac:dyDescent="0.25">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3.95" hidden="1" customHeight="1" outlineLevel="1" x14ac:dyDescent="0.25">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3.95" hidden="1" customHeight="1" outlineLevel="1" x14ac:dyDescent="0.25">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3.95" hidden="1" customHeight="1" outlineLevel="1" x14ac:dyDescent="0.25">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3.95" hidden="1" customHeight="1" outlineLevel="1" x14ac:dyDescent="0.25">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3.95" hidden="1" customHeight="1" outlineLevel="1" x14ac:dyDescent="0.25">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3.95" hidden="1" customHeight="1" outlineLevel="1" x14ac:dyDescent="0.25">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3.95" hidden="1" customHeight="1" outlineLevel="1" x14ac:dyDescent="0.25">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3.95" hidden="1" customHeight="1" outlineLevel="1" x14ac:dyDescent="0.25">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3.95" hidden="1" customHeight="1" outlineLevel="1" x14ac:dyDescent="0.25">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3.95" hidden="1" customHeight="1" outlineLevel="1" x14ac:dyDescent="0.25">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3.95" hidden="1" customHeight="1" outlineLevel="1" x14ac:dyDescent="0.25">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6" t="s">
        <v>3578</v>
      </c>
      <c r="D394" s="1546"/>
      <c r="E394" s="1546"/>
      <c r="F394" s="1546"/>
      <c r="G394" s="1546"/>
      <c r="H394" s="1546"/>
      <c r="I394" s="1546"/>
    </row>
    <row r="395" spans="2:37" ht="13.95" customHeight="1" x14ac:dyDescent="0.25">
      <c r="C395" s="1688" t="s">
        <v>3577</v>
      </c>
      <c r="D395" s="1688"/>
      <c r="E395" s="1688"/>
      <c r="F395" s="1688"/>
      <c r="G395" s="1688"/>
      <c r="H395" s="1688"/>
      <c r="I395" s="1688"/>
      <c r="J395" s="1688"/>
      <c r="K395" s="1688"/>
      <c r="L395" s="1688"/>
      <c r="M395" s="1688"/>
      <c r="N395" s="1688"/>
      <c r="O395" s="627"/>
    </row>
    <row r="396" spans="2:37" x14ac:dyDescent="0.25">
      <c r="C396" s="1688" t="s">
        <v>3224</v>
      </c>
      <c r="D396" s="1688"/>
      <c r="E396" s="1688"/>
      <c r="F396" s="1688"/>
      <c r="G396" s="1688"/>
      <c r="H396" s="1688"/>
      <c r="I396" s="1688"/>
      <c r="J396" s="1688"/>
      <c r="K396" s="1688"/>
      <c r="L396" s="1688"/>
      <c r="M396" s="1688"/>
      <c r="N396" s="1688"/>
      <c r="O396" s="1264"/>
    </row>
    <row r="397" spans="2:37" x14ac:dyDescent="0.25">
      <c r="C397" s="1688" t="s">
        <v>3398</v>
      </c>
      <c r="D397" s="1688"/>
      <c r="E397" s="1688"/>
      <c r="F397" s="1688"/>
      <c r="G397" s="1688"/>
      <c r="H397" s="1688"/>
      <c r="I397" s="1688"/>
      <c r="J397" s="1688"/>
      <c r="K397" s="1688"/>
      <c r="L397" s="1688"/>
      <c r="M397" s="1688"/>
      <c r="N397" s="1688"/>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1" t="s">
        <v>3579</v>
      </c>
      <c r="D399" s="1724" t="s">
        <v>101</v>
      </c>
      <c r="E399" s="1725"/>
      <c r="F399" s="1726"/>
      <c r="G399" s="1373"/>
      <c r="H399" s="1573"/>
      <c r="I399" s="1372"/>
    </row>
    <row r="400" spans="2:37" ht="33" customHeight="1" x14ac:dyDescent="0.25">
      <c r="C400" s="821" t="s">
        <v>102</v>
      </c>
      <c r="D400" s="1374" t="s">
        <v>213</v>
      </c>
      <c r="E400" s="1375" t="s">
        <v>2272</v>
      </c>
      <c r="F400" s="1375" t="s">
        <v>2273</v>
      </c>
      <c r="G400" s="1365"/>
      <c r="H400" s="1574"/>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AC101:AD101"/>
    <mergeCell ref="AC102:AD102"/>
    <mergeCell ref="AC103:AD103"/>
    <mergeCell ref="AC104:AD104"/>
    <mergeCell ref="AC105:AD105"/>
    <mergeCell ref="AC106:AD106"/>
    <mergeCell ref="AC107:AD107"/>
    <mergeCell ref="AC108:AD108"/>
    <mergeCell ref="AC109:AD109"/>
    <mergeCell ref="AC92:AD92"/>
    <mergeCell ref="AC93:AD93"/>
    <mergeCell ref="AC94:AD94"/>
    <mergeCell ref="AC95:AD95"/>
    <mergeCell ref="AC96:AD96"/>
    <mergeCell ref="AC97:AD97"/>
    <mergeCell ref="AC98:AD98"/>
    <mergeCell ref="AC99:AD99"/>
    <mergeCell ref="AC100:AD100"/>
    <mergeCell ref="AC83:AD83"/>
    <mergeCell ref="AC84:AD84"/>
    <mergeCell ref="AC85:AD85"/>
    <mergeCell ref="AC86:AD86"/>
    <mergeCell ref="AC87:AD87"/>
    <mergeCell ref="AC88:AD88"/>
    <mergeCell ref="AC89:AD89"/>
    <mergeCell ref="AC90:AD90"/>
    <mergeCell ref="AC91:AD91"/>
    <mergeCell ref="AC74:AD74"/>
    <mergeCell ref="AC75:AD75"/>
    <mergeCell ref="AC76:AD76"/>
    <mergeCell ref="AC77:AD77"/>
    <mergeCell ref="AC78:AD78"/>
    <mergeCell ref="AC79:AD79"/>
    <mergeCell ref="AC80:AD80"/>
    <mergeCell ref="AC81:AD81"/>
    <mergeCell ref="AC82:AD82"/>
    <mergeCell ref="AC65:AD65"/>
    <mergeCell ref="AC66:AD66"/>
    <mergeCell ref="AC67:AD67"/>
    <mergeCell ref="AC68:AD68"/>
    <mergeCell ref="AC69:AD69"/>
    <mergeCell ref="AC70:AD70"/>
    <mergeCell ref="AC71:AD71"/>
    <mergeCell ref="AC72:AD72"/>
    <mergeCell ref="AC73:AD73"/>
    <mergeCell ref="AC56:AD56"/>
    <mergeCell ref="AC57:AD57"/>
    <mergeCell ref="AC58:AD58"/>
    <mergeCell ref="AC59:AD59"/>
    <mergeCell ref="AC60:AD60"/>
    <mergeCell ref="AC61:AD61"/>
    <mergeCell ref="AC62:AD62"/>
    <mergeCell ref="AC63:AD63"/>
    <mergeCell ref="AC64:AD64"/>
    <mergeCell ref="AC47:AD47"/>
    <mergeCell ref="AC48:AD48"/>
    <mergeCell ref="AC49:AD49"/>
    <mergeCell ref="AC50:AD50"/>
    <mergeCell ref="AC51:AD51"/>
    <mergeCell ref="AC52:AD52"/>
    <mergeCell ref="AC53:AD53"/>
    <mergeCell ref="AC54:AD54"/>
    <mergeCell ref="AC55:AD55"/>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86:U86"/>
    <mergeCell ref="T75:U75"/>
    <mergeCell ref="T76:U76"/>
    <mergeCell ref="T77:U77"/>
    <mergeCell ref="T78:U78"/>
    <mergeCell ref="T87:U87"/>
    <mergeCell ref="T88:U88"/>
    <mergeCell ref="T89:U89"/>
    <mergeCell ref="T90:U90"/>
    <mergeCell ref="O52:S52"/>
    <mergeCell ref="O51:S51"/>
    <mergeCell ref="T79:U79"/>
    <mergeCell ref="T80:U80"/>
    <mergeCell ref="T81:U81"/>
    <mergeCell ref="T82:U82"/>
    <mergeCell ref="T83:U83"/>
    <mergeCell ref="T84:U84"/>
    <mergeCell ref="T85:U85"/>
    <mergeCell ref="T58:U58"/>
    <mergeCell ref="T59:U59"/>
    <mergeCell ref="K59:M59"/>
    <mergeCell ref="T53:U53"/>
    <mergeCell ref="T54:U54"/>
    <mergeCell ref="T55:U55"/>
    <mergeCell ref="T56:U56"/>
    <mergeCell ref="T57:U57"/>
    <mergeCell ref="K53:M53"/>
    <mergeCell ref="K54:M54"/>
    <mergeCell ref="K55:M55"/>
    <mergeCell ref="K56:M56"/>
    <mergeCell ref="K57:M57"/>
    <mergeCell ref="K58:M58"/>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F2:K2"/>
    <mergeCell ref="C7:I7"/>
    <mergeCell ref="C15:I15"/>
    <mergeCell ref="L2:M2"/>
    <mergeCell ref="L3:M3"/>
    <mergeCell ref="Q2:Y2"/>
    <mergeCell ref="C12:R12"/>
    <mergeCell ref="K7:Q7"/>
    <mergeCell ref="C8:N8"/>
    <mergeCell ref="C9:N9"/>
    <mergeCell ref="C10:N10"/>
    <mergeCell ref="C11:N1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AH106:AI106"/>
    <mergeCell ref="AH107:AI107"/>
    <mergeCell ref="AH125:AI125"/>
    <mergeCell ref="AH126:AI126"/>
    <mergeCell ref="AH127:AI127"/>
    <mergeCell ref="AH128:AI128"/>
    <mergeCell ref="AH129:AI129"/>
    <mergeCell ref="AH130:AI130"/>
    <mergeCell ref="AH131:AI131"/>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K124:M124"/>
    <mergeCell ref="K125:M125"/>
    <mergeCell ref="K126:M126"/>
    <mergeCell ref="K127:M127"/>
    <mergeCell ref="K128:M128"/>
    <mergeCell ref="K129:M129"/>
    <mergeCell ref="K130:M130"/>
    <mergeCell ref="K131:M131"/>
    <mergeCell ref="K132:M132"/>
    <mergeCell ref="K133:M133"/>
    <mergeCell ref="K134:M134"/>
    <mergeCell ref="K135:M135"/>
    <mergeCell ref="K136:M136"/>
    <mergeCell ref="K137:M137"/>
    <mergeCell ref="K138:M138"/>
    <mergeCell ref="K139:M139"/>
    <mergeCell ref="K140:M140"/>
    <mergeCell ref="K141:M141"/>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O92:S92"/>
    <mergeCell ref="O93:S93"/>
    <mergeCell ref="O94:S94"/>
    <mergeCell ref="O95:S95"/>
    <mergeCell ref="O96:S96"/>
    <mergeCell ref="O97:S97"/>
    <mergeCell ref="O98:S98"/>
    <mergeCell ref="O99:S99"/>
    <mergeCell ref="O100:S100"/>
    <mergeCell ref="O101:S101"/>
    <mergeCell ref="O102:S102"/>
    <mergeCell ref="O103:S103"/>
    <mergeCell ref="O104:S104"/>
    <mergeCell ref="O105:S105"/>
    <mergeCell ref="O106:S106"/>
    <mergeCell ref="O107:S107"/>
    <mergeCell ref="O108:S108"/>
    <mergeCell ref="O109:S109"/>
    <mergeCell ref="O110:S110"/>
    <mergeCell ref="O111:S111"/>
    <mergeCell ref="O112:S112"/>
    <mergeCell ref="O113:S113"/>
    <mergeCell ref="O114:S114"/>
    <mergeCell ref="O115:S115"/>
    <mergeCell ref="O116:S116"/>
    <mergeCell ref="O117:S117"/>
    <mergeCell ref="O118:S118"/>
    <mergeCell ref="O119:S119"/>
    <mergeCell ref="O120:S120"/>
    <mergeCell ref="O121:S121"/>
    <mergeCell ref="O122:S122"/>
    <mergeCell ref="O123:S123"/>
    <mergeCell ref="O124:S124"/>
    <mergeCell ref="O125:S125"/>
    <mergeCell ref="O126:S126"/>
    <mergeCell ref="O127:S127"/>
    <mergeCell ref="O128:S128"/>
    <mergeCell ref="O129:S129"/>
    <mergeCell ref="O130:S130"/>
    <mergeCell ref="O140:S140"/>
    <mergeCell ref="O141:S141"/>
    <mergeCell ref="O142:S142"/>
    <mergeCell ref="O143:S143"/>
    <mergeCell ref="O144:S144"/>
    <mergeCell ref="O145:S145"/>
    <mergeCell ref="O146:S146"/>
    <mergeCell ref="O147:S147"/>
    <mergeCell ref="O131:S131"/>
    <mergeCell ref="O132:S132"/>
    <mergeCell ref="O133:S133"/>
    <mergeCell ref="O134:S134"/>
    <mergeCell ref="O135:S135"/>
    <mergeCell ref="O136:S136"/>
    <mergeCell ref="O137:S137"/>
    <mergeCell ref="O138:S138"/>
    <mergeCell ref="O139:S139"/>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6:C99 J55:J147 Y172:BO269 C171:C269 Z52:AB52 M291:N294 J49 M296:N346 N295 I170 Y170:BO170 J50:J53 P48:S48 Z53:AB53 Y56:AB147 B48:B54 F170:G170 J48 AA48 Z49:AA49 Z50:AB50 Z51:AB51 B101:C147 B100 F172:G269 AC171:BO171 O171:W171 T99:U147 K170:W170 I172:W269 Z54:AB54 B55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zoomScale="80" zoomScaleNormal="80" workbookViewId="0">
      <selection activeCell="H8" sqref="H8"/>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RaisinAnalytics</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45916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str">
        <f>IF('1. Project Inputs'!C28="Fixed Fee","Fixed Price",IF('1. Project Inputs'!C28="T&amp;M","Time and Materials"))</f>
        <v>Time and Materials</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SOW</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6" x14ac:dyDescent="0.25">
      <c r="A8" s="157"/>
      <c r="B8" s="158"/>
      <c r="C8" s="158"/>
      <c r="D8" s="158"/>
      <c r="E8" s="158"/>
      <c r="F8" s="158"/>
      <c r="G8" s="140" t="s">
        <v>2189</v>
      </c>
      <c r="H8" s="386">
        <f>H4</f>
        <v>45916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thickBot="1" x14ac:dyDescent="0.3">
      <c r="A9" s="157"/>
      <c r="B9" s="158"/>
      <c r="C9" s="158"/>
      <c r="D9" s="158"/>
      <c r="E9" s="158"/>
      <c r="F9" s="158"/>
      <c r="G9" s="140" t="s">
        <v>3691</v>
      </c>
      <c r="H9" s="140" t="s">
        <v>3692</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 customHeight="1" x14ac:dyDescent="0.25">
      <c r="A10" s="157"/>
      <c r="B10" s="158"/>
      <c r="C10" s="158"/>
      <c r="D10" s="158"/>
      <c r="E10" s="158"/>
      <c r="F10" s="158"/>
      <c r="G10" s="1744" t="s">
        <v>2173</v>
      </c>
      <c r="H10" s="1745"/>
      <c r="I10" s="1745"/>
      <c r="J10" s="1745"/>
      <c r="K10" s="1746"/>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40.200000000000003" thickBot="1" x14ac:dyDescent="0.35">
      <c r="A11" s="157"/>
      <c r="B11" s="158"/>
      <c r="C11" s="158"/>
      <c r="D11" s="158"/>
      <c r="E11" s="158"/>
      <c r="F11" s="158"/>
      <c r="G11" s="1747"/>
      <c r="H11" s="1748"/>
      <c r="I11" s="1748"/>
      <c r="J11" s="1748"/>
      <c r="K11" s="1749"/>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8.2" thickBot="1" x14ac:dyDescent="0.3">
      <c r="A12" s="157"/>
      <c r="B12" s="158"/>
      <c r="C12" s="158"/>
      <c r="D12" s="158"/>
      <c r="E12" s="158"/>
      <c r="F12" s="158"/>
      <c r="G12" s="1750"/>
      <c r="H12" s="1751"/>
      <c r="I12" s="1751"/>
      <c r="J12" s="1751"/>
      <c r="K12" s="1752"/>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753" t="s">
        <v>1966</v>
      </c>
    </row>
    <row r="13" spans="1:94" s="161" customFormat="1" ht="28.2" thickBot="1" x14ac:dyDescent="0.35">
      <c r="A13" s="157"/>
      <c r="B13" s="158"/>
      <c r="C13" s="158"/>
      <c r="D13" s="158"/>
      <c r="E13" s="158"/>
      <c r="F13" s="158"/>
      <c r="G13" s="1755" t="s">
        <v>1967</v>
      </c>
      <c r="H13" s="1756"/>
      <c r="I13" s="1756"/>
      <c r="J13" s="1756"/>
      <c r="K13" s="1757"/>
      <c r="L13" s="1761" t="s">
        <v>1</v>
      </c>
      <c r="M13" s="1762"/>
      <c r="N13" s="166" t="s">
        <v>1968</v>
      </c>
      <c r="O13" s="1765" t="s">
        <v>1969</v>
      </c>
      <c r="P13" s="1765"/>
      <c r="Q13" s="1766"/>
      <c r="R13" s="1767" t="s">
        <v>1970</v>
      </c>
      <c r="S13" s="1766"/>
      <c r="T13" s="1767" t="s">
        <v>1971</v>
      </c>
      <c r="U13" s="1766"/>
      <c r="V13" s="1767" t="s">
        <v>1972</v>
      </c>
      <c r="W13" s="1765"/>
      <c r="X13" s="1765"/>
      <c r="Y13" s="1765"/>
      <c r="Z13" s="1765"/>
      <c r="AA13" s="1765"/>
      <c r="AB13" s="1765"/>
      <c r="AC13" s="1765"/>
      <c r="AD13" s="1765"/>
      <c r="AE13" s="1765"/>
      <c r="AF13" s="1765"/>
      <c r="AG13" s="1765"/>
      <c r="AH13" s="1765"/>
      <c r="AI13" s="1765"/>
      <c r="AJ13" s="1765"/>
      <c r="AK13" s="1765"/>
      <c r="AL13" s="1765"/>
      <c r="AM13" s="1765"/>
      <c r="AN13" s="1765"/>
      <c r="AO13" s="1765"/>
      <c r="AP13" s="1765"/>
      <c r="AQ13" s="1765"/>
      <c r="AR13" s="1765"/>
      <c r="AS13" s="1766"/>
      <c r="AT13" s="1767" t="s">
        <v>1973</v>
      </c>
      <c r="AU13" s="1766"/>
      <c r="AV13" s="1767" t="s">
        <v>1974</v>
      </c>
      <c r="AW13" s="1766"/>
      <c r="AX13" s="1767" t="s">
        <v>1975</v>
      </c>
      <c r="AY13" s="1766"/>
      <c r="AZ13" s="1767" t="s">
        <v>1976</v>
      </c>
      <c r="BA13" s="1766"/>
      <c r="BB13" s="1767" t="s">
        <v>1977</v>
      </c>
      <c r="BC13" s="1766"/>
      <c r="BD13" s="1767" t="s">
        <v>1973</v>
      </c>
      <c r="BE13" s="1766"/>
      <c r="BF13" s="1767" t="s">
        <v>1974</v>
      </c>
      <c r="BG13" s="1766"/>
      <c r="BH13" s="1767" t="s">
        <v>1975</v>
      </c>
      <c r="BI13" s="1766"/>
      <c r="BJ13" s="1767" t="s">
        <v>1976</v>
      </c>
      <c r="BK13" s="1766"/>
      <c r="BL13" s="1767" t="s">
        <v>1977</v>
      </c>
      <c r="BM13" s="1766"/>
      <c r="BN13" s="161" t="s">
        <v>2201</v>
      </c>
      <c r="BO13" s="161" t="s">
        <v>2200</v>
      </c>
      <c r="BR13" s="1754"/>
      <c r="BS13" s="1775" t="s">
        <v>2175</v>
      </c>
      <c r="BT13" s="1776"/>
      <c r="BU13" s="167"/>
    </row>
    <row r="14" spans="1:94" s="161" customFormat="1" ht="28.2" thickBot="1" x14ac:dyDescent="0.35">
      <c r="A14" s="157"/>
      <c r="B14" s="158"/>
      <c r="C14" s="158"/>
      <c r="D14" s="158"/>
      <c r="E14" s="158"/>
      <c r="F14" s="158"/>
      <c r="G14" s="1758"/>
      <c r="H14" s="1759"/>
      <c r="I14" s="1759"/>
      <c r="J14" s="1759"/>
      <c r="K14" s="1760"/>
      <c r="L14" s="1763"/>
      <c r="M14" s="1764"/>
      <c r="N14" s="168" t="s">
        <v>1978</v>
      </c>
      <c r="O14" s="1779" t="s">
        <v>1979</v>
      </c>
      <c r="P14" s="1779"/>
      <c r="Q14" s="1780"/>
      <c r="R14" s="1768" t="s">
        <v>1980</v>
      </c>
      <c r="S14" s="1769"/>
      <c r="T14" s="1768" t="s">
        <v>1980</v>
      </c>
      <c r="U14" s="1769"/>
      <c r="V14" s="1768" t="s">
        <v>1980</v>
      </c>
      <c r="W14" s="1781"/>
      <c r="X14" s="1781"/>
      <c r="Y14" s="1781"/>
      <c r="Z14" s="1781"/>
      <c r="AA14" s="1781"/>
      <c r="AB14" s="1781"/>
      <c r="AC14" s="1781"/>
      <c r="AD14" s="1781"/>
      <c r="AE14" s="1781"/>
      <c r="AF14" s="1781"/>
      <c r="AG14" s="1781"/>
      <c r="AH14" s="1781"/>
      <c r="AI14" s="1781"/>
      <c r="AJ14" s="1781"/>
      <c r="AK14" s="1781"/>
      <c r="AL14" s="1781"/>
      <c r="AM14" s="1781"/>
      <c r="AN14" s="1781"/>
      <c r="AO14" s="1781"/>
      <c r="AP14" s="1781"/>
      <c r="AQ14" s="1781"/>
      <c r="AR14" s="1781"/>
      <c r="AS14" s="1769"/>
      <c r="AT14" s="1768" t="s">
        <v>1980</v>
      </c>
      <c r="AU14" s="1769"/>
      <c r="AV14" s="1768" t="s">
        <v>1980</v>
      </c>
      <c r="AW14" s="1769"/>
      <c r="AX14" s="1768" t="s">
        <v>1980</v>
      </c>
      <c r="AY14" s="1769"/>
      <c r="AZ14" s="1770" t="s">
        <v>1981</v>
      </c>
      <c r="BA14" s="1771"/>
      <c r="BB14" s="1770" t="s">
        <v>1982</v>
      </c>
      <c r="BC14" s="1771"/>
      <c r="BD14" s="1768" t="s">
        <v>1980</v>
      </c>
      <c r="BE14" s="1769"/>
      <c r="BF14" s="1768" t="s">
        <v>1980</v>
      </c>
      <c r="BG14" s="1769"/>
      <c r="BH14" s="1768" t="s">
        <v>1980</v>
      </c>
      <c r="BI14" s="1769"/>
      <c r="BJ14" s="1770" t="s">
        <v>1981</v>
      </c>
      <c r="BK14" s="1771"/>
      <c r="BL14" s="1770" t="s">
        <v>1982</v>
      </c>
      <c r="BM14" s="1771"/>
      <c r="BN14" s="1782" t="s">
        <v>1983</v>
      </c>
      <c r="BO14" s="1783"/>
      <c r="BP14" s="1783"/>
      <c r="BQ14" s="1783"/>
      <c r="BR14" s="1784"/>
      <c r="BS14" s="1777"/>
      <c r="BT14" s="1778"/>
      <c r="BU14" s="167"/>
    </row>
    <row r="15" spans="1:94" s="191" customFormat="1" ht="40.200000000000003" thickBot="1" x14ac:dyDescent="0.35">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14.4" thickBot="1" x14ac:dyDescent="0.35">
      <c r="A16" s="192">
        <v>1</v>
      </c>
      <c r="B16" s="193">
        <v>3</v>
      </c>
      <c r="C16" s="193" t="str">
        <f t="shared" ref="C16:C33" si="46">G16&amp;"__"&amp;H16</f>
        <v>.NET__Sitecore</v>
      </c>
      <c r="D16" s="193" t="str">
        <f t="shared" ref="D16:D33" si="47">G16&amp;"__"&amp;H16&amp;"__"&amp;I16</f>
        <v>.NET__Sitecore__Sitecore</v>
      </c>
      <c r="E16" s="193">
        <v>21</v>
      </c>
      <c r="F16" s="193">
        <v>8</v>
      </c>
      <c r="G16" s="194" t="str">
        <f>'2. Roles &amp; Pricing'!D48</f>
        <v>.NET</v>
      </c>
      <c r="H16" s="194" t="str">
        <f>'2. Roles &amp; Pricing'!F48</f>
        <v>Sitecore</v>
      </c>
      <c r="I16" s="194" t="str">
        <f>'2. Roles &amp; Pricing'!F48</f>
        <v>Sitecore</v>
      </c>
      <c r="J16" s="196" t="str">
        <f>'2. Roles &amp; Pricing'!K48</f>
        <v>Sr. Developer</v>
      </c>
      <c r="K16" s="197" t="str">
        <f>'2. Roles &amp; Pricing'!W48</f>
        <v>Onshore</v>
      </c>
      <c r="L16" s="195"/>
      <c r="M16" s="196"/>
      <c r="N16" s="707">
        <f>IFERROR('2. Roles &amp; Pricing'!F170/40,"")</f>
        <v>1</v>
      </c>
      <c r="O16" s="707">
        <f>IFERROR('2. Roles &amp; Pricing'!I170/40,"")</f>
        <v>1</v>
      </c>
      <c r="P16" s="707">
        <f>IFERROR('2. Roles &amp; Pricing'!K170/40,"")</f>
        <v>1</v>
      </c>
      <c r="Q16" s="707">
        <f>IFERROR('2. Roles &amp; Pricing'!L170/40,"")</f>
        <v>1</v>
      </c>
      <c r="R16" s="707">
        <f>IFERROR('2. Roles &amp; Pricing'!M170/40,"")</f>
        <v>1</v>
      </c>
      <c r="S16" s="1620">
        <f>IFERROR('2. Roles &amp; Pricing'!N170/40,"")</f>
        <v>1</v>
      </c>
      <c r="T16" s="707">
        <f>IFERROR('2. Roles &amp; Pricing'!O170/40,"")</f>
        <v>1</v>
      </c>
      <c r="U16" s="709">
        <f>IFERROR('2. Roles &amp; Pricing'!P170/40,"")</f>
        <v>1</v>
      </c>
      <c r="V16" s="709">
        <f>IFERROR('2. Roles &amp; Pricing'!Q170/40,"")</f>
        <v>1</v>
      </c>
      <c r="W16" s="709">
        <f>IFERROR('2. Roles &amp; Pricing'!R170/40,"")</f>
        <v>1</v>
      </c>
      <c r="X16" s="708">
        <f>IFERROR('2. Roles &amp; Pricing'!S170/40,"")</f>
        <v>1</v>
      </c>
      <c r="Y16" s="708">
        <f>IFERROR('2. Roles &amp; Pricing'!T170/40,"")</f>
        <v>1</v>
      </c>
      <c r="Z16" s="708">
        <f>IFERROR('2. Roles &amp; Pricing'!U170/40,"")</f>
        <v>1</v>
      </c>
      <c r="AA16" s="708">
        <f>IFERROR('2. Roles &amp; Pricing'!Y170/40,"")</f>
        <v>1</v>
      </c>
      <c r="AB16" s="708">
        <f>IFERROR('2. Roles &amp; Pricing'!Z170/40,"")</f>
        <v>1</v>
      </c>
      <c r="AC16" s="708">
        <f>IFERROR('2. Roles &amp; Pricing'!AA170/40,"")</f>
        <v>1</v>
      </c>
      <c r="AD16" s="708">
        <f>IFERROR('2. Roles &amp; Pricing'!AB170/40,"")</f>
        <v>1</v>
      </c>
      <c r="AE16" s="708">
        <f>IFERROR('2. Roles &amp; Pricing'!AG170/40,"")</f>
        <v>1</v>
      </c>
      <c r="AF16" s="708">
        <f>IFERROR('2. Roles &amp; Pricing'!AH170/40,"")</f>
        <v>1</v>
      </c>
      <c r="AG16" s="708">
        <f>IFERROR('2. Roles &amp; Pricing'!AI170/40,"")</f>
        <v>1</v>
      </c>
      <c r="AH16" s="708">
        <f>IFERROR('2. Roles &amp; Pricing'!AJ170/40,"")</f>
        <v>1</v>
      </c>
      <c r="AI16" s="708">
        <f>IFERROR('2. Roles &amp; Pricing'!AK170/40,"")</f>
        <v>1</v>
      </c>
      <c r="AJ16" s="708">
        <f>IFERROR('2. Roles &amp; Pricing'!AL170/40,"")</f>
        <v>1</v>
      </c>
      <c r="AK16" s="708">
        <f>IFERROR('2. Roles &amp; Pricing'!AM170/40,"")</f>
        <v>1</v>
      </c>
      <c r="AL16" s="708">
        <f>IFERROR('2. Roles &amp; Pricing'!AN170/40,"")</f>
        <v>1</v>
      </c>
      <c r="AM16" s="708">
        <f>IFERROR('2. Roles &amp; Pricing'!AO170/40,"")</f>
        <v>1</v>
      </c>
      <c r="AN16" s="708">
        <f>IFERROR('2. Roles &amp; Pricing'!AP170/40,"")</f>
        <v>1</v>
      </c>
      <c r="AO16" s="708">
        <f>IFERROR('2. Roles &amp; Pricing'!AQ170/40,"")</f>
        <v>1</v>
      </c>
      <c r="AP16" s="708">
        <f>IFERROR('2. Roles &amp; Pricing'!AR170/40,"")</f>
        <v>1</v>
      </c>
      <c r="AQ16" s="708">
        <f>IFERROR('2. Roles &amp; Pricing'!AS170/40,"")</f>
        <v>1</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30</v>
      </c>
      <c r="BO16" s="198">
        <f>+BN16*5</f>
        <v>150</v>
      </c>
      <c r="BP16" s="199">
        <f>'2. Roles &amp; Pricing'!D291</f>
        <v>204000</v>
      </c>
      <c r="BQ16" s="199">
        <f>'2. Roles &amp; Pricing'!F291</f>
        <v>99000</v>
      </c>
      <c r="BR16" s="623">
        <f>'2. Roles &amp; Pricing'!F291</f>
        <v>99000</v>
      </c>
      <c r="BS16" s="200">
        <f>'2. Roles &amp; Pricing'!I291</f>
        <v>170</v>
      </c>
      <c r="BT16" s="201">
        <f>BP16</f>
        <v>204000</v>
      </c>
      <c r="BU16" s="202">
        <f t="shared" ref="BU16:BU33" si="48">BO16*8</f>
        <v>1200</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21" thickBot="1" x14ac:dyDescent="0.35">
      <c r="A17" s="205">
        <v>2</v>
      </c>
      <c r="B17" s="206">
        <v>3</v>
      </c>
      <c r="C17" s="207" t="str">
        <f t="shared" si="46"/>
        <v>Acquia__Acquia CDP</v>
      </c>
      <c r="D17" s="207" t="str">
        <f t="shared" si="47"/>
        <v>Acquia__Acquia CDP__Acquia CDP</v>
      </c>
      <c r="E17" s="207">
        <v>21</v>
      </c>
      <c r="F17" s="207">
        <v>8</v>
      </c>
      <c r="G17" s="208" t="str">
        <f>'2. Roles &amp; Pricing'!D49</f>
        <v>Acquia</v>
      </c>
      <c r="H17" s="194" t="str">
        <f>'2. Roles &amp; Pricing'!F49</f>
        <v>Acquia CDP</v>
      </c>
      <c r="I17" s="210" t="str">
        <f>'2. Roles &amp; Pricing'!F49</f>
        <v>Acquia CDP</v>
      </c>
      <c r="J17" s="210" t="str">
        <f>'2. Roles &amp; Pricing'!K49</f>
        <v>Data Analyst</v>
      </c>
      <c r="K17" s="197" t="str">
        <f>'2. Roles &amp; Pricing'!W49</f>
        <v>Offshore</v>
      </c>
      <c r="L17" s="209"/>
      <c r="M17" s="210"/>
      <c r="N17" s="707">
        <f>IFERROR('2. Roles &amp; Pricing'!F171/40,"")</f>
        <v>0</v>
      </c>
      <c r="O17" s="707">
        <f>IFERROR('2. Roles &amp; Pricing'!I171/40,"")</f>
        <v>0</v>
      </c>
      <c r="P17" s="707">
        <f>IFERROR('2. Roles &amp; Pricing'!K171/40,"")</f>
        <v>0</v>
      </c>
      <c r="Q17" s="707">
        <f>IFERROR('2. Roles &amp; Pricing'!L171/40,"")</f>
        <v>0</v>
      </c>
      <c r="R17" s="707">
        <f>IFERROR('2. Roles &amp; Pricing'!M171/40,"")</f>
        <v>1</v>
      </c>
      <c r="S17" s="707">
        <f>IFERROR('2. Roles &amp; Pricing'!N171/40,"")</f>
        <v>1</v>
      </c>
      <c r="T17" s="707">
        <f>IFERROR('2. Roles &amp; Pricing'!O171/40,"")</f>
        <v>1</v>
      </c>
      <c r="U17" s="709">
        <f>IFERROR('2. Roles &amp; Pricing'!P171/40,"")</f>
        <v>1</v>
      </c>
      <c r="V17" s="709">
        <f>IFERROR('2. Roles &amp; Pricing'!Q171/40,"")</f>
        <v>1</v>
      </c>
      <c r="W17" s="709">
        <f>IFERROR('2. Roles &amp; Pricing'!R171/40,"")</f>
        <v>1</v>
      </c>
      <c r="X17" s="708">
        <f>IFERROR('2. Roles &amp; Pricing'!S171/40,"")</f>
        <v>1</v>
      </c>
      <c r="Y17" s="708">
        <f>IFERROR('2. Roles &amp; Pricing'!T171/40,"")</f>
        <v>1</v>
      </c>
      <c r="Z17" s="708">
        <f>IFERROR('2. Roles &amp; Pricing'!U171/40,"")</f>
        <v>1</v>
      </c>
      <c r="AA17" s="708">
        <f>IFERROR('2. Roles &amp; Pricing'!Y171/40,"")</f>
        <v>0</v>
      </c>
      <c r="AB17" s="708">
        <f>IFERROR('2. Roles &amp; Pricing'!Z171/40,"")</f>
        <v>0</v>
      </c>
      <c r="AC17" s="708">
        <f>IFERROR('2. Roles &amp; Pricing'!AA171/40,"")</f>
        <v>0</v>
      </c>
      <c r="AD17" s="708">
        <f>IFERROR('2. Roles &amp; Pricing'!AB171/40,"")</f>
        <v>0</v>
      </c>
      <c r="AE17" s="708">
        <f>IFERROR('2. Roles &amp; Pricing'!AG171/40,"")</f>
        <v>1</v>
      </c>
      <c r="AF17" s="708">
        <f>IFERROR('2. Roles &amp; Pricing'!AH171/40,"")</f>
        <v>1</v>
      </c>
      <c r="AG17" s="708">
        <f>IFERROR('2. Roles &amp; Pricing'!AI171/40,"")</f>
        <v>1</v>
      </c>
      <c r="AH17" s="708">
        <f>IFERROR('2. Roles &amp; Pricing'!AJ171/40,"")</f>
        <v>1</v>
      </c>
      <c r="AI17" s="708">
        <f>IFERROR('2. Roles &amp; Pricing'!AK171/40,"")</f>
        <v>1</v>
      </c>
      <c r="AJ17" s="708">
        <f>IFERROR('2. Roles &amp; Pricing'!AL171/40,"")</f>
        <v>1</v>
      </c>
      <c r="AK17" s="708">
        <f>IFERROR('2. Roles &amp; Pricing'!AM171/40,"")</f>
        <v>1</v>
      </c>
      <c r="AL17" s="708">
        <f>IFERROR('2. Roles &amp; Pricing'!AN171/40,"")</f>
        <v>1</v>
      </c>
      <c r="AM17" s="708">
        <f>IFERROR('2. Roles &amp; Pricing'!AO171/40,"")</f>
        <v>1</v>
      </c>
      <c r="AN17" s="708">
        <f>IFERROR('2. Roles &amp; Pricing'!AP171/40,"")</f>
        <v>1</v>
      </c>
      <c r="AO17" s="708">
        <f>IFERROR('2. Roles &amp; Pricing'!AQ171/40,"")</f>
        <v>1</v>
      </c>
      <c r="AP17" s="708">
        <f>IFERROR('2. Roles &amp; Pricing'!AR171/40,"")</f>
        <v>1</v>
      </c>
      <c r="AQ17" s="708">
        <f>IFERROR('2. Roles &amp; Pricing'!AS171/40,"")</f>
        <v>1</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22</v>
      </c>
      <c r="BO17" s="213">
        <f t="shared" ref="BO17:BO33" si="50">+BN17*5</f>
        <v>110</v>
      </c>
      <c r="BP17" s="199">
        <f>'2. Roles &amp; Pricing'!D292</f>
        <v>48400</v>
      </c>
      <c r="BQ17" s="199">
        <f>'2. Roles &amp; Pricing'!F292</f>
        <v>15840</v>
      </c>
      <c r="BR17" s="623">
        <f>'2. Roles &amp; Pricing'!F292</f>
        <v>15840</v>
      </c>
      <c r="BS17" s="200">
        <f>'2. Roles &amp; Pricing'!I292</f>
        <v>55</v>
      </c>
      <c r="BT17" s="201">
        <f t="shared" ref="BT17:BT33" si="51">BP17</f>
        <v>48400</v>
      </c>
      <c r="BU17" s="214">
        <f t="shared" si="48"/>
        <v>880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21" thickBot="1" x14ac:dyDescent="0.35">
      <c r="A18" s="205">
        <v>3</v>
      </c>
      <c r="B18" s="206">
        <v>3</v>
      </c>
      <c r="C18" s="207" t="str">
        <f t="shared" si="46"/>
        <v>Experience Design__Design</v>
      </c>
      <c r="D18" s="207" t="str">
        <f t="shared" si="47"/>
        <v>Experience Design__Design__Design</v>
      </c>
      <c r="E18" s="207">
        <v>20</v>
      </c>
      <c r="F18" s="207">
        <v>10</v>
      </c>
      <c r="G18" s="208" t="str">
        <f>'2. Roles &amp; Pricing'!D50</f>
        <v>Experience Design</v>
      </c>
      <c r="H18" s="194" t="str">
        <f>'2. Roles &amp; Pricing'!F50</f>
        <v>Design</v>
      </c>
      <c r="I18" s="210" t="str">
        <f>'2. Roles &amp; Pricing'!F50</f>
        <v>Design</v>
      </c>
      <c r="J18" s="210" t="str">
        <f>'2. Roles &amp; Pricing'!K50</f>
        <v>UX Designer</v>
      </c>
      <c r="K18" s="197" t="str">
        <f>'2. Roles &amp; Pricing'!W50</f>
        <v>Onshore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204000</v>
      </c>
      <c r="BQ18" s="199">
        <f>'2. Roles &amp; Pricing'!F293</f>
        <v>84000</v>
      </c>
      <c r="BR18" s="623">
        <f>'2. Roles &amp; Pricing'!F293</f>
        <v>84000</v>
      </c>
      <c r="BS18" s="200">
        <f>'2. Roles &amp; Pricing'!I293</f>
        <v>170</v>
      </c>
      <c r="BT18" s="201">
        <f t="shared" si="51"/>
        <v>204000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21" thickBot="1" x14ac:dyDescent="0.35">
      <c r="A19" s="205">
        <v>4</v>
      </c>
      <c r="B19" s="206">
        <v>3</v>
      </c>
      <c r="C19" s="207" t="str">
        <f t="shared" si="46"/>
        <v>Salesforce__Salesforce UI</v>
      </c>
      <c r="D19" s="207" t="str">
        <f t="shared" si="47"/>
        <v>Salesforce__Salesforce UI__Salesforce UI</v>
      </c>
      <c r="E19" s="207">
        <v>21</v>
      </c>
      <c r="F19" s="207">
        <v>8</v>
      </c>
      <c r="G19" s="208" t="str">
        <f>'2. Roles &amp; Pricing'!D51</f>
        <v>Salesforce</v>
      </c>
      <c r="H19" s="194" t="str">
        <f>'2. Roles &amp; Pricing'!F51</f>
        <v>Salesforce UI</v>
      </c>
      <c r="I19" s="210" t="str">
        <f>'2. Roles &amp; Pricing'!F51</f>
        <v>Salesforce UI</v>
      </c>
      <c r="J19" s="210" t="str">
        <f>'2. Roles &amp; Pricing'!K51</f>
        <v>Sr. Developer</v>
      </c>
      <c r="K19" s="197" t="str">
        <f>'2. Roles &amp; Pricing'!W51</f>
        <v>Offshore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78000</v>
      </c>
      <c r="BQ19" s="199">
        <f>'2. Roles &amp; Pricing'!F294</f>
        <v>27000</v>
      </c>
      <c r="BR19" s="623">
        <f>'2. Roles &amp; Pricing'!F294</f>
        <v>27000</v>
      </c>
      <c r="BS19" s="200">
        <f>'2. Roles &amp; Pricing'!I294</f>
        <v>65</v>
      </c>
      <c r="BT19" s="201">
        <f t="shared" si="51"/>
        <v>78000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21" thickBot="1" x14ac:dyDescent="0.35">
      <c r="A20" s="205">
        <v>5</v>
      </c>
      <c r="B20" s="206">
        <v>3</v>
      </c>
      <c r="C20" s="207" t="str">
        <f t="shared" si="46"/>
        <v>Adobe__Adobe UI</v>
      </c>
      <c r="D20" s="207" t="str">
        <f t="shared" si="47"/>
        <v>Adobe__Adobe UI__Adobe UI</v>
      </c>
      <c r="E20" s="207">
        <v>21</v>
      </c>
      <c r="F20" s="207">
        <v>8</v>
      </c>
      <c r="G20" s="208" t="str">
        <f>'2. Roles &amp; Pricing'!D52</f>
        <v>Adobe</v>
      </c>
      <c r="H20" s="194" t="str">
        <f>'2. Roles &amp; Pricing'!F52</f>
        <v>Adobe UI</v>
      </c>
      <c r="I20" s="210" t="str">
        <f>'2. Roles &amp; Pricing'!F52</f>
        <v>Adobe UI</v>
      </c>
      <c r="J20" s="210" t="str">
        <f>'2. Roles &amp; Pricing'!K52</f>
        <v>Technical Lead</v>
      </c>
      <c r="K20" s="197" t="str">
        <f>'2. Roles &amp; Pricing'!W52</f>
        <v>Onshore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222000</v>
      </c>
      <c r="BQ20" s="199">
        <f>'2. Roles &amp; Pricing'!F295</f>
        <v>108000</v>
      </c>
      <c r="BR20" s="623">
        <f>'2. Roles &amp; Pricing'!F295</f>
        <v>108000</v>
      </c>
      <c r="BS20" s="200">
        <f>'2. Roles &amp; Pricing'!I295</f>
        <v>185</v>
      </c>
      <c r="BT20" s="201">
        <f t="shared" si="51"/>
        <v>222000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8.2" thickBot="1" x14ac:dyDescent="0.35">
      <c r="A21" s="205">
        <v>6</v>
      </c>
      <c r="B21" s="206">
        <v>3</v>
      </c>
      <c r="C21" s="207" t="str">
        <f t="shared" si="46"/>
        <v>MACH__MACH DevOps</v>
      </c>
      <c r="D21" s="207" t="str">
        <f t="shared" si="47"/>
        <v>MACH__MACH DevOps__MACH DevOps</v>
      </c>
      <c r="E21" s="207">
        <v>21</v>
      </c>
      <c r="F21" s="207">
        <v>8</v>
      </c>
      <c r="G21" s="208" t="str">
        <f>'2. Roles &amp; Pricing'!D53</f>
        <v>MACH</v>
      </c>
      <c r="H21" s="194" t="str">
        <f>'2. Roles &amp; Pricing'!F53</f>
        <v>MACH DevOps</v>
      </c>
      <c r="I21" s="210" t="str">
        <f>'2. Roles &amp; Pricing'!F53</f>
        <v>MACH DevOps</v>
      </c>
      <c r="J21" s="210" t="str">
        <f>'2. Roles &amp; Pricing'!K53</f>
        <v>Associate DevOps Engineer</v>
      </c>
      <c r="K21" s="197" t="str">
        <f>'2. Roles &amp; Pricing'!W53</f>
        <v>Offshore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33600</v>
      </c>
      <c r="BQ21" s="199">
        <f>'2. Roles &amp; Pricing'!F296</f>
        <v>12480</v>
      </c>
      <c r="BR21" s="623">
        <f>'2. Roles &amp; Pricing'!F296</f>
        <v>12480</v>
      </c>
      <c r="BS21" s="200">
        <f>'2. Roles &amp; Pricing'!I296</f>
        <v>35</v>
      </c>
      <c r="BT21" s="201">
        <f t="shared" si="51"/>
        <v>33600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21" thickBot="1" x14ac:dyDescent="0.35">
      <c r="A22" s="205">
        <v>7</v>
      </c>
      <c r="B22" s="206">
        <v>3</v>
      </c>
      <c r="C22" s="207" t="str">
        <f t="shared" si="46"/>
        <v>Adobe__Adobe BA</v>
      </c>
      <c r="D22" s="207" t="str">
        <f t="shared" si="47"/>
        <v>Adobe__Adobe BA__Adobe BA</v>
      </c>
      <c r="E22" s="207">
        <v>21</v>
      </c>
      <c r="F22" s="207">
        <v>8</v>
      </c>
      <c r="G22" s="208" t="str">
        <f>'2. Roles &amp; Pricing'!D54</f>
        <v>Adobe</v>
      </c>
      <c r="H22" s="194" t="str">
        <f>'2. Roles &amp; Pricing'!F54</f>
        <v>Adobe BA</v>
      </c>
      <c r="I22" s="210" t="str">
        <f>'2. Roles &amp; Pricing'!F54</f>
        <v>Adobe BA</v>
      </c>
      <c r="J22" s="210" t="str">
        <f>'2. Roles &amp; Pricing'!K54</f>
        <v>Business Analyst</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66000</v>
      </c>
      <c r="BQ22" s="199">
        <f>'2. Roles &amp; Pricing'!F297</f>
        <v>27000</v>
      </c>
      <c r="BR22" s="623">
        <f>'2. Roles &amp; Pricing'!F297</f>
        <v>27000</v>
      </c>
      <c r="BS22" s="200">
        <f>'2. Roles &amp; Pricing'!I297</f>
        <v>55</v>
      </c>
      <c r="BT22" s="201">
        <f t="shared" si="51"/>
        <v>66000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21" thickBot="1" x14ac:dyDescent="0.35">
      <c r="A23" s="205">
        <v>8</v>
      </c>
      <c r="B23" s="206">
        <v>3</v>
      </c>
      <c r="C23" s="207" t="str">
        <f t="shared" si="46"/>
        <v>Delivery__Delivery</v>
      </c>
      <c r="D23" s="207" t="str">
        <f t="shared" si="47"/>
        <v>Delivery__Delivery__Delivery</v>
      </c>
      <c r="E23" s="207">
        <v>20</v>
      </c>
      <c r="F23" s="207">
        <v>10</v>
      </c>
      <c r="G23" s="208" t="str">
        <f>'2. Roles &amp; Pricing'!D55</f>
        <v>Delivery</v>
      </c>
      <c r="H23" s="194" t="str">
        <f>'2. Roles &amp; Pricing'!F55</f>
        <v>Delivery</v>
      </c>
      <c r="I23" s="210" t="str">
        <f>'2. Roles &amp; Pricing'!F55</f>
        <v>Delivery</v>
      </c>
      <c r="J23" s="210" t="str">
        <f>'2. Roles &amp; Pricing'!K55</f>
        <v>Delivery Manager</v>
      </c>
      <c r="K23" s="197" t="str">
        <f>'2. Roles &amp; Pricing'!W55</f>
        <v>Offshore</v>
      </c>
      <c r="L23" s="209"/>
      <c r="M23" s="210"/>
      <c r="N23" s="707">
        <f>IFERROR('2. Roles &amp; Pricing'!F177/40,"")</f>
        <v>0.5</v>
      </c>
      <c r="O23" s="707">
        <f>IFERROR('2. Roles &amp; Pricing'!I177/40,"")</f>
        <v>0.5</v>
      </c>
      <c r="P23" s="707">
        <f>IFERROR('2. Roles &amp; Pricing'!K177/40,"")</f>
        <v>0.5</v>
      </c>
      <c r="Q23" s="707">
        <f>IFERROR('2. Roles &amp; Pricing'!L177/40,"")</f>
        <v>0.5</v>
      </c>
      <c r="R23" s="707">
        <f>IFERROR('2. Roles &amp; Pricing'!M177/40,"")</f>
        <v>0.5</v>
      </c>
      <c r="S23" s="707">
        <f>IFERROR('2. Roles &amp; Pricing'!N177/40,"")</f>
        <v>0.5</v>
      </c>
      <c r="T23" s="707">
        <f>IFERROR('2. Roles &amp; Pricing'!O177/40,"")</f>
        <v>0.5</v>
      </c>
      <c r="U23" s="709">
        <f>IFERROR('2. Roles &amp; Pricing'!P177/40,"")</f>
        <v>0.5</v>
      </c>
      <c r="V23" s="709">
        <f>IFERROR('2. Roles &amp; Pricing'!Q177/40,"")</f>
        <v>0.5</v>
      </c>
      <c r="W23" s="709">
        <f>IFERROR('2. Roles &amp; Pricing'!R177/40,"")</f>
        <v>0.5</v>
      </c>
      <c r="X23" s="708">
        <f>IFERROR('2. Roles &amp; Pricing'!S177/40,"")</f>
        <v>0.5</v>
      </c>
      <c r="Y23" s="708">
        <f>IFERROR('2. Roles &amp; Pricing'!T177/40,"")</f>
        <v>0.5</v>
      </c>
      <c r="Z23" s="708">
        <f>IFERROR('2. Roles &amp; Pricing'!U177/40,"")</f>
        <v>0.5</v>
      </c>
      <c r="AA23" s="708">
        <f>IFERROR('2. Roles &amp; Pricing'!Y177/40,"")</f>
        <v>0.5</v>
      </c>
      <c r="AB23" s="708">
        <f>IFERROR('2. Roles &amp; Pricing'!Z177/40,"")</f>
        <v>0.5</v>
      </c>
      <c r="AC23" s="708">
        <f>IFERROR('2. Roles &amp; Pricing'!AA177/40,"")</f>
        <v>0.5</v>
      </c>
      <c r="AD23" s="708">
        <f>IFERROR('2. Roles &amp; Pricing'!AB177/40,"")</f>
        <v>0.5</v>
      </c>
      <c r="AE23" s="708">
        <f>IFERROR('2. Roles &amp; Pricing'!AG177/40,"")</f>
        <v>0.5</v>
      </c>
      <c r="AF23" s="708">
        <f>IFERROR('2. Roles &amp; Pricing'!AH177/40,"")</f>
        <v>0.5</v>
      </c>
      <c r="AG23" s="708">
        <f>IFERROR('2. Roles &amp; Pricing'!AI177/40,"")</f>
        <v>0.5</v>
      </c>
      <c r="AH23" s="708">
        <f>IFERROR('2. Roles &amp; Pricing'!AJ177/40,"")</f>
        <v>0.5</v>
      </c>
      <c r="AI23" s="708">
        <f>IFERROR('2. Roles &amp; Pricing'!AK177/40,"")</f>
        <v>0.5</v>
      </c>
      <c r="AJ23" s="708">
        <f>IFERROR('2. Roles &amp; Pricing'!AL177/40,"")</f>
        <v>0.5</v>
      </c>
      <c r="AK23" s="708">
        <f>IFERROR('2. Roles &amp; Pricing'!AM177/40,"")</f>
        <v>0.5</v>
      </c>
      <c r="AL23" s="708">
        <f>IFERROR('2. Roles &amp; Pricing'!AN177/40,"")</f>
        <v>0.5</v>
      </c>
      <c r="AM23" s="708">
        <f>IFERROR('2. Roles &amp; Pricing'!AO177/40,"")</f>
        <v>0.5</v>
      </c>
      <c r="AN23" s="708">
        <f>IFERROR('2. Roles &amp; Pricing'!AP177/40,"")</f>
        <v>0.5</v>
      </c>
      <c r="AO23" s="708">
        <f>IFERROR('2. Roles &amp; Pricing'!AQ177/40,"")</f>
        <v>0.5</v>
      </c>
      <c r="AP23" s="708">
        <f>IFERROR('2. Roles &amp; Pricing'!AR177/40,"")</f>
        <v>0.5</v>
      </c>
      <c r="AQ23" s="708">
        <f>IFERROR('2. Roles &amp; Pricing'!AS177/40,"")</f>
        <v>0.5</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15</v>
      </c>
      <c r="BO23" s="213">
        <f t="shared" si="50"/>
        <v>75</v>
      </c>
      <c r="BP23" s="199">
        <f>'2. Roles &amp; Pricing'!D298</f>
        <v>54000</v>
      </c>
      <c r="BQ23" s="199">
        <f>'2. Roles &amp; Pricing'!F298</f>
        <v>24000</v>
      </c>
      <c r="BR23" s="623">
        <f>'2. Roles &amp; Pricing'!F298</f>
        <v>24000</v>
      </c>
      <c r="BS23" s="200">
        <f>'2. Roles &amp; Pricing'!I298</f>
        <v>90</v>
      </c>
      <c r="BT23" s="201">
        <f t="shared" si="51"/>
        <v>54000</v>
      </c>
      <c r="BU23" s="214">
        <f t="shared" si="48"/>
        <v>600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9</v>
      </c>
      <c r="B24" s="206">
        <v>3</v>
      </c>
      <c r="C24" s="207" t="str">
        <f t="shared" si="46"/>
        <v>0__0</v>
      </c>
      <c r="D24" s="207" t="str">
        <f t="shared" si="47"/>
        <v>0__0__0</v>
      </c>
      <c r="E24" s="207">
        <v>21</v>
      </c>
      <c r="F24" s="207">
        <v>8</v>
      </c>
      <c r="G24" s="208">
        <f>'2. Roles &amp; Pricing'!D56</f>
        <v>0</v>
      </c>
      <c r="H24" s="194">
        <f>'2. Roles &amp; Pricing'!F56</f>
        <v>0</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10</v>
      </c>
      <c r="B25" s="206">
        <v>3</v>
      </c>
      <c r="C25" s="207" t="str">
        <f t="shared" si="46"/>
        <v>0__0</v>
      </c>
      <c r="D25" s="207" t="str">
        <f t="shared" si="47"/>
        <v>0__0__0</v>
      </c>
      <c r="E25" s="207">
        <v>20</v>
      </c>
      <c r="F25" s="207">
        <v>10</v>
      </c>
      <c r="G25" s="208">
        <f>'2. Roles &amp; Pricing'!D57</f>
        <v>0</v>
      </c>
      <c r="H25" s="194">
        <f>'2. Roles &amp; Pricing'!F57</f>
        <v>0</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11</v>
      </c>
      <c r="B26" s="206">
        <v>3</v>
      </c>
      <c r="C26" s="207" t="str">
        <f t="shared" si="46"/>
        <v>0__0</v>
      </c>
      <c r="D26" s="207" t="str">
        <f t="shared" si="47"/>
        <v>0__0__0</v>
      </c>
      <c r="E26" s="207">
        <v>20</v>
      </c>
      <c r="F26" s="207">
        <v>10</v>
      </c>
      <c r="G26" s="208">
        <f>'2. Roles &amp; Pricing'!D58</f>
        <v>0</v>
      </c>
      <c r="H26" s="194">
        <f>'2. Roles &amp; Pricing'!F58</f>
        <v>0</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12</v>
      </c>
      <c r="B27" s="206">
        <v>3</v>
      </c>
      <c r="C27" s="207" t="str">
        <f t="shared" si="46"/>
        <v>0__0</v>
      </c>
      <c r="D27" s="207" t="str">
        <f t="shared" si="47"/>
        <v>0__0__0</v>
      </c>
      <c r="E27" s="207">
        <v>20</v>
      </c>
      <c r="F27" s="207">
        <v>10</v>
      </c>
      <c r="G27" s="208">
        <f>'2. Roles &amp; Pricing'!D59</f>
        <v>0</v>
      </c>
      <c r="H27" s="194">
        <f>'2. Roles &amp; Pricing'!F59</f>
        <v>0</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13</v>
      </c>
      <c r="B28" s="206">
        <v>3</v>
      </c>
      <c r="C28" s="207" t="str">
        <f t="shared" si="46"/>
        <v>0__0</v>
      </c>
      <c r="D28" s="207" t="str">
        <f t="shared" si="47"/>
        <v>0__0__0</v>
      </c>
      <c r="E28" s="207">
        <v>20</v>
      </c>
      <c r="F28" s="207">
        <v>10</v>
      </c>
      <c r="G28" s="208">
        <f>'2. Roles &amp; Pricing'!D60</f>
        <v>0</v>
      </c>
      <c r="H28" s="194">
        <f>'2. Roles &amp; Pricing'!F60</f>
        <v>0</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14</v>
      </c>
      <c r="B29" s="206">
        <v>3</v>
      </c>
      <c r="C29" s="207" t="str">
        <f t="shared" si="46"/>
        <v>0__0</v>
      </c>
      <c r="D29" s="207" t="str">
        <f t="shared" si="47"/>
        <v>0__0__0</v>
      </c>
      <c r="E29" s="207">
        <v>20</v>
      </c>
      <c r="F29" s="207">
        <v>10</v>
      </c>
      <c r="G29" s="208">
        <f>'2. Roles &amp; Pricing'!D61</f>
        <v>0</v>
      </c>
      <c r="H29" s="194">
        <f>'2. Roles &amp; Pricing'!F61</f>
        <v>0</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05">
        <v>15</v>
      </c>
      <c r="B30" s="206">
        <v>3</v>
      </c>
      <c r="C30" s="207" t="str">
        <f t="shared" si="46"/>
        <v>0__0</v>
      </c>
      <c r="D30" s="207" t="str">
        <f t="shared" si="47"/>
        <v>0__0__0</v>
      </c>
      <c r="E30" s="207">
        <v>20</v>
      </c>
      <c r="F30" s="207">
        <v>10</v>
      </c>
      <c r="G30" s="208">
        <f>'2. Roles &amp; Pricing'!D62</f>
        <v>0</v>
      </c>
      <c r="H30" s="194">
        <f>'2. Roles &amp; Pricing'!F62</f>
        <v>0</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4" thickBot="1" x14ac:dyDescent="0.35">
      <c r="A31" s="216">
        <v>16</v>
      </c>
      <c r="B31" s="217">
        <v>3</v>
      </c>
      <c r="C31" s="218" t="str">
        <f t="shared" si="46"/>
        <v>0__0</v>
      </c>
      <c r="D31" s="218" t="str">
        <f t="shared" si="47"/>
        <v>0__0__0</v>
      </c>
      <c r="E31" s="218">
        <v>20</v>
      </c>
      <c r="F31" s="218">
        <v>10</v>
      </c>
      <c r="G31" s="219">
        <f>'2. Roles &amp; Pricing'!D63</f>
        <v>0</v>
      </c>
      <c r="H31" s="194">
        <f>'2. Roles &amp; Pricing'!F63</f>
        <v>0</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 customHeight="1" thickBot="1" x14ac:dyDescent="0.35">
      <c r="A32" s="227">
        <v>17</v>
      </c>
      <c r="B32" s="228">
        <v>3</v>
      </c>
      <c r="C32" s="229" t="str">
        <f t="shared" si="46"/>
        <v>0__0</v>
      </c>
      <c r="D32" s="229" t="str">
        <f t="shared" si="47"/>
        <v>0__0__0</v>
      </c>
      <c r="E32" s="229">
        <v>21</v>
      </c>
      <c r="F32" s="229">
        <v>8</v>
      </c>
      <c r="G32" s="230">
        <f>'2. Roles &amp; Pricing'!D64</f>
        <v>0</v>
      </c>
      <c r="H32" s="194">
        <f>'2. Roles &amp; Pricing'!F64</f>
        <v>0</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95"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4" thickBot="1" x14ac:dyDescent="0.35">
      <c r="A33" s="238">
        <v>18</v>
      </c>
      <c r="B33" s="239">
        <v>3</v>
      </c>
      <c r="C33" s="240" t="str">
        <f t="shared" si="46"/>
        <v>0__0</v>
      </c>
      <c r="D33" s="240" t="str">
        <f t="shared" si="47"/>
        <v>0__0__0</v>
      </c>
      <c r="E33" s="240">
        <v>20</v>
      </c>
      <c r="F33" s="240">
        <v>10</v>
      </c>
      <c r="G33" s="241">
        <f>'2. Roles &amp; Pricing'!D65</f>
        <v>0</v>
      </c>
      <c r="H33" s="194">
        <f>'2. Roles &amp; Pricing'!F65</f>
        <v>0</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96"/>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4" thickBot="1" x14ac:dyDescent="0.35">
      <c r="A34" s="1772"/>
      <c r="B34" s="1773"/>
      <c r="C34" s="1773"/>
      <c r="D34" s="1773"/>
      <c r="E34" s="1773"/>
      <c r="F34" s="1773"/>
      <c r="G34" s="1773"/>
      <c r="H34" s="1773"/>
      <c r="I34" s="1774"/>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211</v>
      </c>
      <c r="BO34" s="250">
        <f>SUM(BO16:BO33)</f>
        <v>1055</v>
      </c>
      <c r="BP34" s="251">
        <f>SUM(BP16:BP33)</f>
        <v>910000</v>
      </c>
      <c r="BQ34" s="199">
        <f>'2. Roles &amp; Pricing'!F309</f>
        <v>0</v>
      </c>
      <c r="BR34" s="252"/>
      <c r="BS34" s="253"/>
      <c r="BT34" s="254">
        <f>SUM(BT16:BT33)</f>
        <v>910000</v>
      </c>
      <c r="BU34" s="255">
        <f>SUM(BU16:BU33)</f>
        <v>8440</v>
      </c>
    </row>
    <row r="35" spans="1:94" s="204" customFormat="1" ht="14.4" thickBot="1" x14ac:dyDescent="0.35">
      <c r="A35" s="1772"/>
      <c r="B35" s="1773"/>
      <c r="C35" s="1773"/>
      <c r="D35" s="1773"/>
      <c r="E35" s="1773"/>
      <c r="F35" s="1773"/>
      <c r="G35" s="1773"/>
      <c r="H35" s="1773"/>
      <c r="I35" s="1774"/>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4" thickBot="1" x14ac:dyDescent="0.3">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97" t="s">
        <v>2021</v>
      </c>
      <c r="BO36" s="1798"/>
      <c r="BP36" s="864">
        <v>0</v>
      </c>
      <c r="BR36" s="141"/>
      <c r="BS36" s="146" t="s">
        <v>2022</v>
      </c>
      <c r="BT36" s="1622">
        <f>IF(H5="Fixed Price",'3. Financial Inputs'!C67,'3. Financial Inputs'!C65)</f>
        <v>0</v>
      </c>
      <c r="BU36" s="142" t="s">
        <v>2178</v>
      </c>
    </row>
    <row r="37" spans="1:94" s="140" customFormat="1" ht="14.4" thickBot="1" x14ac:dyDescent="0.3">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99" t="s">
        <v>2024</v>
      </c>
      <c r="BO37" s="1800"/>
      <c r="BP37" s="272">
        <f>+BP34-BP36</f>
        <v>910000</v>
      </c>
      <c r="BR37" s="141"/>
      <c r="BS37" s="145"/>
      <c r="BT37" s="142"/>
      <c r="BU37" s="142"/>
    </row>
    <row r="38" spans="1:94" s="140" customFormat="1" x14ac:dyDescent="0.25">
      <c r="A38" s="141"/>
      <c r="B38" s="262"/>
      <c r="C38" s="262"/>
      <c r="D38" s="262"/>
      <c r="E38" s="262"/>
      <c r="F38" s="262"/>
      <c r="J38" s="273" t="s">
        <v>180</v>
      </c>
      <c r="K38" s="147"/>
      <c r="N38" s="274">
        <f t="shared" ref="N38:AS38" si="52">SUMPRODUCT(N16:N33,$BS$16:$BS$33)*40</f>
        <v>28720</v>
      </c>
      <c r="O38" s="275">
        <f t="shared" si="52"/>
        <v>28720</v>
      </c>
      <c r="P38" s="276">
        <f t="shared" si="52"/>
        <v>28720</v>
      </c>
      <c r="Q38" s="277">
        <f t="shared" si="52"/>
        <v>28720</v>
      </c>
      <c r="R38" s="278">
        <f t="shared" si="52"/>
        <v>30920</v>
      </c>
      <c r="S38" s="277">
        <f t="shared" si="52"/>
        <v>30920</v>
      </c>
      <c r="T38" s="278">
        <f t="shared" si="52"/>
        <v>30920</v>
      </c>
      <c r="U38" s="277">
        <f t="shared" si="52"/>
        <v>30920</v>
      </c>
      <c r="V38" s="278">
        <f t="shared" si="52"/>
        <v>30920</v>
      </c>
      <c r="W38" s="277">
        <f t="shared" si="52"/>
        <v>30920</v>
      </c>
      <c r="X38" s="278">
        <f t="shared" si="52"/>
        <v>30920</v>
      </c>
      <c r="Y38" s="277">
        <f t="shared" si="52"/>
        <v>30920</v>
      </c>
      <c r="Z38" s="278">
        <f t="shared" si="52"/>
        <v>30920</v>
      </c>
      <c r="AA38" s="277">
        <f t="shared" si="52"/>
        <v>28720</v>
      </c>
      <c r="AB38" s="278">
        <f t="shared" si="52"/>
        <v>28720</v>
      </c>
      <c r="AC38" s="277">
        <f t="shared" si="52"/>
        <v>28720</v>
      </c>
      <c r="AD38" s="278">
        <f t="shared" si="52"/>
        <v>28720</v>
      </c>
      <c r="AE38" s="277">
        <f t="shared" si="52"/>
        <v>30920</v>
      </c>
      <c r="AF38" s="278">
        <f t="shared" si="52"/>
        <v>30920</v>
      </c>
      <c r="AG38" s="277">
        <f t="shared" si="52"/>
        <v>30920</v>
      </c>
      <c r="AH38" s="277">
        <f t="shared" si="52"/>
        <v>30920</v>
      </c>
      <c r="AI38" s="278">
        <f t="shared" si="52"/>
        <v>30920</v>
      </c>
      <c r="AJ38" s="277">
        <f t="shared" si="52"/>
        <v>30920</v>
      </c>
      <c r="AK38" s="278">
        <f t="shared" si="52"/>
        <v>30920</v>
      </c>
      <c r="AL38" s="277">
        <f t="shared" si="52"/>
        <v>30920</v>
      </c>
      <c r="AM38" s="278">
        <f t="shared" si="52"/>
        <v>30920</v>
      </c>
      <c r="AN38" s="277">
        <f t="shared" si="52"/>
        <v>30920</v>
      </c>
      <c r="AO38" s="278">
        <f t="shared" si="52"/>
        <v>30920</v>
      </c>
      <c r="AP38" s="277">
        <f t="shared" si="52"/>
        <v>30920</v>
      </c>
      <c r="AQ38" s="278">
        <f t="shared" si="52"/>
        <v>30920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801" t="s">
        <v>2025</v>
      </c>
      <c r="BO38" s="1802"/>
      <c r="BP38" s="279">
        <f>+BP37*1.4</f>
        <v>1274000</v>
      </c>
      <c r="BR38" s="141"/>
      <c r="BS38" s="280"/>
      <c r="BT38" s="281" t="s">
        <v>2026</v>
      </c>
      <c r="BU38" s="281" t="s">
        <v>2027</v>
      </c>
      <c r="BV38" s="281" t="s">
        <v>2028</v>
      </c>
    </row>
    <row r="39" spans="1:94" s="140" customFormat="1" ht="14.4" thickBot="1" x14ac:dyDescent="0.3">
      <c r="A39" s="141"/>
      <c r="B39" s="262"/>
      <c r="C39" s="262"/>
      <c r="D39" s="262"/>
      <c r="E39" s="262"/>
      <c r="F39" s="262"/>
      <c r="J39" s="273" t="s">
        <v>2029</v>
      </c>
      <c r="K39" s="147"/>
      <c r="N39" s="282">
        <f>SUM(N38)</f>
        <v>28720</v>
      </c>
      <c r="O39" s="1785">
        <f>SUM(O38:Q38)</f>
        <v>86160</v>
      </c>
      <c r="P39" s="1786"/>
      <c r="Q39" s="1787"/>
      <c r="R39" s="1788">
        <f>SUM(R38:S38)</f>
        <v>61840</v>
      </c>
      <c r="S39" s="1789"/>
      <c r="T39" s="1785">
        <f>SUM(T38:U38)</f>
        <v>61840</v>
      </c>
      <c r="U39" s="1787"/>
      <c r="V39" s="1788">
        <f>SUM(V38:AS38)</f>
        <v>671440</v>
      </c>
      <c r="W39" s="1790"/>
      <c r="X39" s="1790"/>
      <c r="Y39" s="1790"/>
      <c r="Z39" s="1790"/>
      <c r="AA39" s="1790"/>
      <c r="AB39" s="1790"/>
      <c r="AC39" s="1790"/>
      <c r="AD39" s="1790"/>
      <c r="AE39" s="1790"/>
      <c r="AF39" s="1790"/>
      <c r="AG39" s="1790"/>
      <c r="AH39" s="1790"/>
      <c r="AI39" s="1790"/>
      <c r="AJ39" s="1790"/>
      <c r="AK39" s="1790"/>
      <c r="AL39" s="1790"/>
      <c r="AM39" s="1790"/>
      <c r="AN39" s="1790"/>
      <c r="AO39" s="1790"/>
      <c r="AP39" s="1790"/>
      <c r="AQ39" s="1790"/>
      <c r="AR39" s="1790"/>
      <c r="AS39" s="1789"/>
      <c r="AT39" s="1785">
        <f>SUM(AT38:AU38)</f>
        <v>0</v>
      </c>
      <c r="AU39" s="1787"/>
      <c r="AV39" s="1788">
        <f>SUM(AV38:AW38)</f>
        <v>0</v>
      </c>
      <c r="AW39" s="1789"/>
      <c r="AX39" s="1785">
        <f>SUM(AX38:AY38)</f>
        <v>0</v>
      </c>
      <c r="AY39" s="1787"/>
      <c r="AZ39" s="1788">
        <f>SUM(AZ38:BA38)</f>
        <v>0</v>
      </c>
      <c r="BA39" s="1789"/>
      <c r="BB39" s="1785">
        <f>SUM(BB38:BC38)</f>
        <v>0</v>
      </c>
      <c r="BC39" s="1787"/>
      <c r="BD39" s="1785">
        <f>SUM(BD38:BE38)</f>
        <v>0</v>
      </c>
      <c r="BE39" s="1787"/>
      <c r="BF39" s="1788">
        <f>SUM(BF38:BG38)</f>
        <v>0</v>
      </c>
      <c r="BG39" s="1789"/>
      <c r="BH39" s="1785">
        <f>SUM(BH38:BI38)</f>
        <v>0</v>
      </c>
      <c r="BI39" s="1787"/>
      <c r="BJ39" s="1788">
        <f>SUM(BJ38:BK38)</f>
        <v>0</v>
      </c>
      <c r="BK39" s="1789"/>
      <c r="BL39" s="1785">
        <f>SUM(BL38:BM38)</f>
        <v>0</v>
      </c>
      <c r="BM39" s="1787"/>
      <c r="BN39" s="1803" t="s">
        <v>2030</v>
      </c>
      <c r="BO39" s="1804"/>
      <c r="BP39" s="283">
        <f>+BP37*1.2</f>
        <v>1092000</v>
      </c>
      <c r="BR39" s="141"/>
      <c r="BS39" s="284" t="s">
        <v>2031</v>
      </c>
      <c r="BT39" s="285">
        <f>BP37-BP36</f>
        <v>910000</v>
      </c>
      <c r="BU39" s="286">
        <f>(BT39-BQ34)/BT39</f>
        <v>1</v>
      </c>
      <c r="BV39" s="285">
        <f>BT39/BU34</f>
        <v>107.81990521327015</v>
      </c>
    </row>
    <row r="40" spans="1:94" s="140" customFormat="1" ht="14.4" thickBot="1" x14ac:dyDescent="0.3">
      <c r="A40" s="141"/>
      <c r="B40" s="262"/>
      <c r="C40" s="262"/>
      <c r="D40" s="262"/>
      <c r="E40" s="262"/>
      <c r="F40" s="262"/>
      <c r="J40" s="287" t="s">
        <v>2032</v>
      </c>
      <c r="K40" s="147"/>
      <c r="N40" s="1791">
        <f>SUM(N38:Q38)</f>
        <v>114880</v>
      </c>
      <c r="O40" s="1792"/>
      <c r="P40" s="1792"/>
      <c r="Q40" s="1792"/>
      <c r="R40" s="1793">
        <f>SUM(R38:U38)</f>
        <v>123680</v>
      </c>
      <c r="S40" s="1794"/>
      <c r="T40" s="1794"/>
      <c r="U40" s="1794"/>
      <c r="V40" s="1791">
        <f>SUM(V38:BE38)</f>
        <v>671440</v>
      </c>
      <c r="W40" s="1792"/>
      <c r="X40" s="1792"/>
      <c r="Y40" s="1792"/>
      <c r="Z40" s="1792"/>
      <c r="AA40" s="1792"/>
      <c r="AB40" s="1792"/>
      <c r="AC40" s="1792"/>
      <c r="AD40" s="1792"/>
      <c r="AE40" s="1792"/>
      <c r="AF40" s="1792"/>
      <c r="AG40" s="1792"/>
      <c r="AH40" s="1792"/>
      <c r="AI40" s="1792"/>
      <c r="AJ40" s="1792"/>
      <c r="AK40" s="1792"/>
      <c r="AL40" s="1792"/>
      <c r="AM40" s="1792"/>
      <c r="AN40" s="1792"/>
      <c r="AO40" s="1792"/>
      <c r="AP40" s="1792"/>
      <c r="AQ40" s="1792"/>
      <c r="AR40" s="1792"/>
      <c r="AS40" s="1792"/>
      <c r="AT40" s="1792"/>
      <c r="AU40" s="1792"/>
      <c r="AV40" s="1792"/>
      <c r="AW40" s="1792"/>
      <c r="AX40" s="1792"/>
      <c r="AY40" s="1792"/>
      <c r="AZ40" s="1792"/>
      <c r="BA40" s="1792"/>
      <c r="BB40" s="1792"/>
      <c r="BC40" s="1792"/>
      <c r="BD40" s="1792"/>
      <c r="BE40" s="1792"/>
      <c r="BF40" s="1793">
        <f>SUM(BF38:BI38)</f>
        <v>0</v>
      </c>
      <c r="BG40" s="1794"/>
      <c r="BH40" s="1794"/>
      <c r="BI40" s="1794"/>
      <c r="BJ40" s="1791">
        <f>SUM(BJ38:BM38)</f>
        <v>0</v>
      </c>
      <c r="BK40" s="1792"/>
      <c r="BL40" s="1792"/>
      <c r="BM40" s="1792"/>
      <c r="BN40" s="1808" t="s">
        <v>2033</v>
      </c>
      <c r="BO40" s="1809"/>
      <c r="BP40" s="288">
        <f>+BP37*1.3</f>
        <v>1183000</v>
      </c>
      <c r="BR40" s="141"/>
      <c r="BS40" s="289" t="s">
        <v>2034</v>
      </c>
      <c r="BT40" s="290">
        <f>BT34-BT36</f>
        <v>910000</v>
      </c>
      <c r="BU40" s="291">
        <f>(BT40-BQ34)/BT40</f>
        <v>1</v>
      </c>
      <c r="BV40" s="290">
        <f>BT40/BU34</f>
        <v>107.81990521327015</v>
      </c>
    </row>
    <row r="41" spans="1:94" s="140" customFormat="1" ht="14.4" thickBot="1" x14ac:dyDescent="0.3">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4" thickBot="1" x14ac:dyDescent="0.3">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810" t="s">
        <v>2038</v>
      </c>
      <c r="BO42" s="1811"/>
      <c r="BP42" s="293">
        <f>BT34</f>
        <v>910000</v>
      </c>
      <c r="BQ42" s="294" t="s">
        <v>2039</v>
      </c>
      <c r="BR42" s="141"/>
    </row>
    <row r="43" spans="1:94" x14ac:dyDescent="0.25">
      <c r="J43" s="273" t="s">
        <v>180</v>
      </c>
      <c r="N43" s="274">
        <f t="shared" ref="N43:AS43" si="54">SUMPRODUCT(N16:N33,$BS$16:$BS$33)*40*1.2</f>
        <v>34464</v>
      </c>
      <c r="O43" s="278">
        <f t="shared" si="54"/>
        <v>34464</v>
      </c>
      <c r="P43" s="276">
        <f t="shared" si="54"/>
        <v>34464</v>
      </c>
      <c r="Q43" s="277">
        <f t="shared" si="54"/>
        <v>34464</v>
      </c>
      <c r="R43" s="278">
        <f t="shared" si="54"/>
        <v>37104</v>
      </c>
      <c r="S43" s="277">
        <f t="shared" si="54"/>
        <v>37104</v>
      </c>
      <c r="T43" s="278">
        <f t="shared" si="54"/>
        <v>37104</v>
      </c>
      <c r="U43" s="277">
        <f t="shared" si="54"/>
        <v>37104</v>
      </c>
      <c r="V43" s="278">
        <f t="shared" si="54"/>
        <v>37104</v>
      </c>
      <c r="W43" s="277">
        <f t="shared" si="54"/>
        <v>37104</v>
      </c>
      <c r="X43" s="278">
        <f t="shared" si="54"/>
        <v>37104</v>
      </c>
      <c r="Y43" s="277">
        <f t="shared" si="54"/>
        <v>37104</v>
      </c>
      <c r="Z43" s="278">
        <f t="shared" si="54"/>
        <v>37104</v>
      </c>
      <c r="AA43" s="277">
        <f t="shared" si="54"/>
        <v>34464</v>
      </c>
      <c r="AB43" s="278">
        <f t="shared" si="54"/>
        <v>34464</v>
      </c>
      <c r="AC43" s="277">
        <f t="shared" si="54"/>
        <v>34464</v>
      </c>
      <c r="AD43" s="278">
        <f t="shared" si="54"/>
        <v>34464</v>
      </c>
      <c r="AE43" s="277">
        <f t="shared" si="54"/>
        <v>37104</v>
      </c>
      <c r="AF43" s="278">
        <f t="shared" si="54"/>
        <v>37104</v>
      </c>
      <c r="AG43" s="277">
        <f t="shared" si="54"/>
        <v>37104</v>
      </c>
      <c r="AH43" s="277">
        <f t="shared" si="54"/>
        <v>37104</v>
      </c>
      <c r="AI43" s="278">
        <f t="shared" si="54"/>
        <v>37104</v>
      </c>
      <c r="AJ43" s="277">
        <f t="shared" si="54"/>
        <v>37104</v>
      </c>
      <c r="AK43" s="278">
        <f t="shared" si="54"/>
        <v>37104</v>
      </c>
      <c r="AL43" s="277">
        <f t="shared" si="54"/>
        <v>37104</v>
      </c>
      <c r="AM43" s="278">
        <f t="shared" si="54"/>
        <v>37104</v>
      </c>
      <c r="AN43" s="277">
        <f t="shared" si="54"/>
        <v>37104</v>
      </c>
      <c r="AO43" s="278">
        <f t="shared" si="54"/>
        <v>37104</v>
      </c>
      <c r="AP43" s="277">
        <f t="shared" si="54"/>
        <v>37104</v>
      </c>
      <c r="AQ43" s="278">
        <f t="shared" si="54"/>
        <v>37104</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812" t="s">
        <v>2040</v>
      </c>
      <c r="BO43" s="1813"/>
      <c r="BP43" s="295"/>
      <c r="BT43" s="281" t="s">
        <v>2041</v>
      </c>
      <c r="BU43" s="281" t="s">
        <v>2042</v>
      </c>
      <c r="BV43" s="281" t="s">
        <v>2028</v>
      </c>
      <c r="BW43" s="296" t="s">
        <v>2043</v>
      </c>
    </row>
    <row r="44" spans="1:94" ht="14.4" thickBot="1" x14ac:dyDescent="0.3">
      <c r="J44" s="273" t="s">
        <v>2029</v>
      </c>
      <c r="N44" s="282">
        <f>SUM(N43)</f>
        <v>34464</v>
      </c>
      <c r="O44" s="1785">
        <f>SUM(O43:Q43)</f>
        <v>103392</v>
      </c>
      <c r="P44" s="1786"/>
      <c r="Q44" s="1787"/>
      <c r="R44" s="1788">
        <f>SUM(R43:S43)</f>
        <v>74208</v>
      </c>
      <c r="S44" s="1789"/>
      <c r="T44" s="1785">
        <f>SUM(T43:U43)</f>
        <v>74208</v>
      </c>
      <c r="U44" s="1787"/>
      <c r="V44" s="1788">
        <f>SUM(V43:AS43)</f>
        <v>805728</v>
      </c>
      <c r="W44" s="1790"/>
      <c r="X44" s="1790"/>
      <c r="Y44" s="1790"/>
      <c r="Z44" s="1790"/>
      <c r="AA44" s="1790"/>
      <c r="AB44" s="1790"/>
      <c r="AC44" s="1790"/>
      <c r="AD44" s="1790"/>
      <c r="AE44" s="1790"/>
      <c r="AF44" s="1790"/>
      <c r="AG44" s="1790"/>
      <c r="AH44" s="1790"/>
      <c r="AI44" s="1790"/>
      <c r="AJ44" s="1790"/>
      <c r="AK44" s="1790"/>
      <c r="AL44" s="1790"/>
      <c r="AM44" s="1790"/>
      <c r="AN44" s="1790"/>
      <c r="AO44" s="1790"/>
      <c r="AP44" s="1790"/>
      <c r="AQ44" s="1790"/>
      <c r="AR44" s="1790"/>
      <c r="AS44" s="1789"/>
      <c r="AT44" s="1785">
        <f>SUM(AT43:AU43)</f>
        <v>0</v>
      </c>
      <c r="AU44" s="1787"/>
      <c r="AV44" s="1788">
        <f>SUM(AV43:AW43)</f>
        <v>0</v>
      </c>
      <c r="AW44" s="1789"/>
      <c r="AX44" s="1785">
        <f>SUM(AX43:AY43)</f>
        <v>0</v>
      </c>
      <c r="AY44" s="1787"/>
      <c r="AZ44" s="1788">
        <f>SUM(AZ43:BA43)</f>
        <v>0</v>
      </c>
      <c r="BA44" s="1789"/>
      <c r="BB44" s="1785">
        <f>SUM(BB43:BC43)</f>
        <v>0</v>
      </c>
      <c r="BC44" s="1787"/>
      <c r="BD44" s="1785">
        <f>SUM(BD43:BE43)</f>
        <v>0</v>
      </c>
      <c r="BE44" s="1787"/>
      <c r="BF44" s="1788">
        <f>SUM(BF43:BG43)</f>
        <v>0</v>
      </c>
      <c r="BG44" s="1789"/>
      <c r="BH44" s="1785">
        <f>SUM(BH43:BI43)</f>
        <v>0</v>
      </c>
      <c r="BI44" s="1787"/>
      <c r="BJ44" s="1788">
        <f>SUM(BJ43:BK43)</f>
        <v>0</v>
      </c>
      <c r="BK44" s="1789"/>
      <c r="BL44" s="1785">
        <f>SUM(BL43:BM43)</f>
        <v>0</v>
      </c>
      <c r="BM44" s="1787"/>
      <c r="BN44" s="1812" t="s">
        <v>218</v>
      </c>
      <c r="BO44" s="1813"/>
      <c r="BP44" s="295"/>
      <c r="BS44" s="284" t="s">
        <v>2031</v>
      </c>
      <c r="BT44" s="285">
        <f>BP39-BP36</f>
        <v>1092000</v>
      </c>
      <c r="BU44" s="286">
        <f>(BT44-BQ34)/BT44</f>
        <v>1</v>
      </c>
      <c r="BV44" s="285">
        <f>BT44/BU34</f>
        <v>129.38388625592418</v>
      </c>
    </row>
    <row r="45" spans="1:94" ht="14.4" thickBot="1" x14ac:dyDescent="0.3">
      <c r="J45" s="287" t="s">
        <v>2032</v>
      </c>
      <c r="N45" s="1805">
        <f>SUM(N43:Q43)</f>
        <v>137856</v>
      </c>
      <c r="O45" s="1806"/>
      <c r="P45" s="1806"/>
      <c r="Q45" s="1807"/>
      <c r="R45" s="1818">
        <f t="shared" ref="R45" si="56">SUM(R43:U43)</f>
        <v>148416</v>
      </c>
      <c r="S45" s="1819"/>
      <c r="T45" s="1819"/>
      <c r="U45" s="1820"/>
      <c r="V45" s="1805">
        <f t="shared" ref="V45" si="57">SUM(V43:BE43)</f>
        <v>805728</v>
      </c>
      <c r="W45" s="1806"/>
      <c r="X45" s="1806"/>
      <c r="Y45" s="1806"/>
      <c r="Z45" s="1806"/>
      <c r="AA45" s="1806"/>
      <c r="AB45" s="1806"/>
      <c r="AC45" s="1806"/>
      <c r="AD45" s="1806"/>
      <c r="AE45" s="1806"/>
      <c r="AF45" s="1806"/>
      <c r="AG45" s="1806"/>
      <c r="AH45" s="1806"/>
      <c r="AI45" s="1806"/>
      <c r="AJ45" s="1806"/>
      <c r="AK45" s="1806"/>
      <c r="AL45" s="1806"/>
      <c r="AM45" s="1806"/>
      <c r="AN45" s="1806"/>
      <c r="AO45" s="1806"/>
      <c r="AP45" s="1806"/>
      <c r="AQ45" s="1806"/>
      <c r="AR45" s="1806"/>
      <c r="AS45" s="1806"/>
      <c r="AT45" s="1806"/>
      <c r="AU45" s="1806"/>
      <c r="AV45" s="1806"/>
      <c r="AW45" s="1806"/>
      <c r="AX45" s="1806"/>
      <c r="AY45" s="1806"/>
      <c r="AZ45" s="1806"/>
      <c r="BA45" s="1806"/>
      <c r="BB45" s="1806"/>
      <c r="BC45" s="1806"/>
      <c r="BD45" s="1806"/>
      <c r="BE45" s="1807"/>
      <c r="BF45" s="1818">
        <f t="shared" ref="BF45" si="58">SUM(BF43:BI43)</f>
        <v>0</v>
      </c>
      <c r="BG45" s="1819"/>
      <c r="BH45" s="1819"/>
      <c r="BI45" s="1820"/>
      <c r="BJ45" s="1805">
        <f t="shared" ref="BJ45" si="59">SUM(BJ43:BM43)</f>
        <v>0</v>
      </c>
      <c r="BK45" s="1806"/>
      <c r="BL45" s="1806"/>
      <c r="BM45" s="1807"/>
      <c r="BN45" s="1812" t="s">
        <v>219</v>
      </c>
      <c r="BO45" s="1813"/>
      <c r="BP45" s="295"/>
      <c r="BS45" s="289" t="s">
        <v>2034</v>
      </c>
      <c r="BT45" s="290">
        <f>(BT34-BT36)*1.2</f>
        <v>1092000</v>
      </c>
      <c r="BU45" s="291">
        <f>(BT45-BQ34)/BT45</f>
        <v>1</v>
      </c>
      <c r="BV45" s="290">
        <f>BT45/BU34</f>
        <v>129.38388625592418</v>
      </c>
    </row>
    <row r="46" spans="1:94" ht="14.4" thickBot="1" x14ac:dyDescent="0.3">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816" t="s">
        <v>2044</v>
      </c>
      <c r="BO46" s="1817"/>
      <c r="BP46" s="295"/>
      <c r="BS46" s="284" t="s">
        <v>2035</v>
      </c>
      <c r="BT46" s="285">
        <f>BQ34/(1-BU46)</f>
        <v>0</v>
      </c>
      <c r="BU46" s="292">
        <v>0.5</v>
      </c>
      <c r="BV46" s="285">
        <f>BT46/BU34</f>
        <v>0</v>
      </c>
      <c r="BW46" s="140" t="s">
        <v>2036</v>
      </c>
    </row>
    <row r="47" spans="1:94" ht="14.4" thickBot="1" x14ac:dyDescent="0.3">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25">
      <c r="J48" s="273" t="s">
        <v>180</v>
      </c>
      <c r="N48" s="274">
        <f t="shared" ref="N48:AS48" si="60">SUMPRODUCT(N16:N33,$BS$16:$BS$33)*40*1.3</f>
        <v>37336</v>
      </c>
      <c r="O48" s="278">
        <f t="shared" si="60"/>
        <v>37336</v>
      </c>
      <c r="P48" s="276">
        <f t="shared" si="60"/>
        <v>37336</v>
      </c>
      <c r="Q48" s="277">
        <f t="shared" si="60"/>
        <v>37336</v>
      </c>
      <c r="R48" s="278">
        <f t="shared" si="60"/>
        <v>40196</v>
      </c>
      <c r="S48" s="277">
        <f t="shared" si="60"/>
        <v>40196</v>
      </c>
      <c r="T48" s="278">
        <f t="shared" si="60"/>
        <v>40196</v>
      </c>
      <c r="U48" s="277">
        <f t="shared" si="60"/>
        <v>40196</v>
      </c>
      <c r="V48" s="278">
        <f t="shared" si="60"/>
        <v>40196</v>
      </c>
      <c r="W48" s="277">
        <f t="shared" si="60"/>
        <v>40196</v>
      </c>
      <c r="X48" s="278">
        <f t="shared" si="60"/>
        <v>40196</v>
      </c>
      <c r="Y48" s="277">
        <f t="shared" si="60"/>
        <v>40196</v>
      </c>
      <c r="Z48" s="278">
        <f t="shared" si="60"/>
        <v>40196</v>
      </c>
      <c r="AA48" s="277">
        <f t="shared" si="60"/>
        <v>37336</v>
      </c>
      <c r="AB48" s="278">
        <f t="shared" si="60"/>
        <v>37336</v>
      </c>
      <c r="AC48" s="277">
        <f t="shared" si="60"/>
        <v>37336</v>
      </c>
      <c r="AD48" s="278">
        <f t="shared" si="60"/>
        <v>37336</v>
      </c>
      <c r="AE48" s="277">
        <f t="shared" si="60"/>
        <v>40196</v>
      </c>
      <c r="AF48" s="278">
        <f t="shared" si="60"/>
        <v>40196</v>
      </c>
      <c r="AG48" s="277">
        <f t="shared" si="60"/>
        <v>40196</v>
      </c>
      <c r="AH48" s="277">
        <f t="shared" si="60"/>
        <v>40196</v>
      </c>
      <c r="AI48" s="278">
        <f t="shared" si="60"/>
        <v>40196</v>
      </c>
      <c r="AJ48" s="277">
        <f t="shared" si="60"/>
        <v>40196</v>
      </c>
      <c r="AK48" s="278">
        <f t="shared" si="60"/>
        <v>40196</v>
      </c>
      <c r="AL48" s="277">
        <f t="shared" si="60"/>
        <v>40196</v>
      </c>
      <c r="AM48" s="278">
        <f t="shared" si="60"/>
        <v>40196</v>
      </c>
      <c r="AN48" s="277">
        <f t="shared" si="60"/>
        <v>40196</v>
      </c>
      <c r="AO48" s="278">
        <f t="shared" si="60"/>
        <v>40196</v>
      </c>
      <c r="AP48" s="277">
        <f t="shared" si="60"/>
        <v>40196</v>
      </c>
      <c r="AQ48" s="278">
        <f t="shared" si="60"/>
        <v>40196</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4" thickBot="1" x14ac:dyDescent="0.3">
      <c r="J49" s="273" t="s">
        <v>2029</v>
      </c>
      <c r="N49" s="282">
        <f>SUM(N48)</f>
        <v>37336</v>
      </c>
      <c r="O49" s="1785">
        <f>SUM(O48:Q48)</f>
        <v>112008</v>
      </c>
      <c r="P49" s="1786"/>
      <c r="Q49" s="1787"/>
      <c r="R49" s="1788">
        <f>SUM(R48:S48)</f>
        <v>80392</v>
      </c>
      <c r="S49" s="1789"/>
      <c r="T49" s="1785">
        <f>SUM(T48:U48)</f>
        <v>80392</v>
      </c>
      <c r="U49" s="1787"/>
      <c r="V49" s="1788">
        <f>SUM(V48:AS48)</f>
        <v>872872</v>
      </c>
      <c r="W49" s="1790"/>
      <c r="X49" s="1790"/>
      <c r="Y49" s="1790"/>
      <c r="Z49" s="1790"/>
      <c r="AA49" s="1790"/>
      <c r="AB49" s="1790"/>
      <c r="AC49" s="1790"/>
      <c r="AD49" s="1790"/>
      <c r="AE49" s="1790"/>
      <c r="AF49" s="1790"/>
      <c r="AG49" s="1790"/>
      <c r="AH49" s="1790"/>
      <c r="AI49" s="1790"/>
      <c r="AJ49" s="1790"/>
      <c r="AK49" s="1790"/>
      <c r="AL49" s="1790"/>
      <c r="AM49" s="1790"/>
      <c r="AN49" s="1790"/>
      <c r="AO49" s="1790"/>
      <c r="AP49" s="1790"/>
      <c r="AQ49" s="1790"/>
      <c r="AR49" s="1790"/>
      <c r="AS49" s="1789"/>
      <c r="AT49" s="1785">
        <f>SUM(AT48:AU48)</f>
        <v>0</v>
      </c>
      <c r="AU49" s="1787"/>
      <c r="AV49" s="1788">
        <f>SUM(AV48:AW48)</f>
        <v>0</v>
      </c>
      <c r="AW49" s="1789"/>
      <c r="AX49" s="1785">
        <f>SUM(AX48:AY48)</f>
        <v>0</v>
      </c>
      <c r="AY49" s="1787"/>
      <c r="AZ49" s="1788">
        <f>SUM(AZ48:BA48)</f>
        <v>0</v>
      </c>
      <c r="BA49" s="1789"/>
      <c r="BB49" s="1785">
        <f>SUM(BB48:BC48)</f>
        <v>0</v>
      </c>
      <c r="BC49" s="1787"/>
      <c r="BD49" s="1785">
        <f>SUM(BD48:BE48)</f>
        <v>0</v>
      </c>
      <c r="BE49" s="1787"/>
      <c r="BF49" s="1788">
        <f>SUM(BF48:BG48)</f>
        <v>0</v>
      </c>
      <c r="BG49" s="1789"/>
      <c r="BH49" s="1785">
        <f>SUM(BH48:BI48)</f>
        <v>0</v>
      </c>
      <c r="BI49" s="1787"/>
      <c r="BJ49" s="1788">
        <f>SUM(BJ48:BK48)</f>
        <v>0</v>
      </c>
      <c r="BK49" s="1789"/>
      <c r="BL49" s="1785">
        <f>SUM(BL48:BM48)</f>
        <v>0</v>
      </c>
      <c r="BM49" s="1787"/>
      <c r="BN49" s="297"/>
      <c r="BO49" s="298"/>
      <c r="BP49" s="299"/>
    </row>
    <row r="50" spans="1:68" ht="14.4" thickBot="1" x14ac:dyDescent="0.3">
      <c r="J50" s="287" t="s">
        <v>2032</v>
      </c>
      <c r="N50" s="1805">
        <f>SUM(N48:Q48)</f>
        <v>149344</v>
      </c>
      <c r="O50" s="1806"/>
      <c r="P50" s="1806"/>
      <c r="Q50" s="1807"/>
      <c r="R50" s="1818">
        <f>SUM(R48:U48)</f>
        <v>160784</v>
      </c>
      <c r="S50" s="1819"/>
      <c r="T50" s="1819"/>
      <c r="U50" s="1820"/>
      <c r="V50" s="1805">
        <f t="shared" ref="V50" si="62">SUM(V48:BE48)</f>
        <v>872872</v>
      </c>
      <c r="W50" s="1806"/>
      <c r="X50" s="1806"/>
      <c r="Y50" s="1806"/>
      <c r="Z50" s="1806"/>
      <c r="AA50" s="1806"/>
      <c r="AB50" s="1806"/>
      <c r="AC50" s="1806"/>
      <c r="AD50" s="1806"/>
      <c r="AE50" s="1806"/>
      <c r="AF50" s="1806"/>
      <c r="AG50" s="1806"/>
      <c r="AH50" s="1806"/>
      <c r="AI50" s="1806"/>
      <c r="AJ50" s="1806"/>
      <c r="AK50" s="1806"/>
      <c r="AL50" s="1806"/>
      <c r="AM50" s="1806"/>
      <c r="AN50" s="1806"/>
      <c r="AO50" s="1806"/>
      <c r="AP50" s="1806"/>
      <c r="AQ50" s="1806"/>
      <c r="AR50" s="1806"/>
      <c r="AS50" s="1806"/>
      <c r="AT50" s="1806"/>
      <c r="AU50" s="1806"/>
      <c r="AV50" s="1806"/>
      <c r="AW50" s="1806"/>
      <c r="AX50" s="1806"/>
      <c r="AY50" s="1806"/>
      <c r="AZ50" s="1806"/>
      <c r="BA50" s="1806"/>
      <c r="BB50" s="1806"/>
      <c r="BC50" s="1806"/>
      <c r="BD50" s="1806"/>
      <c r="BE50" s="1807"/>
      <c r="BF50" s="1818">
        <f t="shared" ref="BF50" si="63">SUM(BF48:BI48)</f>
        <v>0</v>
      </c>
      <c r="BG50" s="1819"/>
      <c r="BH50" s="1819"/>
      <c r="BI50" s="1820"/>
      <c r="BJ50" s="1805">
        <f t="shared" ref="BJ50" si="64">SUM(BJ48:BM48)</f>
        <v>0</v>
      </c>
      <c r="BK50" s="1806"/>
      <c r="BL50" s="1806"/>
      <c r="BM50" s="1807"/>
      <c r="BN50" s="301"/>
      <c r="BO50" s="302"/>
      <c r="BP50" s="303"/>
    </row>
    <row r="51" spans="1:68" ht="14.4" thickBot="1" x14ac:dyDescent="0.3">
      <c r="BN51" s="1814" t="s">
        <v>2047</v>
      </c>
      <c r="BO51" s="1815"/>
      <c r="BP51" s="863">
        <f>'4. Summary &amp; Totals'!C36</f>
        <v>1010625</v>
      </c>
    </row>
    <row r="52" spans="1:68" x14ac:dyDescent="0.25">
      <c r="J52" s="304" t="s">
        <v>2048</v>
      </c>
      <c r="K52" s="305">
        <f>+BP34/BO34/8</f>
        <v>107.81990521327015</v>
      </c>
    </row>
    <row r="53" spans="1:68" x14ac:dyDescent="0.25">
      <c r="J53" s="306" t="s">
        <v>2049</v>
      </c>
      <c r="K53" s="307">
        <f>+BP39/BO34/8</f>
        <v>129.38388625592418</v>
      </c>
    </row>
    <row r="54" spans="1:68" ht="14.4" thickBot="1" x14ac:dyDescent="0.3">
      <c r="J54" s="308" t="s">
        <v>2050</v>
      </c>
      <c r="K54" s="309">
        <f>+BP40/BO34/8</f>
        <v>140.16587677725119</v>
      </c>
    </row>
    <row r="55" spans="1:68" ht="14.4" thickBot="1" x14ac:dyDescent="0.3"/>
    <row r="56" spans="1:68" ht="15" x14ac:dyDescent="0.25">
      <c r="J56" s="304" t="s">
        <v>2051</v>
      </c>
      <c r="K56" s="310">
        <f>(BP37-BQ34)/BP37</f>
        <v>1</v>
      </c>
      <c r="P56" s="311"/>
    </row>
    <row r="57" spans="1:68" x14ac:dyDescent="0.25">
      <c r="J57" s="306" t="s">
        <v>2052</v>
      </c>
      <c r="K57" s="312">
        <f>(BP39-BQ34)/BP39</f>
        <v>1</v>
      </c>
    </row>
    <row r="58" spans="1:68" ht="14.4" thickBot="1" x14ac:dyDescent="0.3">
      <c r="J58" s="308" t="s">
        <v>2053</v>
      </c>
      <c r="K58" s="313">
        <f>(BP40-BQ34)/BP40</f>
        <v>1</v>
      </c>
    </row>
    <row r="60" spans="1:68" ht="22.2" x14ac:dyDescent="0.35">
      <c r="A60" s="314" t="s">
        <v>76</v>
      </c>
      <c r="B60" s="315"/>
      <c r="C60" s="315"/>
      <c r="D60" s="315"/>
      <c r="E60" s="315"/>
      <c r="F60" s="315"/>
      <c r="G60" s="315"/>
      <c r="H60" s="315"/>
      <c r="I60" s="315"/>
      <c r="J60" s="315"/>
    </row>
    <row r="62" spans="1:68" ht="14.4" thickBot="1" x14ac:dyDescent="0.3"/>
    <row r="63" spans="1:68" ht="66" x14ac:dyDescent="0.25">
      <c r="A63" s="316" t="s">
        <v>2054</v>
      </c>
      <c r="B63" s="317"/>
      <c r="C63" s="317"/>
      <c r="D63" s="317"/>
      <c r="E63" s="317"/>
      <c r="F63" s="317"/>
      <c r="G63" s="318"/>
      <c r="H63" s="319"/>
      <c r="I63" s="319"/>
      <c r="J63" s="320"/>
    </row>
    <row r="64" spans="1:68" x14ac:dyDescent="0.25">
      <c r="A64" s="321"/>
      <c r="B64" s="322"/>
      <c r="C64" s="322"/>
      <c r="D64" s="322"/>
      <c r="E64" s="322"/>
      <c r="F64" s="322"/>
      <c r="G64" s="142"/>
      <c r="H64" s="142"/>
      <c r="I64" s="142"/>
      <c r="J64" s="270"/>
    </row>
    <row r="65" spans="1:16" ht="79.2" x14ac:dyDescent="0.25">
      <c r="A65" s="323" t="s">
        <v>2055</v>
      </c>
      <c r="B65" s="324"/>
      <c r="C65" s="324"/>
      <c r="D65" s="324"/>
      <c r="E65" s="324"/>
      <c r="F65" s="324"/>
      <c r="G65" s="325"/>
      <c r="H65" s="326"/>
      <c r="I65" s="326"/>
      <c r="J65" s="327"/>
    </row>
    <row r="66" spans="1:16" ht="79.2" x14ac:dyDescent="0.25">
      <c r="A66" s="323" t="s">
        <v>2056</v>
      </c>
      <c r="B66" s="324"/>
      <c r="C66" s="324"/>
      <c r="D66" s="324"/>
      <c r="E66" s="324"/>
      <c r="F66" s="324"/>
      <c r="G66" s="325"/>
      <c r="H66" s="326"/>
      <c r="I66" s="326"/>
      <c r="J66" s="327"/>
    </row>
    <row r="67" spans="1:16" ht="79.2" x14ac:dyDescent="0.25">
      <c r="A67" s="323" t="s">
        <v>2057</v>
      </c>
      <c r="B67" s="324"/>
      <c r="C67" s="324"/>
      <c r="D67" s="324"/>
      <c r="E67" s="324"/>
      <c r="F67" s="324"/>
      <c r="G67" s="325"/>
      <c r="H67" s="326"/>
      <c r="I67" s="326"/>
      <c r="J67" s="327"/>
    </row>
    <row r="68" spans="1:16" ht="79.8" thickBot="1" x14ac:dyDescent="0.3">
      <c r="A68" s="328" t="s">
        <v>2058</v>
      </c>
      <c r="B68" s="329"/>
      <c r="C68" s="329"/>
      <c r="D68" s="329"/>
      <c r="E68" s="329"/>
      <c r="F68" s="329"/>
      <c r="G68" s="330"/>
      <c r="H68" s="331"/>
      <c r="I68" s="331"/>
      <c r="J68" s="332"/>
      <c r="P68" s="311"/>
    </row>
    <row r="69" spans="1:16" ht="14.4" thickBot="1" x14ac:dyDescent="0.3"/>
    <row r="70" spans="1:16" ht="66" x14ac:dyDescent="0.25">
      <c r="A70" s="333" t="s">
        <v>2059</v>
      </c>
      <c r="B70" s="334"/>
      <c r="C70" s="334"/>
      <c r="D70" s="334"/>
      <c r="E70" s="334"/>
      <c r="F70" s="334"/>
      <c r="G70" s="334"/>
      <c r="H70" s="334"/>
      <c r="I70" s="334"/>
      <c r="J70" s="335"/>
    </row>
    <row r="71" spans="1:16" x14ac:dyDescent="0.25">
      <c r="A71" s="321"/>
      <c r="B71" s="322"/>
      <c r="C71" s="322"/>
      <c r="D71" s="322"/>
      <c r="E71" s="322"/>
      <c r="F71" s="322"/>
      <c r="G71" s="142"/>
      <c r="H71" s="142"/>
      <c r="I71" s="142"/>
      <c r="J71" s="270"/>
    </row>
    <row r="72" spans="1:16" ht="79.2" x14ac:dyDescent="0.25">
      <c r="A72" s="336" t="s">
        <v>2060</v>
      </c>
      <c r="B72" s="337"/>
      <c r="C72" s="337"/>
      <c r="D72" s="337"/>
      <c r="E72" s="337"/>
      <c r="F72" s="337"/>
      <c r="G72" s="337"/>
      <c r="H72" s="337"/>
      <c r="I72" s="337"/>
      <c r="J72" s="338"/>
    </row>
    <row r="73" spans="1:16" ht="79.2" x14ac:dyDescent="0.25">
      <c r="A73" s="336" t="s">
        <v>2061</v>
      </c>
      <c r="B73" s="337"/>
      <c r="C73" s="337"/>
      <c r="D73" s="337"/>
      <c r="E73" s="337"/>
      <c r="F73" s="337"/>
      <c r="G73" s="337"/>
      <c r="H73" s="337"/>
      <c r="I73" s="337"/>
      <c r="J73" s="338"/>
    </row>
    <row r="74" spans="1:16" ht="79.2" x14ac:dyDescent="0.25">
      <c r="A74" s="336" t="s">
        <v>2062</v>
      </c>
      <c r="B74" s="337"/>
      <c r="C74" s="337"/>
      <c r="D74" s="337"/>
      <c r="E74" s="337"/>
      <c r="F74" s="337"/>
      <c r="G74" s="337"/>
      <c r="H74" s="337"/>
      <c r="I74" s="337"/>
      <c r="J74" s="338"/>
    </row>
    <row r="75" spans="1:16" ht="79.8" thickBot="1" x14ac:dyDescent="0.3">
      <c r="A75" s="339" t="s">
        <v>2063</v>
      </c>
      <c r="B75" s="340"/>
      <c r="C75" s="340"/>
      <c r="D75" s="340"/>
      <c r="E75" s="340"/>
      <c r="F75" s="340"/>
      <c r="G75" s="340"/>
      <c r="H75" s="340"/>
      <c r="I75" s="340"/>
      <c r="J75" s="341"/>
    </row>
  </sheetData>
  <mergeCells count="10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57" activePane="bottomLeft" state="frozen"/>
      <selection activeCell="G20" sqref="G20"/>
      <selection pane="bottomLeft" activeCell="E69" sqref="E69"/>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23" t="s">
        <v>0</v>
      </c>
      <c r="G2" s="1824"/>
      <c r="H2" s="1825"/>
    </row>
    <row r="3" spans="2:8" s="469" customFormat="1" ht="25.05" customHeight="1" x14ac:dyDescent="0.25">
      <c r="B3" s="1856" t="s">
        <v>3193</v>
      </c>
      <c r="C3" s="1856"/>
      <c r="D3" s="1856"/>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35" t="s">
        <v>2315</v>
      </c>
      <c r="C7" s="1835"/>
      <c r="D7" s="1835"/>
      <c r="E7" s="1835"/>
      <c r="F7" s="1835"/>
      <c r="G7" s="1835"/>
    </row>
    <row r="8" spans="2:8" x14ac:dyDescent="0.25">
      <c r="B8" s="1836" t="s">
        <v>3301</v>
      </c>
      <c r="C8" s="1836"/>
      <c r="D8" s="1836"/>
      <c r="E8" s="1836"/>
      <c r="F8" s="1836"/>
      <c r="G8" s="1836"/>
    </row>
    <row r="9" spans="2:8" x14ac:dyDescent="0.25">
      <c r="B9" s="1859" t="s">
        <v>3302</v>
      </c>
      <c r="C9" s="1859"/>
      <c r="D9" s="1859"/>
      <c r="E9" s="1859"/>
      <c r="F9" s="1859"/>
      <c r="G9" s="1859"/>
    </row>
    <row r="10" spans="2:8" x14ac:dyDescent="0.25">
      <c r="B10" s="1836" t="s">
        <v>3303</v>
      </c>
      <c r="C10" s="1836"/>
      <c r="D10" s="1836"/>
      <c r="E10" s="1836"/>
      <c r="F10" s="1836"/>
      <c r="G10" s="1836"/>
    </row>
    <row r="11" spans="2:8" x14ac:dyDescent="0.25">
      <c r="B11" s="1687" t="s">
        <v>3304</v>
      </c>
      <c r="C11" s="1687"/>
      <c r="D11" s="1687"/>
      <c r="E11" s="1687"/>
      <c r="F11" s="1687"/>
      <c r="G11" s="1687"/>
    </row>
    <row r="12" spans="2:8" ht="27.45" customHeight="1" x14ac:dyDescent="0.25">
      <c r="B12" s="1687" t="s">
        <v>3305</v>
      </c>
      <c r="C12" s="1687"/>
      <c r="D12" s="1687"/>
      <c r="E12" s="1687"/>
      <c r="F12" s="1687"/>
      <c r="G12" s="1687"/>
    </row>
    <row r="14" spans="2:8" ht="17.399999999999999" x14ac:dyDescent="0.25">
      <c r="B14" s="859" t="s">
        <v>2325</v>
      </c>
      <c r="C14" s="475"/>
      <c r="D14" s="475"/>
      <c r="E14" s="475"/>
      <c r="F14" s="475"/>
      <c r="G14" s="475"/>
      <c r="H14" s="475"/>
    </row>
    <row r="15" spans="2:8" ht="33.450000000000003" customHeight="1" x14ac:dyDescent="0.25">
      <c r="B15" s="1687" t="s">
        <v>3311</v>
      </c>
      <c r="C15" s="1687"/>
      <c r="D15" s="1687"/>
      <c r="E15" s="1687"/>
      <c r="F15" s="1687"/>
      <c r="G15" s="1687"/>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21" t="s">
        <v>3292</v>
      </c>
      <c r="C19" s="1822"/>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74" t="s">
        <v>3190</v>
      </c>
      <c r="C26" s="1674"/>
      <c r="D26" s="1674"/>
      <c r="E26" s="1674"/>
      <c r="F26" s="1674"/>
      <c r="G26" s="1674"/>
      <c r="H26" s="1674"/>
      <c r="I26" s="1674"/>
    </row>
    <row r="27" spans="2:9" x14ac:dyDescent="0.25">
      <c r="B27" s="1675" t="s">
        <v>3204</v>
      </c>
      <c r="C27" s="1675"/>
      <c r="D27" s="1675"/>
      <c r="E27" s="1675"/>
      <c r="F27" s="1675"/>
      <c r="G27" s="1675"/>
      <c r="H27" s="1675"/>
      <c r="I27" s="1466"/>
    </row>
    <row r="28" spans="2:9" x14ac:dyDescent="0.25">
      <c r="B28" s="1675" t="s">
        <v>3306</v>
      </c>
      <c r="C28" s="1675"/>
      <c r="D28" s="1675"/>
      <c r="E28" s="1675"/>
      <c r="F28" s="1675"/>
      <c r="G28" s="1675"/>
      <c r="H28" s="1675"/>
      <c r="I28" s="1466"/>
    </row>
    <row r="29" spans="2:9" x14ac:dyDescent="0.25">
      <c r="B29" s="1219"/>
      <c r="C29" s="1219"/>
      <c r="D29" s="1219"/>
      <c r="E29" s="1219"/>
      <c r="F29" s="1219"/>
      <c r="G29" s="1219"/>
      <c r="H29" s="1219"/>
      <c r="I29" s="1218"/>
    </row>
    <row r="30" spans="2:9" ht="19.05" customHeight="1" x14ac:dyDescent="0.25">
      <c r="B30" s="1660" t="s">
        <v>2265</v>
      </c>
      <c r="C30" s="1661"/>
    </row>
    <row r="31" spans="2:9" ht="19.05" customHeight="1" x14ac:dyDescent="0.25">
      <c r="B31" s="931" t="s">
        <v>2078</v>
      </c>
      <c r="C31" s="932">
        <f>'2. Roles &amp; Pricing'!D289</f>
        <v>910000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60" t="s">
        <v>2266</v>
      </c>
      <c r="C35" s="1661"/>
    </row>
    <row r="36" spans="2:15" ht="19.05" customHeight="1" x14ac:dyDescent="0.25">
      <c r="B36" s="931" t="s">
        <v>2078</v>
      </c>
      <c r="C36" s="932">
        <f>'2. Roles &amp; Pricing'!D289</f>
        <v>910000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37" t="s">
        <v>2377</v>
      </c>
      <c r="C41" s="1837"/>
      <c r="D41" s="1837"/>
      <c r="E41" s="1837"/>
      <c r="F41" s="1837"/>
      <c r="G41" s="1837"/>
      <c r="H41" s="1837"/>
      <c r="I41" s="1384"/>
    </row>
    <row r="42" spans="2:15" ht="13.95" customHeight="1" x14ac:dyDescent="0.25">
      <c r="B42" s="1858" t="s">
        <v>3191</v>
      </c>
      <c r="C42" s="1858"/>
      <c r="D42" s="1858"/>
      <c r="E42" s="1858"/>
      <c r="F42" s="1858"/>
      <c r="G42" s="1858"/>
      <c r="H42" s="1858"/>
      <c r="I42" s="1230"/>
    </row>
    <row r="43" spans="2:15" ht="15" customHeight="1" x14ac:dyDescent="0.25">
      <c r="B43" s="1858" t="s">
        <v>2331</v>
      </c>
      <c r="C43" s="1858"/>
      <c r="D43" s="1858"/>
      <c r="E43" s="1858"/>
      <c r="F43" s="1858"/>
      <c r="G43" s="1858"/>
      <c r="H43" s="1858"/>
    </row>
    <row r="44" spans="2:15" ht="15" customHeight="1" x14ac:dyDescent="0.25">
      <c r="B44" s="1687" t="s">
        <v>2326</v>
      </c>
      <c r="C44" s="1687"/>
      <c r="D44" s="1687"/>
      <c r="E44" s="1687"/>
      <c r="F44" s="1687"/>
      <c r="G44" s="1687"/>
      <c r="H44" s="710"/>
      <c r="J44" s="1206"/>
      <c r="K44" s="1206"/>
      <c r="L44" s="1206"/>
      <c r="M44" s="1206"/>
      <c r="N44" s="1206"/>
      <c r="O44" s="1206"/>
    </row>
    <row r="45" spans="2:15" ht="15" customHeight="1" x14ac:dyDescent="0.25">
      <c r="B45" s="1836" t="s">
        <v>3307</v>
      </c>
      <c r="C45" s="1836"/>
      <c r="D45" s="1836"/>
      <c r="E45" s="1836"/>
      <c r="F45" s="1836"/>
      <c r="G45" s="1836"/>
      <c r="H45" s="710"/>
      <c r="J45" s="1206"/>
      <c r="K45" s="1206"/>
      <c r="L45" s="1206"/>
      <c r="M45" s="1206"/>
      <c r="N45" s="1206"/>
      <c r="O45" s="1206"/>
    </row>
    <row r="46" spans="2:15" ht="28.95" customHeight="1" x14ac:dyDescent="0.25">
      <c r="B46" s="1836" t="s">
        <v>3205</v>
      </c>
      <c r="C46" s="1836"/>
      <c r="D46" s="1836"/>
      <c r="E46" s="1836"/>
      <c r="F46" s="1836"/>
      <c r="G46" s="1836"/>
      <c r="H46" s="1836"/>
      <c r="J46" s="1206"/>
      <c r="K46" s="1206"/>
      <c r="L46" s="1206"/>
      <c r="M46" s="1206"/>
      <c r="N46" s="1206"/>
      <c r="O46" s="1206"/>
    </row>
    <row r="47" spans="2:15" ht="15" customHeight="1" x14ac:dyDescent="0.25">
      <c r="B47" s="1857" t="s">
        <v>3192</v>
      </c>
      <c r="C47" s="1857"/>
      <c r="D47" s="1857"/>
      <c r="E47" s="1857"/>
      <c r="F47" s="1857"/>
      <c r="G47" s="1857"/>
      <c r="H47" s="710"/>
      <c r="J47" s="1206"/>
      <c r="K47" s="1206"/>
      <c r="L47" s="1206"/>
      <c r="M47" s="1206"/>
      <c r="N47" s="1206"/>
      <c r="O47" s="1206"/>
    </row>
    <row r="48" spans="2:15" x14ac:dyDescent="0.25">
      <c r="B48" s="1836" t="s">
        <v>2267</v>
      </c>
      <c r="C48" s="1836"/>
      <c r="D48" s="1836"/>
      <c r="E48" s="1836"/>
      <c r="F48" s="1836"/>
      <c r="G48" s="1836"/>
    </row>
    <row r="49" spans="2:9" x14ac:dyDescent="0.25">
      <c r="B49" s="710"/>
      <c r="C49" s="710"/>
      <c r="D49" s="710"/>
      <c r="E49" s="710"/>
      <c r="F49" s="710"/>
    </row>
    <row r="50" spans="2:9" x14ac:dyDescent="0.25">
      <c r="B50" s="1832" t="s">
        <v>2180</v>
      </c>
      <c r="C50" s="1833"/>
      <c r="D50" s="1833"/>
      <c r="E50" s="1834"/>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0.56338461538461537</v>
      </c>
      <c r="C52" s="938">
        <v>0.47</v>
      </c>
      <c r="D52" s="939">
        <f>B52-C52</f>
        <v>9.3384615384615399E-2</v>
      </c>
      <c r="E52" s="940">
        <f>'2. Roles &amp; Pricing'!D289/'2. Roles &amp; Pricing'!M289</f>
        <v>107.81990521327015</v>
      </c>
      <c r="H52" s="562"/>
    </row>
    <row r="53" spans="2:9" x14ac:dyDescent="0.25">
      <c r="B53" s="1830"/>
      <c r="C53" s="1830"/>
      <c r="D53" s="1830"/>
      <c r="E53" s="1830"/>
      <c r="F53" s="1830"/>
      <c r="G53" s="556"/>
      <c r="H53" s="556"/>
    </row>
    <row r="54" spans="2:9" x14ac:dyDescent="0.25">
      <c r="B54" s="1838" t="s">
        <v>2179</v>
      </c>
      <c r="C54" s="1839"/>
      <c r="D54" s="1839"/>
      <c r="E54" s="1839"/>
      <c r="F54" s="1839"/>
      <c r="G54" s="1839"/>
      <c r="H54" s="1839"/>
      <c r="I54" s="1840"/>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1518166.6666666667</v>
      </c>
      <c r="D56" s="1231">
        <f>('4. Summary &amp; Totals'!$C$67)/(1-D55)+'4. Summary &amp; Totals'!$C$68</f>
        <v>1597991.2280701753</v>
      </c>
      <c r="E56" s="1231">
        <f>('4. Summary &amp; Totals'!$C$67)/(1-E55)+'4. Summary &amp; Totals'!$C$68</f>
        <v>1656045.4545454544</v>
      </c>
      <c r="F56" s="1231">
        <f>('4. Summary &amp; Totals'!$C$67)/(1-F55)+'4. Summary &amp; Totals'!$C$68</f>
        <v>1821500</v>
      </c>
      <c r="G56" s="1231">
        <f>('4. Summary &amp; Totals'!$C$67)/(1-G55)+'4. Summary &amp; Totals'!$C$68</f>
        <v>2023722.2222222225</v>
      </c>
      <c r="H56" s="1231" t="str">
        <f>IF(H55="Enter Test Margin %","",('4. Summary &amp; Totals'!$C$67)/(1-H55)+'4. Summary &amp; Totals'!$C$68)</f>
        <v/>
      </c>
      <c r="I56" s="1232" t="s">
        <v>3685</v>
      </c>
    </row>
    <row r="57" spans="2:9" x14ac:dyDescent="0.25">
      <c r="B57" s="945" t="s">
        <v>225</v>
      </c>
      <c r="C57" s="1233">
        <f>IFERROR(ROUNDUP((C56/'2. Roles &amp; Pricing'!$M$289),0),"")</f>
        <v>180</v>
      </c>
      <c r="D57" s="1233">
        <f>ROUNDUP(IFERROR(D56/'2. Roles &amp; Pricing'!$M$289,""),0)</f>
        <v>190</v>
      </c>
      <c r="E57" s="1233">
        <f>ROUNDUP(IFERROR(E56/'2. Roles &amp; Pricing'!$M$289,""),0)</f>
        <v>197</v>
      </c>
      <c r="F57" s="1233">
        <f>ROUNDUP(IFERROR(F56/'2. Roles &amp; Pricing'!$M$289,""),0)</f>
        <v>216</v>
      </c>
      <c r="G57" s="1233">
        <f>ROUNDUP(IFERROR(G56/'2. Roles &amp; Pricing'!$M$289,""),0)</f>
        <v>240</v>
      </c>
      <c r="H57" s="1233" t="str">
        <f>IF(H55="Enter Test Margin %","",H56/'2. Roles &amp; Pricing'!M289)</f>
        <v/>
      </c>
      <c r="I57" s="1234" t="str">
        <f>IF(I55="Enter Test Margin %","",I56/'2. Roles &amp; Pricing'!N289)</f>
        <v/>
      </c>
    </row>
    <row r="59" spans="2:9" ht="17.399999999999999" x14ac:dyDescent="0.25">
      <c r="B59" s="857" t="s">
        <v>2329</v>
      </c>
      <c r="C59" s="475"/>
      <c r="D59" s="475"/>
      <c r="E59" s="475"/>
      <c r="F59" s="475"/>
      <c r="G59" s="475"/>
      <c r="H59" s="475"/>
    </row>
    <row r="60" spans="2:9" x14ac:dyDescent="0.25">
      <c r="B60" s="1853" t="s">
        <v>3308</v>
      </c>
      <c r="C60" s="1853"/>
      <c r="D60" s="1853"/>
      <c r="E60" s="1853"/>
      <c r="F60" s="1853"/>
      <c r="G60" s="1853"/>
      <c r="H60" s="1853"/>
    </row>
    <row r="61" spans="2:9" x14ac:dyDescent="0.25">
      <c r="B61" s="1720" t="s">
        <v>2330</v>
      </c>
      <c r="C61" s="1720"/>
      <c r="D61" s="1720"/>
      <c r="E61" s="1720"/>
      <c r="F61" s="1720"/>
      <c r="G61" s="1720"/>
    </row>
    <row r="62" spans="2:9" ht="15" customHeight="1" x14ac:dyDescent="0.25">
      <c r="B62" s="1216"/>
      <c r="C62" s="1213"/>
      <c r="D62" s="1213"/>
      <c r="E62" s="1213"/>
      <c r="F62" s="1213"/>
      <c r="G62" s="1213"/>
    </row>
    <row r="63" spans="2:9" x14ac:dyDescent="0.25">
      <c r="B63" s="1854" t="s">
        <v>2181</v>
      </c>
      <c r="C63" s="1855"/>
    </row>
    <row r="64" spans="2:9" x14ac:dyDescent="0.25">
      <c r="B64" s="946" t="s">
        <v>109</v>
      </c>
      <c r="C64" s="947">
        <f>'2. Roles &amp; Pricing'!D289</f>
        <v>910000</v>
      </c>
    </row>
    <row r="65" spans="2:8" x14ac:dyDescent="0.25">
      <c r="B65" s="948" t="s">
        <v>1466</v>
      </c>
      <c r="C65" s="949">
        <v>0</v>
      </c>
    </row>
    <row r="66" spans="2:8" x14ac:dyDescent="0.25">
      <c r="B66" s="1142" t="s">
        <v>1467</v>
      </c>
      <c r="C66" s="1143" t="s">
        <v>2170</v>
      </c>
    </row>
    <row r="67" spans="2:8" x14ac:dyDescent="0.25">
      <c r="B67" s="1464" t="s">
        <v>1468</v>
      </c>
      <c r="C67" s="1144">
        <f>IFERROR(IF(C65="Enter Discount %",C66,(C64*C65)),"")</f>
        <v>0</v>
      </c>
    </row>
    <row r="69" spans="2:8" ht="17.399999999999999" x14ac:dyDescent="0.25">
      <c r="B69" s="859" t="s">
        <v>2332</v>
      </c>
      <c r="C69" s="563"/>
      <c r="D69" s="403"/>
      <c r="E69" s="564"/>
      <c r="F69" s="564"/>
      <c r="G69" s="564"/>
      <c r="H69" s="565"/>
    </row>
    <row r="70" spans="2:8" ht="28.95" customHeight="1" x14ac:dyDescent="0.25">
      <c r="B70" s="1831" t="s">
        <v>2378</v>
      </c>
      <c r="C70" s="1831"/>
      <c r="D70" s="1831"/>
      <c r="E70" s="1831"/>
      <c r="F70" s="1831"/>
      <c r="G70" s="1831"/>
      <c r="H70" s="1831"/>
    </row>
    <row r="71" spans="2:8" ht="15" customHeight="1" x14ac:dyDescent="0.25">
      <c r="B71" s="1216"/>
      <c r="C71" s="1213"/>
      <c r="D71" s="1213"/>
      <c r="E71" s="1213"/>
      <c r="F71" s="1213"/>
      <c r="G71" s="1213"/>
    </row>
    <row r="72" spans="2:8" x14ac:dyDescent="0.25">
      <c r="B72" s="1845" t="s">
        <v>2290</v>
      </c>
      <c r="C72" s="1846"/>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47">
        <f>SUMIFS($C$73:$C$76,$D$73:$D$76,"Yes")</f>
        <v>1500</v>
      </c>
      <c r="D77" s="1848"/>
    </row>
    <row r="78" spans="2:8" x14ac:dyDescent="0.25">
      <c r="B78" s="1530" t="s">
        <v>3313</v>
      </c>
      <c r="C78" s="1849">
        <f>SUMIFS($C$73:$C$76,$D$73:$D$76,"No")</f>
        <v>2000</v>
      </c>
      <c r="D78" s="1850"/>
    </row>
    <row r="79" spans="2:8" x14ac:dyDescent="0.25">
      <c r="B79" s="566"/>
      <c r="C79" s="567"/>
      <c r="D79" s="568"/>
    </row>
    <row r="80" spans="2:8" ht="17.399999999999999" x14ac:dyDescent="0.25">
      <c r="B80" s="859" t="s">
        <v>3225</v>
      </c>
      <c r="C80" s="1465"/>
      <c r="D80" s="563"/>
      <c r="E80" s="564"/>
      <c r="F80" s="564"/>
      <c r="G80" s="564"/>
    </row>
    <row r="81" spans="2:8" x14ac:dyDescent="0.25">
      <c r="B81" s="1831" t="s">
        <v>3309</v>
      </c>
      <c r="C81" s="1831"/>
      <c r="D81" s="1831"/>
      <c r="E81" s="1831"/>
      <c r="F81" s="1831"/>
      <c r="G81" s="1831"/>
      <c r="H81" s="1831"/>
    </row>
    <row r="82" spans="2:8" x14ac:dyDescent="0.25">
      <c r="B82" s="1721" t="s">
        <v>3310</v>
      </c>
      <c r="C82" s="1721"/>
      <c r="D82" s="1721"/>
      <c r="E82" s="1721"/>
      <c r="F82" s="1721"/>
      <c r="G82" s="1721"/>
    </row>
    <row r="83" spans="2:8" ht="15" customHeight="1" x14ac:dyDescent="0.25">
      <c r="B83" s="1216"/>
      <c r="C83" s="1213"/>
      <c r="D83" s="1213"/>
      <c r="E83" s="1213"/>
      <c r="F83" s="1213"/>
      <c r="G83" s="1213"/>
    </row>
    <row r="84" spans="2:8" x14ac:dyDescent="0.25">
      <c r="B84" s="1851" t="s">
        <v>221</v>
      </c>
      <c r="C84" s="1852"/>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31" t="s">
        <v>2335</v>
      </c>
      <c r="C91" s="1831"/>
      <c r="D91" s="1831"/>
      <c r="E91" s="1831"/>
      <c r="F91" s="1831"/>
      <c r="G91" s="1831"/>
      <c r="H91" s="1831"/>
    </row>
    <row r="92" spans="2:8" x14ac:dyDescent="0.25">
      <c r="B92" s="1721" t="s">
        <v>2334</v>
      </c>
      <c r="C92" s="1721"/>
      <c r="D92" s="1721"/>
      <c r="E92" s="1721"/>
      <c r="F92" s="1721"/>
      <c r="G92" s="1721"/>
    </row>
    <row r="93" spans="2:8" ht="15" customHeight="1" x14ac:dyDescent="0.25">
      <c r="B93" s="1216"/>
      <c r="C93" s="1213"/>
      <c r="D93" s="1213"/>
      <c r="E93" s="1213"/>
      <c r="F93" s="1213"/>
      <c r="G93" s="1213"/>
    </row>
    <row r="94" spans="2:8" x14ac:dyDescent="0.25">
      <c r="B94" s="1843" t="s">
        <v>214</v>
      </c>
      <c r="C94" s="1844"/>
    </row>
    <row r="95" spans="2:8" x14ac:dyDescent="0.25">
      <c r="B95" s="1841" t="s">
        <v>2169</v>
      </c>
      <c r="C95" s="1842"/>
    </row>
    <row r="96" spans="2:8" x14ac:dyDescent="0.25">
      <c r="B96" s="1826" t="s">
        <v>2169</v>
      </c>
      <c r="C96" s="1827"/>
    </row>
    <row r="97" spans="2:7" x14ac:dyDescent="0.25">
      <c r="B97" s="1826"/>
      <c r="C97" s="1827"/>
    </row>
    <row r="98" spans="2:7" x14ac:dyDescent="0.25">
      <c r="B98" s="1826"/>
      <c r="C98" s="1827"/>
    </row>
    <row r="99" spans="2:7" x14ac:dyDescent="0.25">
      <c r="B99" s="1826"/>
      <c r="C99" s="1827"/>
    </row>
    <row r="100" spans="2:7" x14ac:dyDescent="0.25">
      <c r="B100" s="1826"/>
      <c r="C100" s="1827"/>
    </row>
    <row r="101" spans="2:7" x14ac:dyDescent="0.25">
      <c r="B101" s="1826"/>
      <c r="C101" s="1827"/>
    </row>
    <row r="102" spans="2:7" x14ac:dyDescent="0.25">
      <c r="B102" s="1828"/>
      <c r="C102" s="1829"/>
    </row>
    <row r="107" spans="2:7" x14ac:dyDescent="0.25">
      <c r="B107" s="1721"/>
      <c r="C107" s="1721"/>
      <c r="D107" s="1721"/>
      <c r="E107" s="1721"/>
      <c r="F107" s="1721"/>
      <c r="G107" s="1721"/>
    </row>
  </sheetData>
  <mergeCells count="48">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56"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04"/>
      <c r="K1" s="1704"/>
      <c r="L1" s="1704"/>
    </row>
    <row r="2" spans="2:20" s="469" customFormat="1" ht="25.8" x14ac:dyDescent="0.25">
      <c r="B2" s="1871" t="s">
        <v>3196</v>
      </c>
      <c r="C2" s="1871"/>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73" t="s">
        <v>3282</v>
      </c>
      <c r="C7" s="1873"/>
      <c r="D7" s="1873"/>
      <c r="E7" s="1873"/>
      <c r="F7" s="1873"/>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733" t="s">
        <v>2379</v>
      </c>
      <c r="C10" s="1733"/>
      <c r="D10" s="1733"/>
      <c r="E10" s="1733"/>
      <c r="F10" s="1733"/>
      <c r="H10" s="579"/>
    </row>
    <row r="11" spans="2:20" ht="16.95" customHeight="1" x14ac:dyDescent="0.25">
      <c r="B11" s="1658" t="s">
        <v>2199</v>
      </c>
      <c r="C11" s="1659"/>
      <c r="D11" s="480"/>
      <c r="E11" s="1872"/>
      <c r="F11" s="1872"/>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72"/>
      <c r="F15" s="1872"/>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RaisinAnalytics</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45916</v>
      </c>
      <c r="D21" s="494"/>
      <c r="G21" s="413"/>
      <c r="S21" s="591"/>
      <c r="T21" s="411"/>
    </row>
    <row r="22" spans="2:20" ht="14.55" customHeight="1" x14ac:dyDescent="0.25">
      <c r="B22" s="961" t="s">
        <v>50</v>
      </c>
      <c r="C22" s="1405" t="str">
        <f>'2. Roles &amp; Pricing'!E29</f>
        <v>T&amp;M</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45916</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733" t="s">
        <v>2337</v>
      </c>
      <c r="C32" s="1733"/>
      <c r="D32" s="1733"/>
      <c r="E32" s="1733"/>
      <c r="F32" s="1733"/>
      <c r="H32" s="579"/>
    </row>
    <row r="33" spans="2:20" x14ac:dyDescent="0.25">
      <c r="B33" s="1733" t="s">
        <v>3300</v>
      </c>
      <c r="C33" s="1733"/>
      <c r="D33" s="1733"/>
      <c r="E33" s="1733"/>
      <c r="F33" s="1733"/>
      <c r="G33" s="413"/>
      <c r="S33" s="581"/>
      <c r="T33" s="596"/>
    </row>
    <row r="34" spans="2:20" ht="17.399999999999999" x14ac:dyDescent="0.25">
      <c r="B34" s="1235"/>
      <c r="C34" s="599"/>
      <c r="D34" s="413"/>
      <c r="E34" s="594"/>
      <c r="F34" s="594"/>
      <c r="G34" s="413"/>
      <c r="S34" s="581"/>
      <c r="T34" s="596"/>
    </row>
    <row r="35" spans="2:20" x14ac:dyDescent="0.25">
      <c r="B35" s="1658" t="s">
        <v>3209</v>
      </c>
      <c r="C35" s="1659"/>
      <c r="D35" s="413"/>
      <c r="E35" s="594"/>
      <c r="F35" s="594"/>
      <c r="G35" s="413"/>
      <c r="S35" s="581"/>
      <c r="T35" s="596"/>
    </row>
    <row r="36" spans="2:20" x14ac:dyDescent="0.25">
      <c r="B36" s="964" t="s">
        <v>2080</v>
      </c>
      <c r="C36" s="1407">
        <f>C61</f>
        <v>1010625</v>
      </c>
      <c r="D36" s="413"/>
      <c r="E36" s="594"/>
      <c r="F36" s="594"/>
      <c r="G36" s="413"/>
      <c r="S36" s="581"/>
      <c r="T36" s="596"/>
    </row>
    <row r="37" spans="2:20" x14ac:dyDescent="0.25">
      <c r="B37" s="963" t="s">
        <v>3227</v>
      </c>
      <c r="C37" s="1408">
        <f>C53</f>
        <v>0.58576763485477179</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733" t="s">
        <v>3186</v>
      </c>
      <c r="C40" s="1733"/>
      <c r="D40" s="1733"/>
      <c r="E40" s="1733"/>
      <c r="F40" s="1733"/>
      <c r="H40" s="579"/>
    </row>
    <row r="41" spans="2:20" x14ac:dyDescent="0.25">
      <c r="B41" s="1733" t="s">
        <v>3283</v>
      </c>
      <c r="C41" s="1733"/>
      <c r="D41" s="1733"/>
      <c r="E41" s="1733"/>
      <c r="F41" s="1733"/>
      <c r="G41" s="413"/>
      <c r="S41" s="581"/>
      <c r="T41" s="596"/>
    </row>
    <row r="42" spans="2:20" ht="30" customHeight="1" x14ac:dyDescent="0.25">
      <c r="B42" s="1670" t="s">
        <v>3194</v>
      </c>
      <c r="C42" s="1670"/>
      <c r="D42" s="1670"/>
      <c r="E42" s="1670"/>
      <c r="F42" s="1670"/>
      <c r="G42" s="413"/>
      <c r="S42" s="581"/>
      <c r="T42" s="596"/>
    </row>
    <row r="43" spans="2:20" ht="17.399999999999999" x14ac:dyDescent="0.25">
      <c r="B43" s="1235"/>
      <c r="C43" s="599"/>
      <c r="D43" s="413"/>
      <c r="E43" s="594"/>
      <c r="F43" s="594"/>
      <c r="G43" s="413"/>
      <c r="S43" s="581"/>
      <c r="T43" s="596"/>
    </row>
    <row r="44" spans="2:20" x14ac:dyDescent="0.25">
      <c r="B44" s="1658" t="s">
        <v>3210</v>
      </c>
      <c r="C44" s="1659"/>
      <c r="D44" s="413"/>
      <c r="E44" s="594"/>
      <c r="F44" s="594"/>
      <c r="G44" s="413"/>
      <c r="S44" s="581"/>
      <c r="T44" s="596"/>
    </row>
    <row r="45" spans="2:20" x14ac:dyDescent="0.25">
      <c r="B45" s="964" t="s">
        <v>2087</v>
      </c>
      <c r="C45" s="1409">
        <f>IF(OR(C23="T&amp;M",C23="T&amp;M NTE"),C60,C61)</f>
        <v>1010625</v>
      </c>
      <c r="D45" s="413"/>
      <c r="E45" s="594"/>
      <c r="F45" s="594"/>
      <c r="G45" s="413"/>
      <c r="S45" s="581"/>
      <c r="T45" s="596"/>
    </row>
    <row r="46" spans="2:20" x14ac:dyDescent="0.25">
      <c r="B46" s="961" t="s">
        <v>2088</v>
      </c>
      <c r="C46" s="1410">
        <f>COUNTA('2. Roles &amp; Pricing'!K48:K147)</f>
        <v>8</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696" t="s">
        <v>2309</v>
      </c>
      <c r="C51" s="1696"/>
      <c r="D51" s="1696"/>
      <c r="E51" s="1696"/>
      <c r="F51" s="1696"/>
    </row>
    <row r="52" spans="2:20" ht="19.95" customHeight="1" x14ac:dyDescent="0.25">
      <c r="B52" s="1658" t="s">
        <v>3394</v>
      </c>
      <c r="C52" s="1659"/>
      <c r="E52" s="413"/>
      <c r="J52" s="492"/>
      <c r="K52" s="600"/>
      <c r="L52" s="492"/>
    </row>
    <row r="53" spans="2:20" x14ac:dyDescent="0.25">
      <c r="B53" s="1240" t="s">
        <v>1673</v>
      </c>
      <c r="C53" s="1412">
        <f>IFERROR((C72-C79)/C72,"")</f>
        <v>0.58576763485477179</v>
      </c>
      <c r="E53" s="413"/>
      <c r="J53" s="495"/>
      <c r="K53" s="601"/>
      <c r="L53" s="496"/>
    </row>
    <row r="54" spans="2:20" x14ac:dyDescent="0.25">
      <c r="B54" s="867" t="s">
        <v>111</v>
      </c>
      <c r="C54" s="1413">
        <f>IFERROR('2. Roles &amp; Pricing'!$D$289/'2. Roles &amp; Pricing'!M289,"")</f>
        <v>107.81990521327015</v>
      </c>
      <c r="E54" s="413"/>
      <c r="J54" s="495"/>
      <c r="K54" s="601"/>
      <c r="L54" s="496"/>
    </row>
    <row r="55" spans="2:20" x14ac:dyDescent="0.25">
      <c r="B55" s="1239" t="s">
        <v>2093</v>
      </c>
      <c r="C55" s="1414">
        <f>IFERROR(($C$71+$C$67*(1+C56)),"Enter Contingency % on Summary Inputs")</f>
        <v>962500</v>
      </c>
      <c r="E55" s="602"/>
      <c r="J55" s="495"/>
      <c r="K55" s="601"/>
      <c r="L55" s="496"/>
      <c r="T55" s="603"/>
    </row>
    <row r="56" spans="2:20" ht="13.95" customHeight="1" x14ac:dyDescent="0.25">
      <c r="B56" s="1567" t="s">
        <v>2079</v>
      </c>
      <c r="C56" s="1869">
        <f>'3. Financial Inputs'!C17</f>
        <v>0.05</v>
      </c>
      <c r="E56" s="484"/>
      <c r="J56" s="495"/>
      <c r="K56" s="601"/>
      <c r="L56" s="496"/>
    </row>
    <row r="57" spans="2:20" ht="13.95" customHeight="1" x14ac:dyDescent="0.25">
      <c r="B57" s="1568" t="s">
        <v>3414</v>
      </c>
      <c r="C57" s="1870"/>
      <c r="E57" s="484"/>
      <c r="J57" s="495"/>
      <c r="K57" s="601"/>
      <c r="L57" s="496"/>
    </row>
    <row r="58" spans="2:20" ht="13.95" customHeight="1" x14ac:dyDescent="0.25">
      <c r="B58" s="965" t="s">
        <v>1468</v>
      </c>
      <c r="C58" s="1415">
        <f>IF('3. Financial Inputs'!C67="",0,'3. Financial Inputs'!C67)</f>
        <v>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962500</v>
      </c>
      <c r="E60" s="484"/>
      <c r="J60" s="495"/>
      <c r="K60" s="601"/>
      <c r="L60" s="496"/>
      <c r="T60" s="605"/>
    </row>
    <row r="61" spans="2:20" x14ac:dyDescent="0.25">
      <c r="B61" s="1238" t="s">
        <v>2081</v>
      </c>
      <c r="C61" s="1540">
        <f>IFERROR(C60*(1+C56),"Incomplete Project Information")</f>
        <v>1010625</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68" t="s">
        <v>3195</v>
      </c>
      <c r="C65" s="1868"/>
      <c r="D65" s="1542"/>
      <c r="E65" s="1542"/>
      <c r="F65" s="1542"/>
      <c r="J65" s="495"/>
      <c r="K65" s="601"/>
      <c r="L65" s="496"/>
      <c r="T65" s="605"/>
    </row>
    <row r="66" spans="2:20" ht="18" customHeight="1" x14ac:dyDescent="0.25">
      <c r="B66" s="1660" t="s">
        <v>3395</v>
      </c>
      <c r="C66" s="1661"/>
      <c r="D66" s="413"/>
      <c r="E66" s="413"/>
      <c r="J66" s="495"/>
      <c r="K66" s="601"/>
      <c r="L66" s="496"/>
      <c r="T66" s="605"/>
    </row>
    <row r="67" spans="2:20" ht="18" customHeight="1" x14ac:dyDescent="0.25">
      <c r="B67" s="966" t="s">
        <v>3320</v>
      </c>
      <c r="C67" s="1417">
        <f>IFERROR('2. Roles &amp; Pricing'!D289,0)</f>
        <v>910000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45500</v>
      </c>
      <c r="D69" s="413"/>
      <c r="E69" s="413"/>
      <c r="J69" s="495"/>
      <c r="K69" s="601"/>
      <c r="L69" s="496"/>
      <c r="T69" s="605"/>
    </row>
    <row r="70" spans="2:20" ht="18" customHeight="1" x14ac:dyDescent="0.25">
      <c r="B70" s="969" t="s">
        <v>1468</v>
      </c>
      <c r="C70" s="1420">
        <f>-1*'3. Financial Inputs'!C67</f>
        <v>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964000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68" t="s">
        <v>3195</v>
      </c>
      <c r="C75" s="1868"/>
      <c r="D75" s="1542"/>
      <c r="E75" s="1542"/>
      <c r="F75" s="1542"/>
      <c r="J75" s="495"/>
      <c r="K75" s="601"/>
      <c r="L75" s="496"/>
    </row>
    <row r="76" spans="2:20" x14ac:dyDescent="0.25">
      <c r="B76" s="1660" t="s">
        <v>3316</v>
      </c>
      <c r="C76" s="1661"/>
      <c r="D76" s="413"/>
      <c r="E76" s="413"/>
      <c r="J76" s="495"/>
      <c r="K76" s="601"/>
      <c r="L76" s="496"/>
    </row>
    <row r="77" spans="2:20" x14ac:dyDescent="0.25">
      <c r="B77" s="967" t="s">
        <v>239</v>
      </c>
      <c r="C77" s="1418">
        <f>SUM('2. Roles &amp; Pricing'!$F$291:$F$390)</f>
        <v>397320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399320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67"/>
      <c r="C83" s="1867"/>
      <c r="D83" s="1867"/>
      <c r="E83" s="1867"/>
      <c r="F83" s="1867"/>
      <c r="L83" s="412"/>
    </row>
    <row r="84" spans="2:12" x14ac:dyDescent="0.25">
      <c r="B84" s="1860" t="s">
        <v>188</v>
      </c>
      <c r="C84" s="1861"/>
      <c r="E84" s="429"/>
      <c r="L84" s="412"/>
    </row>
    <row r="85" spans="2:12" x14ac:dyDescent="0.25">
      <c r="B85" s="1148" t="s">
        <v>190</v>
      </c>
      <c r="C85" s="1463">
        <f>IFERROR((SUMIF('2. Roles &amp; Pricing'!W48:W147,"Offshore",'2. Roles &amp; Pricing'!D291:D390))/SUMIF('2. Roles &amp; Pricing'!W48:W147,"Offshore",'2. Roles &amp; Pricing'!M291:M390),"")</f>
        <v>57.851239669421489</v>
      </c>
      <c r="E85" s="429"/>
      <c r="L85" s="412"/>
    </row>
    <row r="86" spans="2:12" x14ac:dyDescent="0.25">
      <c r="B86" s="1149" t="s">
        <v>191</v>
      </c>
      <c r="C86" s="1422">
        <f>IFERROR((SUMIF('2. Roles &amp; Pricing'!W48:W147,"Onshore",'2. Roles &amp; Pricing'!D291:D390))/SUMIF('2. Roles &amp; Pricing'!W48:W147,"Onshore",'2. Roles &amp; Pricing'!M291:M390),"")</f>
        <v>175</v>
      </c>
      <c r="E86" s="429"/>
      <c r="L86" s="412"/>
    </row>
    <row r="87" spans="2:12" x14ac:dyDescent="0.25">
      <c r="B87" s="1149" t="s">
        <v>192</v>
      </c>
      <c r="C87" s="1423">
        <f>IFERROR((COUNTIF('2. Roles &amp; Pricing'!W48:W147,"Offshore")/SUM(COUNTIF('2. Roles &amp; Pricing'!W48:W147,"Onshore"),COUNTIF('2. Roles &amp; Pricing'!W48:W147,"Offshore"))),"")</f>
        <v>0.625</v>
      </c>
      <c r="E87" s="429"/>
      <c r="L87" s="412"/>
    </row>
    <row r="88" spans="2:12" x14ac:dyDescent="0.25">
      <c r="B88" s="1149" t="s">
        <v>111</v>
      </c>
      <c r="C88" s="1422">
        <f>IFERROR('2. Roles &amp; Pricing'!D289/'2. Roles &amp; Pricing'!M289,"")</f>
        <v>107.81990521327015</v>
      </c>
      <c r="E88" s="429"/>
      <c r="L88" s="412"/>
    </row>
    <row r="89" spans="2:12" x14ac:dyDescent="0.25">
      <c r="B89" s="1149" t="s">
        <v>194</v>
      </c>
      <c r="C89" s="1424">
        <f>COUNTIF('2. Roles &amp; Pricing'!$Y48:$Y147,"&gt;=21")</f>
        <v>7</v>
      </c>
      <c r="E89" s="429"/>
      <c r="L89" s="412"/>
    </row>
    <row r="90" spans="2:12" x14ac:dyDescent="0.25">
      <c r="B90" s="1149" t="s">
        <v>195</v>
      </c>
      <c r="C90" s="1424">
        <f>COUNTIFS('2. Roles &amp; Pricing'!Y48:Y147,"&lt;=20")</f>
        <v>1</v>
      </c>
      <c r="E90" s="429"/>
      <c r="L90" s="412"/>
    </row>
    <row r="91" spans="2:12" x14ac:dyDescent="0.25">
      <c r="B91" s="1149" t="s">
        <v>196</v>
      </c>
      <c r="C91" s="1425">
        <f>'2. Roles &amp; Pricing'!M289</f>
        <v>8440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8</v>
      </c>
      <c r="E93" s="429"/>
      <c r="L93" s="412"/>
    </row>
    <row r="94" spans="2:12" x14ac:dyDescent="0.25">
      <c r="E94" s="429"/>
      <c r="L94" s="412"/>
    </row>
    <row r="95" spans="2:12" x14ac:dyDescent="0.25">
      <c r="E95" s="429"/>
      <c r="L95" s="412"/>
    </row>
    <row r="96" spans="2:12" x14ac:dyDescent="0.25">
      <c r="B96" s="1660" t="s">
        <v>199</v>
      </c>
      <c r="C96" s="1866"/>
      <c r="D96" s="1866"/>
      <c r="E96" s="1866"/>
      <c r="F96" s="1661"/>
      <c r="H96" s="1865"/>
      <c r="I96" s="1865"/>
      <c r="J96" s="1865"/>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8440</v>
      </c>
      <c r="D99" s="1429">
        <f>IFERROR(C99/'2. Roles &amp; Pricing'!$M$289,"")</f>
        <v>1</v>
      </c>
      <c r="E99" s="1433">
        <f>SUMIF('2. Roles &amp; Pricing'!$C$48:$C$147,"TADIndia",'2. Roles &amp; Pricing'!$D$291:$D$390)+SUMIF('2. Roles &amp; Pricing'!$C$48:$C$147,"TADNorthAmerica",'2. Roles &amp; Pricing'!$D$291:$D$390)</f>
        <v>910000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2" t="s">
        <v>226</v>
      </c>
      <c r="C107" s="1863"/>
      <c r="D107" s="1864"/>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0</v>
      </c>
      <c r="D109" s="1445">
        <f>IFERROR(C109/'2. Roles &amp; Pricing'!$M$289,"")</f>
        <v>0</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6640</v>
      </c>
      <c r="D111" s="1447">
        <f>IFERROR(C111/'2. Roles &amp; Pricing'!$M$289,"")</f>
        <v>0.78672985781990523</v>
      </c>
      <c r="E111" s="612"/>
      <c r="F111" s="613"/>
      <c r="H111" s="458"/>
      <c r="I111" s="496"/>
      <c r="J111" s="508"/>
    </row>
    <row r="112" spans="2:10" x14ac:dyDescent="0.25">
      <c r="B112" s="978" t="s">
        <v>114</v>
      </c>
      <c r="C112" s="1446">
        <f>IFERROR(SUMIF('2. Roles &amp; Pricing'!$N$48:$N$147,3,'2. Roles &amp; Pricing'!$M$291:$M$390),"")</f>
        <v>1200</v>
      </c>
      <c r="D112" s="1447">
        <f>IFERROR(C112/'2. Roles &amp; Pricing'!$M$289,"")</f>
        <v>0.14218009478672985</v>
      </c>
      <c r="E112" s="612"/>
      <c r="F112" s="613"/>
      <c r="H112" s="458"/>
      <c r="I112" s="496"/>
      <c r="J112" s="508"/>
    </row>
    <row r="113" spans="2:16" x14ac:dyDescent="0.25">
      <c r="B113" s="978" t="s">
        <v>115</v>
      </c>
      <c r="C113" s="1446">
        <f>IFERROR(SUMIF('2. Roles &amp; Pricing'!$N$48:$N$147,4,'2. Roles &amp; Pricing'!$M$291:$M$390),"")</f>
        <v>0</v>
      </c>
      <c r="D113" s="1447">
        <f>IFERROR(C113/'2. Roles &amp; Pricing'!$M$289,"")</f>
        <v>0</v>
      </c>
      <c r="E113" s="612"/>
      <c r="F113" s="613"/>
      <c r="H113" s="458"/>
      <c r="I113" s="496"/>
      <c r="J113" s="508"/>
    </row>
    <row r="114" spans="2:16" x14ac:dyDescent="0.25">
      <c r="B114" s="978" t="s">
        <v>116</v>
      </c>
      <c r="C114" s="1446">
        <f>IFERROR(SUMIF('2. Roles &amp; Pricing'!$N$48:$N$147,5,'2. Roles &amp; Pricing'!$M$291:$M$390),"")</f>
        <v>600</v>
      </c>
      <c r="D114" s="1447">
        <f>IFERROR(C114/'2. Roles &amp; Pricing'!$M$289,"")</f>
        <v>7.1090047393364927E-2</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 ref="B84:C84"/>
    <mergeCell ref="B51:F51"/>
    <mergeCell ref="B52:C52"/>
    <mergeCell ref="B107:D107"/>
    <mergeCell ref="H96:J96"/>
    <mergeCell ref="B66:C66"/>
    <mergeCell ref="B96:F96"/>
    <mergeCell ref="B83:F83"/>
    <mergeCell ref="B76:C76"/>
    <mergeCell ref="B65:C65"/>
    <mergeCell ref="C56:C57"/>
    <mergeCell ref="B75:C75"/>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60" t="s">
        <v>2161</v>
      </c>
      <c r="D13" s="1661"/>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60" t="s">
        <v>2182</v>
      </c>
      <c r="D19" s="1866"/>
      <c r="E19" s="1661"/>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Pricing'!K48:K148)&lt;1,"FAIL","PASS")</f>
        <v>PASS</v>
      </c>
      <c r="C31" s="990" t="s">
        <v>2069</v>
      </c>
      <c r="D31" s="988" t="s">
        <v>2388</v>
      </c>
      <c r="E31" s="992" t="s">
        <v>2076</v>
      </c>
    </row>
    <row r="32" spans="1:150" ht="27.6" x14ac:dyDescent="0.25">
      <c r="B32" s="624" t="str">
        <f>IF('2. Roles &amp; Pricing'!M289&lt;1,"FAIL","PASS")</f>
        <v>PASS</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693" t="s">
        <v>0</v>
      </c>
      <c r="J2" s="1697"/>
      <c r="K2" s="1937"/>
      <c r="L2" s="622" t="s">
        <v>2241</v>
      </c>
      <c r="P2" s="745"/>
      <c r="Q2" s="745"/>
      <c r="R2" s="469"/>
      <c r="S2" s="469"/>
    </row>
    <row r="3" spans="2:19" s="744" customFormat="1" ht="41.4" x14ac:dyDescent="0.25">
      <c r="B3" s="1946" t="s">
        <v>2305</v>
      </c>
      <c r="C3" s="1946"/>
      <c r="D3" s="1946"/>
      <c r="E3" s="1946"/>
      <c r="F3" s="1946"/>
      <c r="G3" s="1946"/>
      <c r="H3" s="1947"/>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3" t="s">
        <v>3684</v>
      </c>
      <c r="C6" s="1953"/>
      <c r="D6" s="1953"/>
      <c r="E6" s="1597"/>
      <c r="F6" s="1597"/>
      <c r="J6" s="1598"/>
      <c r="P6" s="852"/>
      <c r="Q6" s="852"/>
    </row>
    <row r="7" spans="2:19" s="407" customFormat="1" ht="15" customHeight="1" x14ac:dyDescent="0.25">
      <c r="B7" s="1951" t="s">
        <v>3686</v>
      </c>
      <c r="C7" s="1951"/>
      <c r="D7" s="1951"/>
      <c r="E7" s="1951"/>
      <c r="F7" s="1951"/>
      <c r="G7" s="1951"/>
      <c r="H7" s="1951"/>
      <c r="I7" s="1951"/>
      <c r="J7" s="1951"/>
      <c r="P7" s="852"/>
      <c r="Q7" s="852"/>
      <c r="R7" s="406"/>
      <c r="S7" s="406"/>
    </row>
    <row r="8" spans="2:19" s="407" customFormat="1" ht="25.95" customHeight="1" x14ac:dyDescent="0.25">
      <c r="B8" s="1951"/>
      <c r="C8" s="1951"/>
      <c r="D8" s="1951"/>
      <c r="E8" s="1951"/>
      <c r="F8" s="1951"/>
      <c r="G8" s="1951"/>
      <c r="H8" s="1951"/>
      <c r="I8" s="1951"/>
      <c r="J8" s="1951"/>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2" t="s">
        <v>3284</v>
      </c>
      <c r="C11" s="1952"/>
      <c r="D11" s="1952"/>
      <c r="E11" s="444"/>
      <c r="F11" s="444"/>
    </row>
    <row r="12" spans="2:19" x14ac:dyDescent="0.25">
      <c r="B12" s="1948" t="s">
        <v>2288</v>
      </c>
      <c r="C12" s="1949"/>
      <c r="D12" s="1949"/>
      <c r="E12" s="1949"/>
      <c r="F12" s="1950"/>
      <c r="G12" s="1551"/>
      <c r="H12" s="1551"/>
      <c r="I12" s="1551"/>
      <c r="J12" s="1551"/>
    </row>
    <row r="13" spans="2:19" s="411" customFormat="1" x14ac:dyDescent="0.25">
      <c r="B13" s="873" t="s">
        <v>1304</v>
      </c>
      <c r="C13" s="1959" t="str">
        <f>'1. Project Inputs'!C18</f>
        <v>C Spire</v>
      </c>
      <c r="D13" s="1959"/>
      <c r="E13" s="1959"/>
      <c r="F13" s="1960"/>
      <c r="M13" s="1954"/>
      <c r="N13" s="1954"/>
      <c r="P13" s="632"/>
      <c r="Q13" s="632"/>
      <c r="R13" s="395"/>
      <c r="S13" s="395"/>
    </row>
    <row r="14" spans="2:19" s="411" customFormat="1" x14ac:dyDescent="0.25">
      <c r="B14" s="869" t="s">
        <v>1886</v>
      </c>
      <c r="C14" s="1955" t="s">
        <v>4</v>
      </c>
      <c r="D14" s="1955"/>
      <c r="E14" s="1955"/>
      <c r="F14" s="1956"/>
      <c r="M14" s="476"/>
      <c r="N14" s="476"/>
      <c r="O14" s="632"/>
      <c r="P14" s="395"/>
      <c r="Q14" s="395"/>
    </row>
    <row r="15" spans="2:19" s="411" customFormat="1" x14ac:dyDescent="0.25">
      <c r="B15" s="869" t="s">
        <v>1888</v>
      </c>
      <c r="C15" s="1955" t="s">
        <v>4</v>
      </c>
      <c r="D15" s="1955"/>
      <c r="E15" s="1955"/>
      <c r="F15" s="1956"/>
      <c r="M15" s="476"/>
      <c r="N15" s="476"/>
      <c r="P15" s="632"/>
      <c r="Q15" s="632"/>
      <c r="R15" s="395"/>
      <c r="S15" s="395"/>
    </row>
    <row r="16" spans="2:19" s="411" customFormat="1" x14ac:dyDescent="0.25">
      <c r="B16" s="869" t="s">
        <v>22</v>
      </c>
      <c r="C16" s="1957" t="str">
        <f>'1. Project Inputs'!C23</f>
        <v>RaisinAnalytics</v>
      </c>
      <c r="D16" s="1957"/>
      <c r="E16" s="1957"/>
      <c r="F16" s="1958"/>
      <c r="M16" s="476"/>
      <c r="N16" s="476"/>
      <c r="P16" s="632"/>
      <c r="Q16" s="632"/>
      <c r="R16" s="395"/>
      <c r="S16" s="395"/>
    </row>
    <row r="17" spans="2:19" s="411" customFormat="1" x14ac:dyDescent="0.25">
      <c r="B17" s="869" t="s">
        <v>23</v>
      </c>
      <c r="C17" s="1938" t="str">
        <f>'1. Project Inputs'!C24</f>
        <v>Digital - Systems Implementation</v>
      </c>
      <c r="D17" s="1938"/>
      <c r="E17" s="1938"/>
      <c r="F17" s="1939"/>
      <c r="P17" s="632"/>
      <c r="Q17" s="632"/>
      <c r="R17" s="395"/>
      <c r="S17" s="395"/>
    </row>
    <row r="18" spans="2:19" s="411" customFormat="1" x14ac:dyDescent="0.25">
      <c r="B18" s="869" t="s">
        <v>49</v>
      </c>
      <c r="C18" s="1938" t="str">
        <f>'1. Project Inputs'!C25</f>
        <v>Standard Rates</v>
      </c>
      <c r="D18" s="1938"/>
      <c r="E18" s="1938"/>
      <c r="F18" s="1939"/>
      <c r="P18" s="632"/>
      <c r="Q18" s="632"/>
      <c r="R18" s="395"/>
      <c r="S18" s="395"/>
    </row>
    <row r="19" spans="2:19" s="411" customFormat="1" x14ac:dyDescent="0.25">
      <c r="B19" s="869" t="s">
        <v>1890</v>
      </c>
      <c r="C19" s="1940">
        <f>'1. Project Inputs'!C27</f>
        <v>45916</v>
      </c>
      <c r="D19" s="1940"/>
      <c r="E19" s="1940"/>
      <c r="F19" s="1941"/>
      <c r="P19" s="632"/>
      <c r="Q19" s="632"/>
      <c r="R19" s="395"/>
      <c r="S19" s="395"/>
    </row>
    <row r="20" spans="2:19" s="411" customFormat="1" x14ac:dyDescent="0.25">
      <c r="B20" s="876" t="s">
        <v>50</v>
      </c>
      <c r="C20" s="1942">
        <f>'1. Project Inputs'!C29</f>
        <v>30</v>
      </c>
      <c r="D20" s="1943"/>
      <c r="E20" s="1943"/>
      <c r="F20" s="1944"/>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5" t="s">
        <v>2394</v>
      </c>
      <c r="C23" s="1945"/>
      <c r="D23" s="1945"/>
      <c r="E23" s="1945"/>
      <c r="F23" s="1945"/>
      <c r="G23" s="1945"/>
      <c r="H23" s="1945"/>
      <c r="I23" s="1945"/>
      <c r="J23" s="1945"/>
    </row>
    <row r="24" spans="2:19" ht="22.05" customHeight="1" x14ac:dyDescent="0.25">
      <c r="B24" s="1611" t="s">
        <v>2370</v>
      </c>
      <c r="C24" s="1961" t="s">
        <v>1892</v>
      </c>
      <c r="D24" s="1962"/>
      <c r="E24" s="1962"/>
      <c r="F24" s="1962"/>
      <c r="G24" s="1962"/>
      <c r="H24" s="1963"/>
      <c r="I24" s="1612" t="s">
        <v>3682</v>
      </c>
      <c r="J24" s="1612" t="s">
        <v>1893</v>
      </c>
      <c r="K24" s="1613"/>
      <c r="L24" s="1614"/>
      <c r="S24" s="754"/>
    </row>
    <row r="25" spans="2:19" ht="22.05" customHeight="1" x14ac:dyDescent="0.25">
      <c r="B25" s="1605" t="s">
        <v>1894</v>
      </c>
      <c r="C25" s="1992"/>
      <c r="D25" s="1992"/>
      <c r="E25" s="1992"/>
      <c r="F25" s="1992"/>
      <c r="G25" s="1593"/>
      <c r="H25" s="1593"/>
      <c r="I25" s="1593"/>
      <c r="J25" s="1593"/>
      <c r="K25" s="1593"/>
      <c r="L25" s="1606"/>
      <c r="S25" s="412"/>
    </row>
    <row r="26" spans="2:19" ht="19.95" customHeight="1" x14ac:dyDescent="0.25">
      <c r="B26" s="998" t="s">
        <v>109</v>
      </c>
      <c r="C26" s="1896">
        <f>'4. Summary &amp; Totals'!C61</f>
        <v>1010625</v>
      </c>
      <c r="D26" s="1897"/>
      <c r="E26" s="1897"/>
      <c r="F26" s="1897"/>
      <c r="G26" s="1897"/>
      <c r="H26" s="1898"/>
      <c r="I26" s="1601"/>
      <c r="J26" s="1894"/>
      <c r="K26" s="1894"/>
      <c r="L26" s="1895"/>
    </row>
    <row r="27" spans="2:19" ht="19.95" customHeight="1" x14ac:dyDescent="0.25">
      <c r="B27" s="999" t="s">
        <v>1673</v>
      </c>
      <c r="C27" s="1899">
        <f>'4. Summary &amp; Totals'!C37</f>
        <v>0.58576763485477179</v>
      </c>
      <c r="D27" s="1900"/>
      <c r="E27" s="1900"/>
      <c r="F27" s="1900"/>
      <c r="G27" s="1900"/>
      <c r="H27" s="1901"/>
      <c r="I27" s="1599"/>
      <c r="J27" s="1882"/>
      <c r="K27" s="1882"/>
      <c r="L27" s="1883"/>
    </row>
    <row r="28" spans="2:19" ht="19.95" customHeight="1" x14ac:dyDescent="0.25">
      <c r="B28" s="999" t="s">
        <v>3400</v>
      </c>
      <c r="C28" s="1902" t="s">
        <v>3687</v>
      </c>
      <c r="D28" s="1903"/>
      <c r="E28" s="1903"/>
      <c r="F28" s="1903"/>
      <c r="G28" s="1903"/>
      <c r="H28" s="1904"/>
      <c r="I28" s="1599"/>
      <c r="J28" s="1882"/>
      <c r="K28" s="1882"/>
      <c r="L28" s="1883"/>
    </row>
    <row r="29" spans="2:19" ht="19.95" customHeight="1" x14ac:dyDescent="0.25">
      <c r="B29" s="1547"/>
      <c r="C29" s="1905" t="s">
        <v>1895</v>
      </c>
      <c r="D29" s="1906"/>
      <c r="E29" s="1906"/>
      <c r="F29" s="1907"/>
      <c r="G29" s="1905" t="s">
        <v>1896</v>
      </c>
      <c r="H29" s="1911"/>
      <c r="I29" s="1600"/>
      <c r="J29" s="1882"/>
      <c r="K29" s="1882"/>
      <c r="L29" s="1883"/>
    </row>
    <row r="30" spans="2:19" ht="19.95" customHeight="1" x14ac:dyDescent="0.25">
      <c r="B30" s="999" t="s">
        <v>1897</v>
      </c>
      <c r="C30" s="1908">
        <f>'4. Summary &amp; Totals'!C54</f>
        <v>107.81990521327015</v>
      </c>
      <c r="D30" s="1909"/>
      <c r="E30" s="1909"/>
      <c r="F30" s="1910"/>
      <c r="G30" s="1912">
        <f>'2. Roles &amp; Pricing'!F289/'2. Roles &amp; Pricing'!M289</f>
        <v>47.075829383886258</v>
      </c>
      <c r="H30" s="1913"/>
      <c r="I30" s="1599" t="str">
        <f>IF(OR(C30="",E30=""),"MISSING INFO","")</f>
        <v>MISSING INFO</v>
      </c>
      <c r="J30" s="1882"/>
      <c r="K30" s="1882"/>
      <c r="L30" s="1883"/>
    </row>
    <row r="31" spans="2:19" ht="19.95" customHeight="1" x14ac:dyDescent="0.25">
      <c r="B31" s="999" t="s">
        <v>1898</v>
      </c>
      <c r="C31" s="1908">
        <f>'4. Summary &amp; Totals'!C86</f>
        <v>175</v>
      </c>
      <c r="D31" s="1909"/>
      <c r="E31" s="1909"/>
      <c r="F31" s="1910"/>
      <c r="G31" s="1912">
        <f>SUMIFS('2. Roles &amp; Pricing'!$F$291:$F$390,'2. Roles &amp; Pricing'!$W$48:$W$147,"Onshore")/SUMIFS('2. Roles &amp; Pricing'!$M$291:$M$390,'2. Roles &amp; Pricing'!$W$48:$W$147,"Onshore")</f>
        <v>80.833333333333329</v>
      </c>
      <c r="H31" s="1913"/>
      <c r="I31" s="1599" t="str">
        <f>IF(OR(C31="",E31=""),"MISSING INFO","")</f>
        <v>MISSING INFO</v>
      </c>
      <c r="J31" s="1882"/>
      <c r="K31" s="1882"/>
      <c r="L31" s="1883"/>
    </row>
    <row r="32" spans="2:19" ht="19.95" customHeight="1" x14ac:dyDescent="0.25">
      <c r="B32" s="1000" t="s">
        <v>1899</v>
      </c>
      <c r="C32" s="1996">
        <f>'4. Summary &amp; Totals'!C85</f>
        <v>57.851239669421489</v>
      </c>
      <c r="D32" s="1997"/>
      <c r="E32" s="1997"/>
      <c r="F32" s="1998"/>
      <c r="G32" s="1994">
        <f>IFERROR(SUMIFS('2. Roles &amp; Pricing'!$F$291:$F$390,'2. Roles &amp; Pricing'!$W$48:$W$147,"Offshore")/SUMIFS('2. Roles &amp; Pricing'!$M$291:$M$390,'2. Roles &amp; Pricing'!$W$48:$W$147,"Offshore"),"")</f>
        <v>21.966942148760332</v>
      </c>
      <c r="H32" s="1995"/>
      <c r="I32" s="1602"/>
      <c r="J32" s="1928"/>
      <c r="K32" s="1928"/>
      <c r="L32" s="1929"/>
    </row>
    <row r="33" spans="2:12" x14ac:dyDescent="0.25">
      <c r="B33" s="1001"/>
      <c r="C33" s="1001"/>
      <c r="D33" s="1001"/>
      <c r="E33" s="1001"/>
      <c r="F33" s="1001"/>
      <c r="G33" s="1002"/>
      <c r="H33" s="1003"/>
      <c r="I33" s="1003"/>
      <c r="J33" s="1003"/>
    </row>
    <row r="34" spans="2:12" ht="22.05" customHeight="1" x14ac:dyDescent="0.25">
      <c r="B34" s="1974" t="s">
        <v>1900</v>
      </c>
      <c r="C34" s="1982"/>
      <c r="D34" s="1982"/>
      <c r="E34" s="1982"/>
      <c r="F34" s="1982"/>
      <c r="G34" s="1982"/>
      <c r="H34" s="1982"/>
      <c r="I34" s="1993"/>
      <c r="J34" s="1964"/>
      <c r="K34" s="1949"/>
      <c r="L34" s="1950"/>
    </row>
    <row r="35" spans="2:12" ht="22.05" customHeight="1" x14ac:dyDescent="0.25">
      <c r="B35" s="1603" t="s">
        <v>1901</v>
      </c>
      <c r="C35" s="1986" t="str">
        <f>'1. Project Inputs'!C28</f>
        <v>T&amp;M</v>
      </c>
      <c r="D35" s="1987"/>
      <c r="E35" s="1987"/>
      <c r="F35" s="1987"/>
      <c r="G35" s="1987"/>
      <c r="H35" s="1988"/>
      <c r="I35" s="1604" t="str">
        <f>IFERROR(IF(VLOOKUP(C35,P75:R78,3,0)=0,"",VLOOKUP(C35,P75:R78,3,0)),"MISSING INFO")</f>
        <v>MISSING INFO</v>
      </c>
      <c r="J35" s="1965"/>
      <c r="K35" s="1966"/>
      <c r="L35" s="1967"/>
    </row>
    <row r="36" spans="2:12" ht="22.05" customHeight="1" x14ac:dyDescent="0.25">
      <c r="B36" s="1000" t="s">
        <v>1902</v>
      </c>
      <c r="C36" s="1989">
        <f>'4. Summary &amp; Totals'!C56</f>
        <v>0.05</v>
      </c>
      <c r="D36" s="1990"/>
      <c r="E36" s="1990"/>
      <c r="F36" s="1990"/>
      <c r="G36" s="1990"/>
      <c r="H36" s="1991"/>
      <c r="I36" s="1004" t="str">
        <f>IF(C36="","MISSING INFO",IFERROR(IF(C36&lt;VLOOKUP(C35,P75:Q78,2,0),"&lt;"&amp;TEXT(VLOOKUP(C35,P75:Q78,2,0),"0%"),""),"MISSING INFO"))</f>
        <v>MISSING INFO</v>
      </c>
      <c r="J36" s="1918"/>
      <c r="K36" s="1919"/>
      <c r="L36" s="1920"/>
    </row>
    <row r="37" spans="2:12" x14ac:dyDescent="0.25">
      <c r="B37" s="751"/>
      <c r="C37" s="751"/>
      <c r="D37" s="751"/>
      <c r="E37" s="751"/>
      <c r="F37" s="751"/>
      <c r="G37" s="752"/>
      <c r="H37" s="753"/>
      <c r="I37" s="753"/>
      <c r="J37" s="753"/>
    </row>
    <row r="38" spans="2:12" ht="24" customHeight="1" x14ac:dyDescent="0.25">
      <c r="B38" s="1924" t="s">
        <v>1903</v>
      </c>
      <c r="C38" s="1925"/>
      <c r="D38" s="1925"/>
      <c r="E38" s="1925"/>
      <c r="F38" s="1925"/>
      <c r="G38" s="1925"/>
      <c r="H38" s="1925"/>
      <c r="I38" s="1925"/>
      <c r="J38" s="1925"/>
      <c r="K38" s="1925"/>
      <c r="L38" s="1926"/>
    </row>
    <row r="39" spans="2:12" ht="25.05" customHeight="1" x14ac:dyDescent="0.25">
      <c r="B39" s="998" t="s">
        <v>1904</v>
      </c>
      <c r="C39" s="1884">
        <f>COUNTA('2. Roles &amp; Pricing'!$K$48:$K$147)</f>
        <v>8</v>
      </c>
      <c r="D39" s="1885"/>
      <c r="E39" s="1885"/>
      <c r="F39" s="1885"/>
      <c r="G39" s="1885"/>
      <c r="H39" s="1886"/>
      <c r="I39" s="1005" t="str">
        <f>IF(G39="","MISSING INFO","")</f>
        <v>MISSING INFO</v>
      </c>
      <c r="J39" s="1893"/>
      <c r="K39" s="1894"/>
      <c r="L39" s="1895"/>
    </row>
    <row r="40" spans="2:12" ht="30" customHeight="1" x14ac:dyDescent="0.25">
      <c r="B40" s="999" t="s">
        <v>1905</v>
      </c>
      <c r="C40" s="1887" t="s">
        <v>216</v>
      </c>
      <c r="D40" s="1888"/>
      <c r="E40" s="1888"/>
      <c r="F40" s="1888"/>
      <c r="G40" s="1888"/>
      <c r="H40" s="1889"/>
      <c r="I40" s="997" t="str">
        <f>IFERROR(IF(VLOOKUP(C40,P82:R83,3,0)=0,"",VLOOKUP(C40,P82:R83,3,0)),"MISSING INFO")</f>
        <v>MISSING INFO</v>
      </c>
      <c r="J40" s="1881"/>
      <c r="K40" s="1882"/>
      <c r="L40" s="1883"/>
    </row>
    <row r="41" spans="2:12" ht="14.55" customHeight="1" x14ac:dyDescent="0.25">
      <c r="B41" s="999" t="s">
        <v>1907</v>
      </c>
      <c r="C41" s="1890" t="str">
        <f>IF(SUM(G42:G49)&lt;&gt;0,SUM(G42:G49),"")</f>
        <v/>
      </c>
      <c r="D41" s="1891"/>
      <c r="E41" s="1891"/>
      <c r="F41" s="1891"/>
      <c r="G41" s="1891"/>
      <c r="H41" s="1892"/>
      <c r="I41" s="997" t="str">
        <f>IF(H41="","MISSING INFO",IF(H41&lt;Q85,"&lt;"&amp;TEXT(Q85,"0%"),""))</f>
        <v>MISSING INFO</v>
      </c>
      <c r="J41" s="1881"/>
      <c r="K41" s="1882"/>
      <c r="L41" s="1883"/>
    </row>
    <row r="42" spans="2:12" x14ac:dyDescent="0.25">
      <c r="B42" s="1006"/>
      <c r="C42" s="1968" t="s">
        <v>3401</v>
      </c>
      <c r="D42" s="1969"/>
      <c r="E42" s="1970" t="s">
        <v>119</v>
      </c>
      <c r="F42" s="1971"/>
      <c r="G42" s="1972" t="s">
        <v>1929</v>
      </c>
      <c r="H42" s="1973"/>
      <c r="I42" s="1555"/>
      <c r="J42" s="1881"/>
      <c r="K42" s="1882"/>
      <c r="L42" s="1883"/>
    </row>
    <row r="43" spans="2:12" ht="21" customHeight="1" x14ac:dyDescent="0.25">
      <c r="B43" s="1006"/>
      <c r="C43" s="1557" t="s">
        <v>2101</v>
      </c>
      <c r="D43" s="1557" t="s">
        <v>3402</v>
      </c>
      <c r="E43" s="1557" t="s">
        <v>2101</v>
      </c>
      <c r="F43" s="1557" t="s">
        <v>3402</v>
      </c>
      <c r="G43" s="1557" t="s">
        <v>2101</v>
      </c>
      <c r="H43" s="1557" t="s">
        <v>3402</v>
      </c>
      <c r="I43" s="1555"/>
      <c r="J43" s="1881"/>
      <c r="K43" s="1882"/>
      <c r="L43" s="1883"/>
    </row>
    <row r="44" spans="2:12" ht="21" customHeight="1" x14ac:dyDescent="0.25">
      <c r="B44" s="999" t="s">
        <v>1908</v>
      </c>
      <c r="C44" s="1557"/>
      <c r="D44" s="1557"/>
      <c r="E44" s="1557"/>
      <c r="F44" s="1557"/>
      <c r="G44" s="1557"/>
      <c r="H44" s="1557"/>
      <c r="I44" s="1555"/>
      <c r="J44" s="1881"/>
      <c r="K44" s="1882"/>
      <c r="L44" s="1883"/>
    </row>
    <row r="45" spans="2:12" ht="21" customHeight="1" x14ac:dyDescent="0.25">
      <c r="B45" s="999" t="s">
        <v>3403</v>
      </c>
      <c r="C45" s="1557"/>
      <c r="D45" s="1557"/>
      <c r="E45" s="1557"/>
      <c r="F45" s="1557"/>
      <c r="G45" s="1557"/>
      <c r="H45" s="1557"/>
      <c r="I45" s="1555"/>
      <c r="J45" s="1881"/>
      <c r="K45" s="1882"/>
      <c r="L45" s="1883"/>
    </row>
    <row r="46" spans="2:12" ht="21" customHeight="1" x14ac:dyDescent="0.25">
      <c r="B46" s="999" t="s">
        <v>3404</v>
      </c>
      <c r="C46" s="1557"/>
      <c r="D46" s="1557"/>
      <c r="E46" s="1557"/>
      <c r="F46" s="1557"/>
      <c r="G46" s="1557"/>
      <c r="H46" s="1557"/>
      <c r="I46" s="1555"/>
      <c r="J46" s="1881"/>
      <c r="K46" s="1882"/>
      <c r="L46" s="1883"/>
    </row>
    <row r="47" spans="2:12" ht="21" customHeight="1" x14ac:dyDescent="0.25">
      <c r="B47" s="999" t="s">
        <v>3405</v>
      </c>
      <c r="C47" s="1552"/>
      <c r="D47" s="1552"/>
      <c r="E47" s="1552"/>
      <c r="F47" s="1552"/>
      <c r="G47" s="1553"/>
      <c r="H47" s="1554"/>
      <c r="I47" s="1555"/>
      <c r="J47" s="1881"/>
      <c r="K47" s="1882"/>
      <c r="L47" s="1883"/>
    </row>
    <row r="48" spans="2:12" ht="21" customHeight="1" x14ac:dyDescent="0.25">
      <c r="B48" s="999" t="s">
        <v>3406</v>
      </c>
      <c r="C48" s="1552"/>
      <c r="D48" s="1552"/>
      <c r="E48" s="1552"/>
      <c r="F48" s="1552"/>
      <c r="G48" s="1553"/>
      <c r="H48" s="1554"/>
      <c r="I48" s="1555"/>
      <c r="J48" s="1881"/>
      <c r="K48" s="1882"/>
      <c r="L48" s="1883"/>
    </row>
    <row r="49" spans="2:12" ht="21" customHeight="1" x14ac:dyDescent="0.25">
      <c r="B49" s="999" t="s">
        <v>3407</v>
      </c>
      <c r="C49" s="1552"/>
      <c r="D49" s="1552"/>
      <c r="E49" s="1552"/>
      <c r="F49" s="1552"/>
      <c r="G49" s="1553"/>
      <c r="H49" s="1554"/>
      <c r="I49" s="1555"/>
      <c r="J49" s="1881"/>
      <c r="K49" s="1882"/>
      <c r="L49" s="1883"/>
    </row>
    <row r="50" spans="2:12" ht="45" customHeight="1" x14ac:dyDescent="0.25">
      <c r="B50" s="1000" t="s">
        <v>3408</v>
      </c>
      <c r="C50" s="1548"/>
      <c r="D50" s="1548"/>
      <c r="E50" s="1548"/>
      <c r="F50" s="1548"/>
      <c r="G50" s="1917"/>
      <c r="H50" s="1917"/>
      <c r="I50" s="1556"/>
      <c r="J50" s="1927"/>
      <c r="K50" s="1928"/>
      <c r="L50" s="1929"/>
    </row>
    <row r="51" spans="2:12" x14ac:dyDescent="0.25">
      <c r="B51" s="411"/>
      <c r="C51" s="411"/>
      <c r="D51" s="411"/>
      <c r="E51" s="411"/>
      <c r="F51" s="411"/>
      <c r="G51" s="411"/>
      <c r="H51" s="411"/>
      <c r="I51" s="411"/>
      <c r="J51" s="411"/>
    </row>
    <row r="52" spans="2:12" ht="24" customHeight="1" x14ac:dyDescent="0.25">
      <c r="B52" s="1974" t="s">
        <v>1909</v>
      </c>
      <c r="C52" s="1982"/>
      <c r="D52" s="1982"/>
      <c r="E52" s="1982"/>
      <c r="F52" s="1983"/>
      <c r="G52" s="1559"/>
      <c r="H52" s="1559"/>
      <c r="I52" s="1559"/>
      <c r="J52" s="1559"/>
    </row>
    <row r="53" spans="2:12" ht="45" customHeight="1" x14ac:dyDescent="0.25">
      <c r="B53" s="998" t="s">
        <v>1910</v>
      </c>
      <c r="C53" s="1976" t="s">
        <v>216</v>
      </c>
      <c r="D53" s="1977"/>
      <c r="E53" s="1977"/>
      <c r="F53" s="1978"/>
      <c r="G53" s="1560"/>
      <c r="H53" s="1560"/>
      <c r="I53" s="1561"/>
      <c r="J53" s="1562"/>
    </row>
    <row r="54" spans="2:12" ht="45" customHeight="1" x14ac:dyDescent="0.25">
      <c r="B54" s="1000" t="s">
        <v>1911</v>
      </c>
      <c r="C54" s="1979" t="s">
        <v>216</v>
      </c>
      <c r="D54" s="1980"/>
      <c r="E54" s="1980"/>
      <c r="F54" s="1981"/>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74" t="s">
        <v>1912</v>
      </c>
      <c r="C56" s="1975"/>
      <c r="D56" s="1975"/>
      <c r="E56" s="1975"/>
      <c r="F56" s="1975"/>
      <c r="G56" s="1926"/>
      <c r="H56" s="1559"/>
      <c r="I56" s="1559"/>
      <c r="J56" s="1559"/>
    </row>
    <row r="57" spans="2:12" ht="30" customHeight="1" x14ac:dyDescent="0.25">
      <c r="B57" s="1558" t="s">
        <v>1913</v>
      </c>
      <c r="C57" s="1984" t="s">
        <v>2297</v>
      </c>
      <c r="D57" s="1985"/>
      <c r="E57" s="1985"/>
      <c r="F57" s="1985"/>
      <c r="G57" s="1564" t="str">
        <f>IFERROR(IF(VLOOKUP(C57,P102:R103,3,0)=0,"",VLOOKUP(C57,P102:R103,3,0)),"MISSING INFO")</f>
        <v>MISSING INFO</v>
      </c>
      <c r="H57" s="1560"/>
      <c r="I57" s="1560"/>
      <c r="J57" s="1563"/>
    </row>
    <row r="58" spans="2:12" x14ac:dyDescent="0.25">
      <c r="B58" s="1558" t="s">
        <v>1914</v>
      </c>
      <c r="C58" s="1930" t="s">
        <v>2296</v>
      </c>
      <c r="D58" s="1931"/>
      <c r="E58" s="1931"/>
      <c r="F58" s="1931"/>
      <c r="G58" s="1565" t="str">
        <f>IFERROR(IF(VLOOKUP(C58,P105:R107,3,0)=0,"",VLOOKUP(C58,P105:R107,3,0)),"MISSING INFO")</f>
        <v>MISSING INFO</v>
      </c>
      <c r="H58" s="1560"/>
      <c r="I58" s="1560"/>
      <c r="J58" s="1563"/>
    </row>
    <row r="59" spans="2:12" ht="24" customHeight="1" x14ac:dyDescent="0.25">
      <c r="B59" s="1558" t="s">
        <v>1915</v>
      </c>
      <c r="C59" s="1930" t="s">
        <v>2298</v>
      </c>
      <c r="D59" s="1931"/>
      <c r="E59" s="1931"/>
      <c r="F59" s="1931"/>
      <c r="G59" s="1565" t="str">
        <f>IFERROR(IF(VLOOKUP(C59,P109:R111,3,0)=0,"",VLOOKUP(C59,P109:R111,3,0)),"MISSING INFO")</f>
        <v>MISSING INFO</v>
      </c>
      <c r="H59" s="1560"/>
      <c r="I59" s="1560"/>
      <c r="J59" s="1562"/>
    </row>
    <row r="60" spans="2:12" ht="13.95" customHeight="1" x14ac:dyDescent="0.25">
      <c r="B60" s="1558" t="s">
        <v>3409</v>
      </c>
      <c r="C60" s="1930" t="s">
        <v>2300</v>
      </c>
      <c r="D60" s="1931"/>
      <c r="E60" s="1931"/>
      <c r="F60" s="1931"/>
      <c r="G60" s="1565" t="str">
        <f>IFERROR(IF(VLOOKUP(C60,P115:R121,3,0)=0,"",VLOOKUP(C60,P115:R121,3,0)),"MISSING INFO")</f>
        <v>MISSING INFO</v>
      </c>
      <c r="H60" s="1560"/>
      <c r="I60" s="1560"/>
      <c r="J60" s="1563"/>
    </row>
    <row r="61" spans="2:12" ht="13.95" customHeight="1" x14ac:dyDescent="0.25">
      <c r="B61" s="1558" t="s">
        <v>3410</v>
      </c>
      <c r="C61" s="1930" t="s">
        <v>2299</v>
      </c>
      <c r="D61" s="1931"/>
      <c r="E61" s="1931"/>
      <c r="F61" s="1931"/>
      <c r="G61" s="1565" t="str">
        <f>IFERROR(IF(VLOOKUP(C61,P123:R124,3,0)=0,"",VLOOKUP(C61,P123:R124,3,0)),"MISSING INFO")</f>
        <v>MISSING INFO</v>
      </c>
      <c r="H61" s="1560"/>
      <c r="I61" s="1560"/>
      <c r="J61" s="1563"/>
    </row>
    <row r="62" spans="2:12" x14ac:dyDescent="0.25">
      <c r="B62" s="1558" t="s">
        <v>1916</v>
      </c>
      <c r="C62" s="1930" t="s">
        <v>2299</v>
      </c>
      <c r="D62" s="1931"/>
      <c r="E62" s="1931"/>
      <c r="F62" s="1931"/>
      <c r="G62" s="1565"/>
      <c r="H62" s="1560"/>
      <c r="I62" s="1560"/>
      <c r="J62" s="1563"/>
    </row>
    <row r="63" spans="2:12" x14ac:dyDescent="0.25">
      <c r="B63" s="1558" t="s">
        <v>3411</v>
      </c>
      <c r="C63" s="1932" t="s">
        <v>216</v>
      </c>
      <c r="D63" s="1933"/>
      <c r="E63" s="1933"/>
      <c r="F63" s="1933"/>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34" t="s">
        <v>1919</v>
      </c>
      <c r="D67" s="1935"/>
      <c r="E67" s="1935"/>
      <c r="F67" s="1936"/>
      <c r="G67" s="1915" t="s">
        <v>1919</v>
      </c>
      <c r="H67" s="1915"/>
      <c r="I67" s="1915"/>
      <c r="J67" s="1916"/>
    </row>
    <row r="68" spans="2:18" ht="42" customHeight="1" x14ac:dyDescent="0.25">
      <c r="B68" s="1160" t="str" cm="1">
        <f t="array" ref="B68">IF(COUNTIF(I26:I61,"="&amp;"MISSING INFO")&gt;0,P143,IF(SUMPRODUCT(--(LEN(I26:I61)))&gt;0,P141,P142))</f>
        <v>Missing Information</v>
      </c>
      <c r="C68" s="1549"/>
      <c r="D68" s="1549"/>
      <c r="E68" s="1549"/>
      <c r="F68" s="1549"/>
      <c r="G68" s="1921" t="str">
        <f>VLOOKUP(B68,P141:Q143,2,0)</f>
        <v>Complete all required fields above to clear all "MISSING INFO" error messages.</v>
      </c>
      <c r="H68" s="1922"/>
      <c r="I68" s="1922"/>
      <c r="J68" s="1923"/>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14" t="s">
        <v>1901</v>
      </c>
      <c r="Q73" s="1914"/>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14" t="s">
        <v>1909</v>
      </c>
      <c r="Q88" s="1914"/>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G31:H31"/>
    <mergeCell ref="G32:H32"/>
    <mergeCell ref="C31:F31"/>
    <mergeCell ref="C32:F32"/>
    <mergeCell ref="J32:L32"/>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M13:N13"/>
    <mergeCell ref="C14:F14"/>
    <mergeCell ref="C15:F15"/>
    <mergeCell ref="C16:F16"/>
    <mergeCell ref="C17:F17"/>
    <mergeCell ref="C13:F13"/>
    <mergeCell ref="I2:K2"/>
    <mergeCell ref="C18:F18"/>
    <mergeCell ref="C19:F19"/>
    <mergeCell ref="C20:F20"/>
    <mergeCell ref="B23:J23"/>
    <mergeCell ref="B3:H3"/>
    <mergeCell ref="B12:F12"/>
    <mergeCell ref="B7:J8"/>
    <mergeCell ref="B11:D11"/>
    <mergeCell ref="B6:D6"/>
    <mergeCell ref="C62:F62"/>
    <mergeCell ref="C63:F63"/>
    <mergeCell ref="C67:F67"/>
    <mergeCell ref="C59:F59"/>
    <mergeCell ref="C60:F60"/>
    <mergeCell ref="C61:F61"/>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26:H26"/>
    <mergeCell ref="C27:H27"/>
    <mergeCell ref="C28:H28"/>
    <mergeCell ref="C29:F29"/>
    <mergeCell ref="C30:F30"/>
    <mergeCell ref="G29:H29"/>
    <mergeCell ref="G30:H30"/>
    <mergeCell ref="J26:L26"/>
    <mergeCell ref="J27:L27"/>
    <mergeCell ref="J28:L28"/>
    <mergeCell ref="J30:L30"/>
    <mergeCell ref="J31:L31"/>
    <mergeCell ref="J29:L29"/>
    <mergeCell ref="J46:L46"/>
    <mergeCell ref="C39:H39"/>
    <mergeCell ref="C40:H40"/>
    <mergeCell ref="C41:H41"/>
    <mergeCell ref="J39:L39"/>
    <mergeCell ref="J40:L40"/>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01"/>
      <c r="X1" s="2001"/>
      <c r="Y1" s="2001"/>
    </row>
    <row r="2" spans="1:25" s="469" customFormat="1" ht="20.25" customHeight="1" x14ac:dyDescent="0.25">
      <c r="C2" s="818" t="s">
        <v>2306</v>
      </c>
      <c r="D2" s="698"/>
      <c r="E2" s="698"/>
      <c r="F2" s="699"/>
      <c r="G2" s="700"/>
      <c r="H2" s="700"/>
      <c r="I2" s="700"/>
      <c r="J2" s="700"/>
      <c r="L2" s="1704"/>
      <c r="M2" s="1704"/>
      <c r="N2" s="1704"/>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02" t="s">
        <v>3262</v>
      </c>
      <c r="D5" s="2002"/>
      <c r="E5" s="2002"/>
      <c r="F5" s="2002"/>
      <c r="G5" s="1470"/>
      <c r="H5" s="1470"/>
      <c r="I5" s="1470"/>
      <c r="J5" s="1470"/>
      <c r="L5" s="805"/>
      <c r="M5" s="805"/>
      <c r="N5" s="805"/>
      <c r="O5" s="1471"/>
      <c r="P5" s="1471"/>
      <c r="Q5" s="1471"/>
      <c r="R5" s="1471"/>
      <c r="W5" s="1072"/>
      <c r="X5" s="1073"/>
      <c r="Y5" s="1073"/>
    </row>
    <row r="6" spans="1:25" s="812" customFormat="1" ht="19.95" customHeight="1" x14ac:dyDescent="0.3">
      <c r="C6" s="1999" t="s">
        <v>3263</v>
      </c>
      <c r="D6" s="1999"/>
      <c r="E6" s="1999"/>
      <c r="F6" s="1999"/>
      <c r="G6" s="815"/>
      <c r="H6" s="815"/>
      <c r="I6" s="815"/>
      <c r="J6" s="815"/>
      <c r="L6" s="805"/>
      <c r="M6" s="805"/>
      <c r="N6" s="805"/>
      <c r="O6" s="816"/>
      <c r="P6" s="816"/>
      <c r="Q6" s="816"/>
      <c r="R6" s="816"/>
      <c r="W6" s="1072"/>
      <c r="X6" s="1073"/>
      <c r="Y6" s="1073"/>
    </row>
    <row r="7" spans="1:25" s="812" customFormat="1" ht="19.95" customHeight="1" x14ac:dyDescent="0.3">
      <c r="C7" s="2000" t="s">
        <v>2274</v>
      </c>
      <c r="D7" s="2000"/>
      <c r="E7" s="2000"/>
      <c r="F7" s="2000"/>
      <c r="G7" s="815"/>
      <c r="H7" s="815"/>
      <c r="I7" s="815"/>
      <c r="J7" s="815"/>
      <c r="L7" s="805"/>
      <c r="M7" s="805"/>
      <c r="N7" s="805"/>
      <c r="O7" s="816"/>
      <c r="P7" s="816"/>
      <c r="Q7" s="816"/>
      <c r="R7" s="816"/>
      <c r="W7" s="1072"/>
      <c r="X7" s="1073"/>
      <c r="Y7" s="1073"/>
    </row>
    <row r="8" spans="1:25" s="812" customFormat="1" ht="29.55" customHeight="1" x14ac:dyDescent="0.3">
      <c r="C8" s="2000" t="s">
        <v>2275</v>
      </c>
      <c r="D8" s="2000"/>
      <c r="E8" s="2000"/>
      <c r="F8" s="2000"/>
      <c r="G8" s="815"/>
      <c r="H8" s="815"/>
      <c r="I8" s="815"/>
      <c r="J8" s="815"/>
      <c r="L8" s="805"/>
      <c r="M8" s="805"/>
      <c r="N8" s="805"/>
      <c r="O8" s="816"/>
      <c r="P8" s="816"/>
      <c r="Q8" s="816"/>
      <c r="R8" s="816"/>
      <c r="W8" s="1072"/>
      <c r="X8" s="1073"/>
      <c r="Y8" s="1073"/>
    </row>
    <row r="9" spans="1:25" s="812" customFormat="1" ht="29.55" customHeight="1" x14ac:dyDescent="0.3">
      <c r="C9" s="2000" t="s">
        <v>3264</v>
      </c>
      <c r="D9" s="2000"/>
      <c r="E9" s="2000"/>
      <c r="F9" s="2000"/>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05"/>
      <c r="N11" s="2005"/>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04"/>
      <c r="N12" s="2004"/>
      <c r="O12" s="660"/>
      <c r="P12" s="660"/>
      <c r="Q12" s="660"/>
      <c r="R12" s="660"/>
      <c r="W12" s="1074"/>
      <c r="X12" s="1075"/>
      <c r="Y12" s="1075"/>
    </row>
    <row r="13" spans="1:25" ht="17.399999999999999" x14ac:dyDescent="0.25">
      <c r="C13" s="2022" t="s">
        <v>2199</v>
      </c>
      <c r="D13" s="2023"/>
      <c r="E13" s="395"/>
      <c r="F13" s="2010"/>
      <c r="G13" s="2010"/>
      <c r="H13" s="665"/>
      <c r="I13" s="665"/>
      <c r="J13" s="665"/>
      <c r="K13" s="484"/>
      <c r="L13" s="664"/>
      <c r="M13" s="2004"/>
      <c r="N13" s="2004"/>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04"/>
      <c r="N14" s="2004"/>
      <c r="O14" s="666"/>
      <c r="P14" s="666"/>
      <c r="Q14" s="666"/>
      <c r="R14" s="666"/>
      <c r="S14" s="413"/>
      <c r="T14" s="413"/>
      <c r="U14" s="667"/>
      <c r="V14" s="667"/>
      <c r="W14" s="1077"/>
      <c r="X14" s="2003"/>
      <c r="Y14" s="2003"/>
    </row>
    <row r="15" spans="1:25" ht="18" customHeight="1" x14ac:dyDescent="0.25">
      <c r="C15" s="867" t="s">
        <v>17</v>
      </c>
      <c r="D15" s="991" t="str">
        <f>'1. Project Inputs'!C18</f>
        <v>C Spire</v>
      </c>
      <c r="F15" s="2024"/>
      <c r="G15" s="411"/>
      <c r="H15" s="411"/>
      <c r="I15" s="411"/>
      <c r="J15" s="411"/>
      <c r="K15" s="671"/>
      <c r="L15" s="672"/>
      <c r="M15" s="2004"/>
      <c r="N15" s="2004"/>
      <c r="O15" s="673"/>
      <c r="P15" s="673"/>
      <c r="Q15" s="673"/>
      <c r="R15" s="673"/>
      <c r="S15" s="413"/>
      <c r="T15" s="413"/>
      <c r="U15" s="2009"/>
      <c r="V15" s="411"/>
      <c r="W15" s="399"/>
    </row>
    <row r="16" spans="1:25" ht="18" customHeight="1" x14ac:dyDescent="0.25">
      <c r="C16" s="867" t="s">
        <v>47</v>
      </c>
      <c r="D16" s="1021" t="str">
        <f>'1. Project Inputs'!C19</f>
        <v>TA Digital</v>
      </c>
      <c r="F16" s="2024"/>
      <c r="G16" s="411"/>
      <c r="H16" s="411"/>
      <c r="I16" s="411"/>
      <c r="J16" s="411"/>
      <c r="K16" s="671"/>
      <c r="L16" s="671"/>
      <c r="M16" s="641"/>
      <c r="N16" s="647"/>
      <c r="O16" s="673"/>
      <c r="P16" s="673"/>
      <c r="Q16" s="673"/>
      <c r="R16" s="673"/>
      <c r="S16" s="413"/>
      <c r="T16" s="413"/>
      <c r="U16" s="2009"/>
      <c r="V16" s="411"/>
      <c r="W16" s="399"/>
    </row>
    <row r="17" spans="3:23" ht="17.25" customHeight="1" x14ac:dyDescent="0.25">
      <c r="C17" s="867" t="s">
        <v>48</v>
      </c>
      <c r="D17" s="991" t="str">
        <f>'1. Project Inputs'!C20</f>
        <v>No</v>
      </c>
      <c r="F17" s="2024"/>
      <c r="G17" s="411"/>
      <c r="H17" s="411"/>
      <c r="I17" s="411"/>
      <c r="J17" s="411"/>
      <c r="K17" s="671"/>
      <c r="L17" s="671"/>
      <c r="M17" s="641"/>
      <c r="N17" s="647"/>
      <c r="O17" s="673"/>
      <c r="P17" s="673"/>
      <c r="Q17" s="673"/>
      <c r="R17" s="673"/>
      <c r="S17" s="413"/>
      <c r="T17" s="413"/>
      <c r="U17" s="2009"/>
      <c r="V17" s="411"/>
      <c r="W17" s="399"/>
    </row>
    <row r="18" spans="3:23" ht="16.05" customHeight="1" x14ac:dyDescent="0.25">
      <c r="C18" s="962" t="s">
        <v>2064</v>
      </c>
      <c r="D18" s="991">
        <f>'1. Project Inputs'!C22</f>
        <v>1324</v>
      </c>
      <c r="E18" s="519"/>
      <c r="F18" s="2024"/>
      <c r="G18" s="411"/>
      <c r="H18" s="411"/>
      <c r="I18" s="411"/>
      <c r="J18" s="411"/>
      <c r="K18" s="671"/>
      <c r="L18" s="671"/>
      <c r="M18" s="641"/>
      <c r="N18" s="647"/>
      <c r="O18" s="673"/>
      <c r="P18" s="673"/>
      <c r="Q18" s="673"/>
      <c r="R18" s="673"/>
      <c r="S18" s="413"/>
      <c r="T18" s="413"/>
      <c r="U18" s="2009"/>
      <c r="V18" s="411"/>
      <c r="W18" s="399"/>
    </row>
    <row r="19" spans="3:23" ht="16.05" customHeight="1" x14ac:dyDescent="0.25">
      <c r="C19" s="962" t="s">
        <v>22</v>
      </c>
      <c r="D19" s="991" t="str">
        <f>'1. Project Inputs'!C23</f>
        <v>RaisinAnalytics</v>
      </c>
      <c r="E19" s="519"/>
      <c r="F19" s="2024"/>
      <c r="G19" s="411"/>
      <c r="H19" s="411"/>
      <c r="I19" s="411"/>
      <c r="J19" s="411"/>
      <c r="K19" s="671"/>
      <c r="L19" s="671"/>
      <c r="M19" s="641"/>
      <c r="N19" s="647"/>
      <c r="O19" s="673"/>
      <c r="P19" s="673"/>
      <c r="Q19" s="673"/>
      <c r="R19" s="673"/>
      <c r="S19" s="413"/>
      <c r="T19" s="413"/>
      <c r="U19" s="2009"/>
      <c r="V19" s="411"/>
      <c r="W19" s="399"/>
    </row>
    <row r="20" spans="3:23" ht="16.05" customHeight="1" x14ac:dyDescent="0.25">
      <c r="C20" s="962" t="s">
        <v>23</v>
      </c>
      <c r="D20" s="1021" t="str">
        <f>'1. Project Inputs'!C24</f>
        <v>Digital - Systems Implementation</v>
      </c>
      <c r="E20" s="519"/>
      <c r="F20" s="2024"/>
      <c r="G20" s="411"/>
      <c r="H20" s="411"/>
      <c r="I20" s="411"/>
      <c r="J20" s="411"/>
      <c r="K20" s="671"/>
      <c r="L20" s="671"/>
      <c r="M20" s="641"/>
      <c r="N20" s="675"/>
      <c r="O20" s="676"/>
      <c r="P20" s="676"/>
      <c r="Q20" s="676"/>
      <c r="R20" s="676"/>
      <c r="S20" s="413"/>
      <c r="T20" s="413"/>
      <c r="U20" s="2009"/>
      <c r="V20" s="411"/>
      <c r="W20" s="399"/>
    </row>
    <row r="21" spans="3:23" ht="16.05" customHeight="1" x14ac:dyDescent="0.25">
      <c r="C21" s="962" t="s">
        <v>49</v>
      </c>
      <c r="D21" s="1021" t="str">
        <f>'1. Project Inputs'!C25</f>
        <v>Standard Rates</v>
      </c>
      <c r="E21" s="519"/>
      <c r="F21" s="2024"/>
      <c r="G21" s="411"/>
      <c r="H21" s="411"/>
      <c r="I21" s="411"/>
      <c r="J21" s="411"/>
      <c r="K21" s="671"/>
      <c r="L21" s="671"/>
      <c r="M21" s="641"/>
      <c r="N21" s="677"/>
      <c r="O21" s="678"/>
      <c r="P21" s="678"/>
      <c r="Q21" s="678"/>
      <c r="R21" s="678"/>
      <c r="S21" s="413"/>
      <c r="T21" s="413"/>
      <c r="U21" s="2009"/>
      <c r="V21" s="411"/>
      <c r="W21" s="399"/>
    </row>
    <row r="22" spans="3:23" ht="31.05" customHeight="1" x14ac:dyDescent="0.25">
      <c r="C22" s="1022" t="s">
        <v>25</v>
      </c>
      <c r="D22" s="1021" t="str">
        <f>IF(ISBLANK('1. Project Inputs'!C26)," ",'1. Project Inputs'!C26)</f>
        <v xml:space="preserve"> </v>
      </c>
      <c r="F22" s="2024"/>
      <c r="G22" s="411"/>
      <c r="H22" s="411"/>
      <c r="I22" s="411"/>
      <c r="J22" s="411"/>
      <c r="K22" s="671"/>
      <c r="L22" s="671"/>
      <c r="M22" s="641"/>
      <c r="N22" s="677"/>
      <c r="O22" s="679"/>
      <c r="P22" s="679"/>
      <c r="Q22" s="679"/>
      <c r="R22" s="679"/>
      <c r="S22" s="413"/>
      <c r="T22" s="413"/>
      <c r="U22" s="2009"/>
      <c r="V22" s="411"/>
      <c r="W22" s="399"/>
    </row>
    <row r="23" spans="3:23" ht="16.05" customHeight="1" x14ac:dyDescent="0.25">
      <c r="C23" s="867" t="s">
        <v>26</v>
      </c>
      <c r="D23" s="1023">
        <f>'1. Project Inputs'!C27</f>
        <v>45916</v>
      </c>
      <c r="F23" s="2024"/>
      <c r="G23" s="411"/>
      <c r="H23" s="411"/>
      <c r="I23" s="411"/>
      <c r="J23" s="411"/>
      <c r="K23" s="671"/>
      <c r="L23" s="671"/>
      <c r="M23" s="641"/>
      <c r="N23" s="680"/>
      <c r="O23" s="673"/>
      <c r="P23" s="673"/>
      <c r="Q23" s="673"/>
      <c r="R23" s="673"/>
      <c r="S23" s="413"/>
      <c r="T23" s="413"/>
      <c r="U23" s="2009"/>
      <c r="V23" s="411"/>
      <c r="W23" s="399"/>
    </row>
    <row r="24" spans="3:23" ht="17.25" customHeight="1" x14ac:dyDescent="0.25">
      <c r="C24" s="867" t="s">
        <v>50</v>
      </c>
      <c r="D24" s="1024">
        <f>'1. Project Inputs'!C29</f>
        <v>30</v>
      </c>
      <c r="E24" s="681"/>
      <c r="F24" s="2024"/>
      <c r="G24" s="411"/>
      <c r="H24" s="411"/>
      <c r="I24" s="411"/>
      <c r="J24" s="411"/>
      <c r="K24" s="671"/>
      <c r="L24" s="671"/>
      <c r="M24" s="641"/>
      <c r="N24" s="505"/>
      <c r="O24" s="505"/>
      <c r="P24" s="505"/>
      <c r="Q24" s="505"/>
      <c r="R24" s="505"/>
      <c r="S24" s="413"/>
      <c r="T24" s="413"/>
      <c r="U24" s="2009"/>
      <c r="V24" s="411"/>
      <c r="W24" s="399"/>
    </row>
    <row r="25" spans="3:23" ht="15" x14ac:dyDescent="0.25">
      <c r="C25" s="867" t="s">
        <v>27</v>
      </c>
      <c r="D25" s="1024" t="str">
        <f>'1. Project Inputs'!C28</f>
        <v>T&amp;M</v>
      </c>
      <c r="E25" s="681"/>
      <c r="F25" s="2024"/>
      <c r="G25" s="411"/>
      <c r="H25" s="411"/>
      <c r="I25" s="411"/>
      <c r="J25" s="411"/>
      <c r="K25" s="671"/>
      <c r="L25" s="671"/>
      <c r="M25" s="641"/>
      <c r="N25" s="505"/>
      <c r="O25" s="505"/>
      <c r="P25" s="505"/>
      <c r="Q25" s="505"/>
      <c r="R25" s="505"/>
      <c r="S25" s="413"/>
      <c r="T25" s="413"/>
      <c r="U25" s="2009"/>
      <c r="V25" s="411"/>
      <c r="W25" s="399"/>
    </row>
    <row r="26" spans="3:23" ht="19.05" customHeight="1" x14ac:dyDescent="0.25">
      <c r="C26" s="962" t="s">
        <v>16</v>
      </c>
      <c r="D26" s="1473" t="str">
        <f>IF(ISBLANK('1. Project Inputs'!G17),"",'1. Project Inputs'!G17)</f>
        <v/>
      </c>
      <c r="E26" s="681"/>
      <c r="F26" s="2024"/>
      <c r="G26" s="411"/>
      <c r="H26" s="411"/>
      <c r="I26" s="411"/>
      <c r="J26" s="411"/>
      <c r="K26" s="671"/>
      <c r="L26" s="671"/>
      <c r="M26" s="641"/>
      <c r="N26" s="505"/>
      <c r="O26" s="505"/>
      <c r="P26" s="505"/>
      <c r="Q26" s="505"/>
      <c r="R26" s="505"/>
      <c r="S26" s="413"/>
      <c r="T26" s="413"/>
      <c r="U26" s="2009"/>
      <c r="V26" s="411"/>
      <c r="W26" s="399"/>
    </row>
    <row r="27" spans="3:23" ht="18" customHeight="1" x14ac:dyDescent="0.25">
      <c r="C27" s="962" t="s">
        <v>18</v>
      </c>
      <c r="D27" s="1473" t="str">
        <f>IF(ISBLANK('1. Project Inputs'!G18),"",'1. Project Inputs'!G18)</f>
        <v/>
      </c>
      <c r="E27" s="681"/>
      <c r="F27" s="2024"/>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2024"/>
      <c r="G28" s="411"/>
      <c r="H28" s="430"/>
      <c r="I28" s="430"/>
      <c r="J28" s="430"/>
      <c r="K28" s="682"/>
      <c r="L28" s="682"/>
      <c r="U28" s="674"/>
      <c r="V28" s="411"/>
      <c r="W28" s="399"/>
    </row>
    <row r="29" spans="3:23" ht="7.05" customHeight="1" x14ac:dyDescent="0.25">
      <c r="C29" s="683"/>
      <c r="D29" s="684"/>
      <c r="E29" s="681"/>
      <c r="F29" s="2024"/>
      <c r="G29" s="411"/>
      <c r="H29" s="430"/>
      <c r="I29" s="430"/>
      <c r="J29" s="430"/>
      <c r="K29" s="682"/>
      <c r="L29" s="682"/>
      <c r="U29" s="674"/>
      <c r="V29" s="411"/>
      <c r="W29" s="399"/>
    </row>
    <row r="30" spans="3:23" ht="15" x14ac:dyDescent="0.25">
      <c r="C30" s="1026" t="s">
        <v>2202</v>
      </c>
      <c r="E30" s="681"/>
      <c r="F30" s="2024"/>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2024"/>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2024"/>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2024"/>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2024"/>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29" t="s">
        <v>51</v>
      </c>
      <c r="C59" s="2031" t="s">
        <v>52</v>
      </c>
      <c r="D59" s="2015" t="s">
        <v>53</v>
      </c>
      <c r="E59" s="2033" t="s">
        <v>54</v>
      </c>
      <c r="F59" s="2013" t="s">
        <v>55</v>
      </c>
      <c r="G59" s="2015" t="s">
        <v>56</v>
      </c>
      <c r="H59" s="1399"/>
      <c r="I59" s="1399"/>
      <c r="J59" s="1399"/>
      <c r="K59" s="2015" t="s">
        <v>57</v>
      </c>
      <c r="L59" s="2025" t="s">
        <v>58</v>
      </c>
      <c r="M59" s="2011" t="s">
        <v>59</v>
      </c>
      <c r="N59" s="2012"/>
      <c r="O59" s="2012"/>
      <c r="P59" s="2011" t="s">
        <v>60</v>
      </c>
      <c r="Q59" s="2012"/>
      <c r="R59" s="2028"/>
      <c r="S59" s="2017" t="s">
        <v>61</v>
      </c>
      <c r="T59" s="2017" t="s">
        <v>62</v>
      </c>
    </row>
    <row r="60" spans="2:23" ht="21" customHeight="1" x14ac:dyDescent="0.25">
      <c r="B60" s="2030"/>
      <c r="C60" s="2032"/>
      <c r="D60" s="2016"/>
      <c r="E60" s="2034"/>
      <c r="F60" s="2014"/>
      <c r="G60" s="2016"/>
      <c r="H60" s="1400"/>
      <c r="I60" s="1400"/>
      <c r="J60" s="1400"/>
      <c r="K60" s="2016"/>
      <c r="L60" s="2026"/>
      <c r="M60" s="2019" t="str">
        <f>'1. Project Inputs'!C64</f>
        <v>Enter Option 1 Name</v>
      </c>
      <c r="N60" s="2019" t="str">
        <f>'1. Project Inputs'!C65</f>
        <v>Enter Option 2 Name</v>
      </c>
      <c r="O60" s="2019" t="str">
        <f>'1. Project Inputs'!C66</f>
        <v>Enter Option 3 Name</v>
      </c>
      <c r="P60" s="690"/>
      <c r="Q60" s="690"/>
      <c r="R60" s="690"/>
      <c r="S60" s="2018"/>
      <c r="T60" s="2018"/>
    </row>
    <row r="61" spans="2:23" ht="44.55" customHeight="1" thickBot="1" x14ac:dyDescent="0.3">
      <c r="B61" s="109"/>
      <c r="C61" s="691"/>
      <c r="D61" s="692"/>
      <c r="E61" s="693"/>
      <c r="F61" s="694"/>
      <c r="G61" s="692"/>
      <c r="H61" s="692"/>
      <c r="I61" s="692"/>
      <c r="J61" s="692"/>
      <c r="K61" s="692"/>
      <c r="L61" s="2027"/>
      <c r="M61" s="2020"/>
      <c r="N61" s="2020"/>
      <c r="O61" s="2020"/>
      <c r="P61" s="695"/>
      <c r="Q61" s="695"/>
      <c r="R61" s="695"/>
      <c r="S61" s="696"/>
      <c r="T61" s="2021"/>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06" t="s">
        <v>79</v>
      </c>
      <c r="D128" s="2007"/>
      <c r="E128" s="2008"/>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06" t="s">
        <v>83</v>
      </c>
      <c r="D146" s="2007"/>
      <c r="E146" s="2007"/>
      <c r="F146" s="2008"/>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F15:F34"/>
    <mergeCell ref="L59:L61"/>
    <mergeCell ref="P59:R59"/>
    <mergeCell ref="B59:B60"/>
    <mergeCell ref="C59:C60"/>
    <mergeCell ref="D59:D60"/>
    <mergeCell ref="E59:E60"/>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X14:Y14"/>
    <mergeCell ref="M15:N15"/>
    <mergeCell ref="M14:N14"/>
    <mergeCell ref="M13:N13"/>
    <mergeCell ref="M12:N12"/>
    <mergeCell ref="C6:F6"/>
    <mergeCell ref="C7:F7"/>
    <mergeCell ref="C8:F8"/>
    <mergeCell ref="C9:F9"/>
    <mergeCell ref="W1:Y1"/>
    <mergeCell ref="C5:F5"/>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5" t="s">
        <v>2303</v>
      </c>
      <c r="C7" s="2035"/>
      <c r="D7" s="2035"/>
      <c r="E7" s="2035"/>
      <c r="F7" s="2035"/>
      <c r="G7" s="2035"/>
      <c r="H7" s="2035"/>
      <c r="I7" s="2035"/>
      <c r="J7" s="2035"/>
      <c r="K7" s="395"/>
      <c r="L7" s="395"/>
      <c r="N7" s="395"/>
      <c r="O7" s="395"/>
      <c r="P7" s="395"/>
      <c r="Q7" s="395"/>
      <c r="R7" s="395"/>
    </row>
    <row r="8" spans="2:18" ht="14.25" customHeight="1" x14ac:dyDescent="0.25">
      <c r="B8" s="2036" t="s">
        <v>3268</v>
      </c>
      <c r="C8" s="2036"/>
      <c r="D8" s="2036"/>
      <c r="E8" s="2036"/>
      <c r="F8" s="2036"/>
      <c r="G8" s="2036"/>
      <c r="H8" s="2036"/>
      <c r="I8" s="2036"/>
      <c r="J8" s="2036"/>
      <c r="K8" s="395"/>
      <c r="L8" s="395"/>
      <c r="N8" s="395"/>
      <c r="O8" s="395"/>
      <c r="P8" s="395"/>
      <c r="Q8" s="395"/>
      <c r="R8" s="395"/>
    </row>
    <row r="9" spans="2:18" x14ac:dyDescent="0.25">
      <c r="B9" s="1687" t="s">
        <v>3269</v>
      </c>
      <c r="C9" s="1687"/>
      <c r="D9" s="1687"/>
      <c r="E9" s="1687"/>
      <c r="F9" s="1687"/>
      <c r="G9" s="1687"/>
      <c r="H9" s="1687"/>
      <c r="I9" s="1687"/>
      <c r="J9" s="1687"/>
      <c r="K9" s="395"/>
      <c r="L9" s="395"/>
      <c r="N9" s="395"/>
      <c r="O9" s="395"/>
      <c r="P9" s="395"/>
      <c r="Q9" s="395"/>
      <c r="R9" s="395"/>
    </row>
    <row r="10" spans="2:18" x14ac:dyDescent="0.25">
      <c r="B10" s="1687" t="s">
        <v>89</v>
      </c>
      <c r="C10" s="1687"/>
      <c r="D10" s="1687"/>
      <c r="E10" s="1687"/>
      <c r="F10" s="1687"/>
      <c r="G10" s="1687"/>
      <c r="H10" s="1687"/>
      <c r="I10" s="1687"/>
      <c r="J10" s="1687"/>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7" t="s">
        <v>90</v>
      </c>
      <c r="D12" s="2038"/>
      <c r="E12" s="395"/>
      <c r="F12" s="395"/>
      <c r="G12" s="1475"/>
      <c r="H12" s="413"/>
      <c r="I12" s="2037" t="s">
        <v>91</v>
      </c>
      <c r="J12" s="2038"/>
      <c r="K12" s="395"/>
      <c r="L12" s="395"/>
      <c r="M12" s="1475"/>
      <c r="N12" s="413"/>
      <c r="O12" s="2037" t="s">
        <v>92</v>
      </c>
      <c r="P12" s="2038"/>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45916</v>
      </c>
      <c r="E14" s="395"/>
      <c r="F14" s="395"/>
      <c r="G14" s="1475"/>
      <c r="H14" s="413"/>
      <c r="I14" s="1084" t="s">
        <v>3267</v>
      </c>
      <c r="J14" s="1476">
        <f>'1. Project Inputs'!$C$27</f>
        <v>45916</v>
      </c>
      <c r="K14" s="395"/>
      <c r="L14" s="395"/>
      <c r="M14" s="1475"/>
      <c r="N14" s="413"/>
      <c r="O14" s="1084" t="s">
        <v>3267</v>
      </c>
      <c r="P14" s="1476">
        <f>'1. Project Inputs'!$C$27</f>
        <v>45916</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729"/>
      <c r="J62" s="1729"/>
      <c r="K62" s="1729"/>
      <c r="L62" s="1729"/>
      <c r="M62" s="1484"/>
      <c r="N62" s="395"/>
      <c r="O62" s="395"/>
      <c r="P62" s="395"/>
      <c r="Q62" s="395"/>
      <c r="R62" s="395"/>
    </row>
    <row r="63" spans="2:43" x14ac:dyDescent="0.25">
      <c r="B63" s="413"/>
      <c r="C63" s="395"/>
      <c r="D63" s="395"/>
      <c r="E63" s="395"/>
      <c r="F63" s="395"/>
      <c r="G63" s="1475"/>
      <c r="H63" s="395"/>
      <c r="I63" s="1729"/>
      <c r="J63" s="1729"/>
      <c r="K63" s="1729"/>
      <c r="L63" s="1729"/>
      <c r="M63" s="1484"/>
      <c r="N63" s="395"/>
      <c r="O63" s="395"/>
      <c r="P63" s="395"/>
      <c r="Q63" s="395"/>
      <c r="R63" s="395"/>
    </row>
    <row r="64" spans="2:43" x14ac:dyDescent="0.25">
      <c r="B64" s="413"/>
      <c r="C64" s="395"/>
      <c r="D64" s="395"/>
      <c r="E64" s="395"/>
      <c r="F64" s="395"/>
      <c r="G64" s="1475"/>
      <c r="H64" s="395"/>
      <c r="I64" s="1729"/>
      <c r="J64" s="1729"/>
      <c r="K64" s="1729"/>
      <c r="L64" s="1729"/>
      <c r="M64" s="1484"/>
      <c r="N64" s="395"/>
      <c r="O64" s="395"/>
      <c r="P64" s="395"/>
      <c r="Q64" s="395"/>
      <c r="R64" s="395"/>
    </row>
    <row r="65" spans="2:18" x14ac:dyDescent="0.25">
      <c r="B65" s="413"/>
      <c r="C65" s="395"/>
      <c r="D65" s="395"/>
      <c r="E65" s="395"/>
      <c r="F65" s="395"/>
      <c r="G65" s="1475"/>
      <c r="H65" s="395"/>
      <c r="I65" s="1729"/>
      <c r="J65" s="1729"/>
      <c r="K65" s="1729"/>
      <c r="L65" s="1729"/>
      <c r="M65" s="1484"/>
      <c r="N65" s="395"/>
      <c r="O65" s="395"/>
      <c r="P65" s="395"/>
      <c r="Q65" s="395"/>
      <c r="R65" s="395"/>
    </row>
    <row r="66" spans="2:18" x14ac:dyDescent="0.25">
      <c r="B66" s="413"/>
      <c r="C66" s="395"/>
      <c r="D66" s="395"/>
      <c r="E66" s="395"/>
      <c r="F66" s="395"/>
      <c r="G66" s="1475"/>
      <c r="H66" s="395"/>
      <c r="I66" s="1729"/>
      <c r="J66" s="1729"/>
      <c r="K66" s="1729"/>
      <c r="L66" s="1729"/>
      <c r="M66" s="1484"/>
      <c r="N66" s="395"/>
      <c r="O66" s="395"/>
      <c r="P66" s="395"/>
      <c r="Q66" s="395"/>
      <c r="R66" s="395"/>
    </row>
    <row r="67" spans="2:18" x14ac:dyDescent="0.25">
      <c r="B67" s="413"/>
      <c r="C67" s="395"/>
      <c r="D67" s="395"/>
      <c r="E67" s="395"/>
      <c r="F67" s="395"/>
      <c r="G67" s="1475"/>
      <c r="H67" s="395"/>
      <c r="I67" s="1729"/>
      <c r="J67" s="1729"/>
      <c r="K67" s="1729"/>
      <c r="L67" s="1729"/>
      <c r="M67" s="1484"/>
      <c r="N67" s="395"/>
      <c r="O67" s="395"/>
      <c r="P67" s="395"/>
      <c r="Q67" s="395"/>
      <c r="R67" s="395"/>
    </row>
    <row r="68" spans="2:18" x14ac:dyDescent="0.25">
      <c r="B68" s="413"/>
      <c r="C68" s="395"/>
      <c r="D68" s="395"/>
      <c r="E68" s="395"/>
      <c r="F68" s="395"/>
      <c r="G68" s="1475"/>
      <c r="H68" s="395"/>
      <c r="I68" s="1729"/>
      <c r="J68" s="1729"/>
      <c r="K68" s="1729"/>
      <c r="L68" s="1729"/>
      <c r="M68" s="1484"/>
      <c r="N68" s="395"/>
      <c r="O68" s="395"/>
      <c r="P68" s="395"/>
      <c r="Q68" s="395"/>
      <c r="R68" s="395"/>
    </row>
    <row r="69" spans="2:18" x14ac:dyDescent="0.25">
      <c r="B69" s="413"/>
      <c r="C69" s="395"/>
      <c r="D69" s="395"/>
      <c r="E69" s="395"/>
      <c r="F69" s="395"/>
      <c r="G69" s="1475"/>
      <c r="H69" s="395"/>
      <c r="I69" s="1729"/>
      <c r="J69" s="1729"/>
      <c r="K69" s="1729"/>
      <c r="L69" s="1729"/>
      <c r="M69" s="1484"/>
      <c r="N69" s="395"/>
      <c r="O69" s="395"/>
      <c r="P69" s="395"/>
      <c r="Q69" s="395"/>
      <c r="R69" s="395"/>
    </row>
    <row r="70" spans="2:18" x14ac:dyDescent="0.25">
      <c r="B70" s="413"/>
      <c r="C70" s="395"/>
      <c r="D70" s="395"/>
      <c r="E70" s="395"/>
      <c r="F70" s="395"/>
      <c r="G70" s="1475"/>
      <c r="H70" s="395"/>
      <c r="I70" s="1729"/>
      <c r="J70" s="1729"/>
      <c r="K70" s="1729"/>
      <c r="L70" s="1729"/>
      <c r="M70" s="1484"/>
      <c r="N70" s="395"/>
      <c r="O70" s="395"/>
      <c r="P70" s="395"/>
      <c r="Q70" s="395"/>
      <c r="R70" s="395"/>
    </row>
    <row r="71" spans="2:18" x14ac:dyDescent="0.25">
      <c r="B71" s="413"/>
      <c r="C71" s="395"/>
      <c r="D71" s="492"/>
      <c r="E71" s="600"/>
      <c r="F71" s="600"/>
      <c r="G71" s="1499"/>
      <c r="H71" s="395"/>
      <c r="I71" s="1729"/>
      <c r="J71" s="1729"/>
      <c r="K71" s="1729"/>
      <c r="L71" s="1729"/>
      <c r="M71" s="1484"/>
      <c r="N71" s="395"/>
      <c r="O71" s="395"/>
      <c r="P71" s="395"/>
      <c r="Q71" s="395"/>
      <c r="R71" s="395"/>
    </row>
    <row r="72" spans="2:18" x14ac:dyDescent="0.25">
      <c r="B72" s="413"/>
      <c r="C72" s="1496"/>
      <c r="D72" s="495"/>
      <c r="E72" s="820"/>
      <c r="F72" s="820"/>
      <c r="G72" s="1497"/>
      <c r="H72" s="395"/>
      <c r="I72" s="1729"/>
      <c r="J72" s="1729"/>
      <c r="K72" s="1729"/>
      <c r="L72" s="1729"/>
      <c r="M72" s="1484"/>
      <c r="N72" s="395"/>
      <c r="O72" s="395"/>
      <c r="P72" s="395"/>
      <c r="Q72" s="395"/>
      <c r="R72" s="395"/>
    </row>
    <row r="73" spans="2:18" x14ac:dyDescent="0.25">
      <c r="B73" s="413"/>
      <c r="C73" s="1496"/>
      <c r="D73" s="495"/>
      <c r="E73" s="820"/>
      <c r="F73" s="820"/>
      <c r="G73" s="1497"/>
      <c r="H73" s="395"/>
      <c r="I73" s="1729"/>
      <c r="J73" s="1729"/>
      <c r="K73" s="1729"/>
      <c r="L73" s="1729"/>
      <c r="M73" s="1484"/>
      <c r="N73" s="395"/>
      <c r="O73" s="395"/>
      <c r="P73" s="395"/>
      <c r="Q73" s="395"/>
      <c r="R73" s="395"/>
    </row>
    <row r="74" spans="2:18" x14ac:dyDescent="0.25">
      <c r="B74" s="413"/>
      <c r="C74" s="1496"/>
      <c r="D74" s="495"/>
      <c r="E74" s="820"/>
      <c r="F74" s="820"/>
      <c r="G74" s="1497"/>
      <c r="H74" s="395"/>
      <c r="I74" s="1729"/>
      <c r="J74" s="1729"/>
      <c r="K74" s="1729"/>
      <c r="L74" s="1729"/>
      <c r="M74" s="1484"/>
      <c r="N74" s="395"/>
      <c r="O74" s="395"/>
      <c r="P74" s="395"/>
      <c r="Q74" s="395"/>
      <c r="R74" s="395"/>
    </row>
    <row r="75" spans="2:18" x14ac:dyDescent="0.25">
      <c r="B75" s="413"/>
      <c r="C75" s="1496"/>
      <c r="D75" s="495"/>
      <c r="E75" s="820"/>
      <c r="F75" s="820"/>
      <c r="G75" s="1497"/>
      <c r="H75" s="395"/>
      <c r="I75" s="1729"/>
      <c r="J75" s="1729"/>
      <c r="K75" s="1729"/>
      <c r="L75" s="1729"/>
      <c r="M75" s="1484"/>
      <c r="N75" s="395"/>
      <c r="O75" s="395"/>
      <c r="P75" s="395"/>
      <c r="Q75" s="395"/>
      <c r="R75" s="395"/>
    </row>
    <row r="76" spans="2:18" x14ac:dyDescent="0.25">
      <c r="B76" s="413"/>
      <c r="C76" s="1496"/>
      <c r="D76" s="495"/>
      <c r="E76" s="820"/>
      <c r="F76" s="820"/>
      <c r="G76" s="1497"/>
      <c r="H76" s="395"/>
      <c r="I76" s="1729"/>
      <c r="J76" s="1729"/>
      <c r="K76" s="1729"/>
      <c r="L76" s="1729"/>
      <c r="M76" s="1484"/>
      <c r="N76" s="395"/>
      <c r="O76" s="395"/>
      <c r="P76" s="395"/>
      <c r="Q76" s="395"/>
      <c r="R76" s="395"/>
    </row>
    <row r="77" spans="2:18" x14ac:dyDescent="0.25">
      <c r="B77" s="413"/>
      <c r="C77" s="1496"/>
      <c r="D77" s="495"/>
      <c r="E77" s="820"/>
      <c r="F77" s="820"/>
      <c r="G77" s="1497"/>
      <c r="H77" s="395"/>
      <c r="I77" s="1729"/>
      <c r="J77" s="1729"/>
      <c r="K77" s="1729"/>
      <c r="L77" s="1729"/>
      <c r="M77" s="1484"/>
      <c r="N77" s="395"/>
      <c r="O77" s="395"/>
      <c r="P77" s="395"/>
      <c r="Q77" s="395"/>
      <c r="R77" s="395"/>
    </row>
    <row r="78" spans="2:18" x14ac:dyDescent="0.25">
      <c r="B78" s="413"/>
      <c r="C78" s="1496"/>
      <c r="D78" s="495"/>
      <c r="E78" s="820"/>
      <c r="F78" s="820"/>
      <c r="G78" s="1497"/>
      <c r="H78" s="395"/>
      <c r="I78" s="1729"/>
      <c r="J78" s="1729"/>
      <c r="K78" s="1729"/>
      <c r="L78" s="1729"/>
      <c r="M78" s="1484"/>
      <c r="N78" s="395"/>
      <c r="O78" s="395"/>
      <c r="P78" s="395"/>
      <c r="Q78" s="395"/>
      <c r="R78" s="395"/>
    </row>
    <row r="79" spans="2:18" x14ac:dyDescent="0.25">
      <c r="B79" s="413"/>
      <c r="C79" s="1496"/>
      <c r="D79" s="495"/>
      <c r="E79" s="820"/>
      <c r="F79" s="820"/>
      <c r="G79" s="1497"/>
      <c r="H79" s="395"/>
      <c r="I79" s="1729"/>
      <c r="J79" s="1729"/>
      <c r="K79" s="1729"/>
      <c r="L79" s="1729"/>
      <c r="M79" s="1484"/>
      <c r="N79" s="395"/>
      <c r="O79" s="395"/>
      <c r="P79" s="395"/>
      <c r="Q79" s="395"/>
      <c r="R79" s="395"/>
    </row>
    <row r="80" spans="2:18" x14ac:dyDescent="0.25">
      <c r="B80" s="413"/>
      <c r="C80" s="1496"/>
      <c r="D80" s="495"/>
      <c r="E80" s="820"/>
      <c r="F80" s="820"/>
      <c r="G80" s="1497"/>
      <c r="H80" s="395"/>
      <c r="I80" s="1729"/>
      <c r="J80" s="1729"/>
      <c r="K80" s="1729"/>
      <c r="L80" s="1729"/>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 ref="O12:P12"/>
    <mergeCell ref="I78:L78"/>
    <mergeCell ref="I71:L71"/>
    <mergeCell ref="I72:L72"/>
    <mergeCell ref="I73:L73"/>
    <mergeCell ref="B7:J7"/>
    <mergeCell ref="B8:J8"/>
    <mergeCell ref="B9:J9"/>
    <mergeCell ref="B10:J10"/>
    <mergeCell ref="C12:D12"/>
    <mergeCell ref="I12:J12"/>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696" t="s">
        <v>3287</v>
      </c>
      <c r="C10" s="1696"/>
      <c r="D10" s="1696"/>
      <c r="E10" s="1696"/>
      <c r="F10" s="1696"/>
      <c r="G10" s="1696"/>
    </row>
    <row r="11" spans="2:9" x14ac:dyDescent="0.25">
      <c r="B11" s="720" t="s">
        <v>183</v>
      </c>
      <c r="C11" s="720" t="s">
        <v>184</v>
      </c>
      <c r="D11" s="720" t="s">
        <v>185</v>
      </c>
      <c r="E11" s="720" t="s">
        <v>186</v>
      </c>
      <c r="G11" s="556"/>
    </row>
    <row r="12" spans="2:9" x14ac:dyDescent="0.25">
      <c r="B12" s="1103" t="s">
        <v>187</v>
      </c>
      <c r="C12" s="1104">
        <f>'2. Roles &amp; Pricing'!AD28</f>
        <v>756400</v>
      </c>
      <c r="D12" s="1104">
        <f>'2. Roles &amp; Pricing'!AE28</f>
        <v>252400</v>
      </c>
      <c r="E12" s="1105">
        <f>'2. Roles &amp; Pricing'!AF28</f>
        <v>330400</v>
      </c>
    </row>
    <row r="13" spans="2:9" x14ac:dyDescent="0.25">
      <c r="B13" s="1106" t="s">
        <v>1675</v>
      </c>
      <c r="C13" s="1095">
        <f>'2. Roles &amp; Pricing'!AD29</f>
        <v>333840</v>
      </c>
      <c r="D13" s="1095">
        <f>'2. Roles &amp; Pricing'!AE29</f>
        <v>99840</v>
      </c>
      <c r="E13" s="1107">
        <f>'2. Roles &amp; Pricing'!AF29</f>
        <v>141840</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794220</v>
      </c>
      <c r="D16" s="1114">
        <f>IFERROR(IF(D14="Manual Entry",(D12+(D12*D15)),(D12+D14+(D12*D15))),"")</f>
        <v>265020</v>
      </c>
      <c r="E16" s="1115">
        <f>IFERROR(IF(E14="Manual Entry",(E12+(E12*E15)),(E12+E14+(E12*E15))),"")</f>
        <v>346920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0.55864621893178212</v>
      </c>
      <c r="D19" s="1116">
        <f>IFERROR((SUMIFS('2. Roles &amp; Pricing'!$D291:$D$390,'2. Roles &amp; Pricing'!AE$48:AE$147,"Yes")-SUMIFS('2. Roles &amp; Pricing'!$F$291:$F$390,'2. Roles &amp; Pricing'!AE$48:AE$147,"Yes"))/SUMIFS('2. Roles &amp; Pricing'!$D$291:$D$390,'2. Roles &amp; Pricing'!AE$48:AE$147,"Yes"),"")</f>
        <v>0.60443740095087162</v>
      </c>
      <c r="E19" s="1117">
        <f>IFERROR((SUMIFS('2. Roles &amp; Pricing'!$D291:$D$390,'2. Roles &amp; Pricing'!AF$48:AF$147,"Yes")-SUMIFS('2. Roles &amp; Pricing'!$F$291:$F$390,'2. Roles &amp; Pricing'!AF$48:AF$147,"Yes"))/SUMIFS('2. Roles &amp; Pricing'!$D$291:$D$390,'2. Roles &amp; Pricing'!AF$48:AF$147,"Yes"),"")</f>
        <v>0.57070217917675548</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60.769230769230766</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55</v>
      </c>
    </row>
    <row r="21" spans="2:8" x14ac:dyDescent="0.25">
      <c r="B21" s="896" t="s">
        <v>191</v>
      </c>
      <c r="C21" s="1100">
        <f>IFERROR((SUMIFS('2. Roles &amp; Pricing'!$D$291:$D$390,'2. Roles &amp; Pricing'!$W49:$W148,"Onshore",'2. Roles &amp; Pricing'!AC$48:AC$147,"Yes"))/SUMIFS('2. Roles &amp; Pricing'!$M$291:$M$390,'2. Roles &amp; Pricing'!$W$48:$W$147,"Onshore",'2. Roles &amp; Pricing'!AC$48:AC$147,"Yes"),"")</f>
        <v>35.111111111111114</v>
      </c>
      <c r="D21" s="1099">
        <f>IFERROR((SUMIFS('2. Roles &amp; Pricing'!$D$291:$D$390,'2. Roles &amp; Pricing'!$W49:$W148,"Onshore",'2. Roles &amp; Pricing'!AE$48:AE$147,"Yes"))/SUMIFS('2. Roles &amp; Pricing'!$M$291:$M$390,'2. Roles &amp; Pricing'!$W$48:$W$147,"Onshore",'2. Roles &amp; Pricing'!AE$48:AE$147,"Yes"),"")</f>
        <v>40.333333333333336</v>
      </c>
      <c r="E21" s="1118">
        <f>IFERROR((SUMIFS('2. Roles &amp; Pricing'!$D$291:$D$390,'2. Roles &amp; Pricing'!$W49:$W148,"Onshore",'2. Roles &amp; Pricing'!AF$48:AF$147,"Yes"))/SUMIFS('2. Roles &amp; Pricing'!$M$291:$M$390,'2. Roles &amp; Pricing'!$W$48:$W$147,"Onshore",'2. Roles &amp; Pricing'!AF$48:AF$147,"Yes"),"")</f>
        <v>105.33333333333333</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0.4</v>
      </c>
      <c r="D22" s="1098">
        <f>IFERROR((COUNTIFS('2. Roles &amp; Pricing'!$W$48:$W$147,"Offshore",'2. Roles &amp; Pricing'!AE$48:AE$147,"Yes")/SUM(COUNTIFS('2. Roles &amp; Pricing'!$W$48:$W$147,"Onshore",'2. Roles &amp; Pricing'!AE$48:AE$147,"Yes"),COUNTIFS('2. Roles &amp; Pricing'!$W$48:$W$147,"Offshore",'2. Roles &amp; Pricing'!AE$48:AE$147,"Yes"))),"")</f>
        <v>0.5</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25">
      <c r="B23" s="896" t="s">
        <v>111</v>
      </c>
      <c r="C23" s="1099">
        <f>'2. Roles &amp; Pricing'!AD30</f>
        <v>58.774647887323944</v>
      </c>
      <c r="D23" s="1099">
        <f>'2. Roles &amp; Pricing'!AE30</f>
        <v>48</v>
      </c>
      <c r="E23" s="1118">
        <f>'2. Roles &amp; Pricing'!AF30</f>
        <v>43.243902439024389</v>
      </c>
    </row>
    <row r="24" spans="2:8" x14ac:dyDescent="0.25">
      <c r="B24" s="896" t="s">
        <v>194</v>
      </c>
      <c r="C24" s="1081">
        <f>COUNTIFS('2. Roles &amp; Pricing'!$Y$48:$Y$147,"&gt;=21",'2. Roles &amp; Pricing'!AC$48:AC$147,"Yes")</f>
        <v>5</v>
      </c>
      <c r="D24" s="1081">
        <f>COUNTIFS('2. Roles &amp; Pricing'!$Y$48:$Y$147,"&gt;=21",'2. Roles &amp; Pricing'!AE$48:AE$147,"Yes")</f>
        <v>2</v>
      </c>
      <c r="E24" s="971">
        <f>COUNTIFS('2. Roles &amp; Pricing'!$Y$48:$Y$147,"&gt;=21",'2. Roles &amp; Pricing'!AF$48:AF$147,"Yes")</f>
        <v>3</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5680</v>
      </c>
      <c r="D26" s="1101">
        <f>SUMIFS('2. Roles &amp; Pricing'!$M$291:$M$390,'2. Roles &amp; Pricing'!$AE$48:AE$147,"yes")</f>
        <v>2080</v>
      </c>
      <c r="E26" s="972">
        <f>SUMIFS('2. Roles &amp; Pricing'!$M$291:$M$390,'2. Roles &amp; Pricing'!$AE$48:AE$147,"yes")</f>
        <v>2080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756400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330400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0"/>
      <c r="B1" s="2050"/>
      <c r="C1" s="2050"/>
      <c r="D1" s="134"/>
      <c r="E1" s="134"/>
      <c r="F1" s="134"/>
      <c r="G1" s="134"/>
    </row>
    <row r="2" spans="1:9" ht="14.25" customHeight="1" x14ac:dyDescent="0.25">
      <c r="A2" s="2050"/>
      <c r="B2" s="2050"/>
      <c r="C2" s="2050"/>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1" t="s">
        <v>28</v>
      </c>
      <c r="C10" s="2056"/>
      <c r="D10" s="2056"/>
      <c r="E10" s="2052"/>
      <c r="F10" s="103"/>
      <c r="H10" s="2053"/>
      <c r="I10" s="2053"/>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1" t="s">
        <v>1276</v>
      </c>
      <c r="C22" s="2052"/>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1" t="s">
        <v>1278</v>
      </c>
      <c r="C30" s="2052"/>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4" t="s">
        <v>1282</v>
      </c>
      <c r="C39" s="2055"/>
      <c r="D39" s="2055"/>
      <c r="E39" s="2055"/>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1" t="s">
        <v>1284</v>
      </c>
      <c r="C48" s="2052"/>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1" t="s">
        <v>1287</v>
      </c>
      <c r="C56" s="2052"/>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7" t="s">
        <v>1290</v>
      </c>
      <c r="C64" s="2058"/>
      <c r="D64" s="2059"/>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B64:D64"/>
    <mergeCell ref="B56:C56"/>
    <mergeCell ref="B48:C48"/>
    <mergeCell ref="A1:C2"/>
    <mergeCell ref="B30:C30"/>
    <mergeCell ref="H10:I10"/>
    <mergeCell ref="B22:C22"/>
    <mergeCell ref="B39:E39"/>
    <mergeCell ref="B10:E10"/>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customXml/itemProps2.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3.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Syeda Tabassum (Credera)</cp:lastModifiedBy>
  <cp:revision/>
  <dcterms:created xsi:type="dcterms:W3CDTF">2024-10-02T20:28:22Z</dcterms:created>
  <dcterms:modified xsi:type="dcterms:W3CDTF">2025-08-29T13:51:04Z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